
<file path=[Content_Types].xml><?xml version="1.0" encoding="utf-8"?>
<Types xmlns="http://schemas.openxmlformats.org/package/2006/content-types">
  <Default ContentType="application/vnd.ms-office.vbaProject" Extension="bin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20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drawingml.chart+xml" PartName="/xl/charts/chart8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 codeName="ThisWorkbook"/>
  <sheets>
    <sheet state="visible" name="A Cover" sheetId="1" r:id="rId5"/>
    <sheet state="visible" name="B Charts" sheetId="2" r:id="rId6"/>
    <sheet state="visible" name="C Summary" sheetId="3" r:id="rId7"/>
    <sheet state="visible" name="D PY Audit" sheetId="4" r:id="rId8"/>
    <sheet state="visible" name="E Budg CY" sheetId="5" r:id="rId9"/>
    <sheet state="visible" name="F Population" sheetId="6" r:id="rId10"/>
    <sheet state="visible" name="G Price-Aid" sheetId="7" r:id="rId11"/>
    <sheet state="visible" name="H Non trad" sheetId="8" r:id="rId12"/>
    <sheet state="visible" name="I Student rev" sheetId="9" r:id="rId13"/>
    <sheet state="visible" name="J Proj CY" sheetId="10" r:id="rId14"/>
    <sheet state="visible" name="K Strategic" sheetId="11" r:id="rId15"/>
    <sheet state="visible" name="L Capital" sheetId="12" r:id="rId16"/>
    <sheet state="visible" name="M Non student" sheetId="13" r:id="rId17"/>
    <sheet state="visible" name="N Next Yr" sheetId="14" r:id="rId18"/>
    <sheet state="visible" name="O Monthly Cash" sheetId="15" r:id="rId19"/>
    <sheet state="visible" name="P Fcast 5yr" sheetId="16" r:id="rId20"/>
    <sheet state="visible" name="R Bal sheets" sheetId="17" r:id="rId21"/>
    <sheet state="visible" name="S DOE ratios" sheetId="18" r:id="rId22"/>
    <sheet state="visible" name="T Scenarios" sheetId="19" r:id="rId23"/>
    <sheet state="visible" name="U Pricing Options" sheetId="20" r:id="rId24"/>
  </sheets>
  <definedNames>
    <definedName name="_xleta.PRICE">#NAME?</definedName>
    <definedName localSheetId="19" name="In_Service_Year">#REF!,#REF!,#REF!,#REF!,#REF!,#REF!,#REF!</definedName>
    <definedName name="In_Service_Year">'L Capital'!$L$5,'L Capital'!$P$5,'L Capital'!$T$5,'L Capital'!$X$5,'L Capital'!$AB$5,'L Capital'!$AF$5,'L Capital'!$AK$5</definedName>
    <definedName name="Yearchoice">'C Summary'!$U$94:$AB$94</definedName>
    <definedName name="Years">'C Summary'!$W$94:$AB$94</definedName>
    <definedName localSheetId="19" name="Yearchoice">#REF!</definedName>
    <definedName name="Yes_No">'L Capital'!$AO$6:$AO$8</definedName>
    <definedName localSheetId="19" name="Yes_No">#REF!</definedName>
  </definedNames>
  <calcPr/>
  <extLst>
    <ext uri="GoogleSheetsCustomDataVersion2">
      <go:sheetsCustomData xmlns:go="http://customooxmlschemas.google.com/" r:id="rId25" roundtripDataChecksum="0jo/4kfsxSqvCCEwXYeCD7EKs8pwPCdA/KHUmwyM0bU="/>
    </ext>
  </extLst>
</workbook>
</file>

<file path=xl/sharedStrings.xml><?xml version="1.0" encoding="utf-8"?>
<sst xmlns="http://schemas.openxmlformats.org/spreadsheetml/2006/main" count="1756" uniqueCount="1033">
  <si>
    <t>X X X</t>
  </si>
  <si>
    <t xml:space="preserve">  =  Data Input</t>
  </si>
  <si>
    <t>P R I O R   Y E A R   A U D I T E D   F I N A N C I A L   S T A T E M E N T S</t>
  </si>
  <si>
    <t xml:space="preserve">  © 2026 CFO Colleague, LLC       </t>
  </si>
  <si>
    <t>Forecast Summary</t>
  </si>
  <si>
    <t>Example University</t>
  </si>
  <si>
    <t>Actual</t>
  </si>
  <si>
    <t xml:space="preserve"> You will be asked to pre-save</t>
  </si>
  <si>
    <t xml:space="preserve"> /   -    -    -    -     -    -    -    -    -    -    -   F     O     R     E     C     A     S     T   -      -    -    -    -    -    -    -    -    -    -   /</t>
  </si>
  <si>
    <t>= Data Input</t>
  </si>
  <si>
    <t>COMP4cast® Institutional Forecasting Model</t>
  </si>
  <si>
    <t xml:space="preserve">   Statement of Position</t>
  </si>
  <si>
    <t xml:space="preserve">   Statement of Activities</t>
  </si>
  <si>
    <t>A S S E T S</t>
  </si>
  <si>
    <t>Date of update</t>
  </si>
  <si>
    <t>CY Fall Semester</t>
  </si>
  <si>
    <t>SHIFTS PRIOR DATA FOR NEW YEAR</t>
  </si>
  <si>
    <t>(4-digit year)</t>
  </si>
  <si>
    <t xml:space="preserve">I. </t>
  </si>
  <si>
    <t>R E V E N U E S</t>
  </si>
  <si>
    <t xml:space="preserve"> Traditional</t>
  </si>
  <si>
    <t>CLEARS ALL ENTERED DATA !</t>
  </si>
  <si>
    <t>Version 26.5</t>
  </si>
  <si>
    <t>Fall Population</t>
  </si>
  <si>
    <t>http://cfocolleague.com/</t>
  </si>
  <si>
    <t>Cash</t>
  </si>
  <si>
    <t>Overall Tuition Discount</t>
  </si>
  <si>
    <t>The workbooks included herein have been formatted for optimal landscape printing.</t>
  </si>
  <si>
    <t xml:space="preserve">   Tuition &amp; Fees--Traditional</t>
  </si>
  <si>
    <t>info@cfocolleague.com</t>
  </si>
  <si>
    <t>Other current assets</t>
  </si>
  <si>
    <t>COMP4cast® is a registered trademark of CFO Colleague, LLC and is subject to copyright.</t>
  </si>
  <si>
    <r>
      <rPr>
        <rFont val="Arial"/>
        <color rgb="FF000000"/>
        <sz val="11.0"/>
      </rPr>
      <t xml:space="preserve">   Less:  Tuition Discounts                     </t>
    </r>
    <r>
      <rPr>
        <rFont val="Arial1"/>
        <i/>
        <color rgb="FFFF0000"/>
        <sz val="9.0"/>
      </rPr>
      <t>(negative number)</t>
    </r>
  </si>
  <si>
    <t>This product is licensed for use by one institution and may not be sold, copied or otherwise</t>
  </si>
  <si>
    <t>transferred to anyone else without the express written permission of CFO Colleague, LLC.</t>
  </si>
  <si>
    <t>Net Tuition Revenues</t>
  </si>
  <si>
    <t>Pledges receivable</t>
  </si>
  <si>
    <t>B. below</t>
  </si>
  <si>
    <t xml:space="preserve">      Net Tuition &amp; Fees--Traditional</t>
  </si>
  <si>
    <t>Assumptions and Expectations</t>
  </si>
  <si>
    <t>F I v e   Y e a r   Δ</t>
  </si>
  <si>
    <t>Investments</t>
  </si>
  <si>
    <t xml:space="preserve">   Tuition &amp; Fees- Non-Traditional</t>
  </si>
  <si>
    <t>Auxiliary Revenues</t>
  </si>
  <si>
    <t>Fixed + right of use assets (net)</t>
  </si>
  <si>
    <t xml:space="preserve">    $    </t>
  </si>
  <si>
    <r>
      <rPr>
        <rFont val="Arial"/>
        <b/>
        <color rgb="FF548DD4"/>
        <sz val="10.0"/>
        <u/>
      </rPr>
      <t xml:space="preserve"> % </t>
    </r>
    <r>
      <rPr>
        <rFont val="Arial1"/>
        <b/>
        <color rgb="FF548DD4"/>
        <sz val="11.0"/>
        <u/>
      </rPr>
      <t xml:space="preserve"> </t>
    </r>
  </si>
  <si>
    <r>
      <rPr>
        <rFont val="Arial"/>
        <color rgb="FF000000"/>
        <sz val="11.0"/>
      </rPr>
      <t xml:space="preserve">   Less:  Tuition Discounts                      </t>
    </r>
    <r>
      <rPr>
        <rFont val="Arial1"/>
        <i/>
        <color rgb="FFFF0000"/>
        <sz val="9.0"/>
      </rPr>
      <t>(negative number)</t>
    </r>
  </si>
  <si>
    <t>Non student Revenues</t>
  </si>
  <si>
    <t>Other long-term assets</t>
  </si>
  <si>
    <t xml:space="preserve">       Net Tuition &amp; Fees--Non Traditional</t>
  </si>
  <si>
    <t xml:space="preserve">  Total assets</t>
  </si>
  <si>
    <t xml:space="preserve">  Total Traditional Revenues</t>
  </si>
  <si>
    <t xml:space="preserve">       Net Tuition &amp; Fees</t>
  </si>
  <si>
    <t>Recruitment</t>
  </si>
  <si>
    <t>Freshman Discount %</t>
  </si>
  <si>
    <t>L I A B I L I T I E S</t>
  </si>
  <si>
    <r>
      <rPr>
        <rFont val="Arial"/>
        <b/>
        <color rgb="FF244061"/>
        <sz val="11.0"/>
      </rPr>
      <t xml:space="preserve">       Auxiliary Revenue                                   </t>
    </r>
    <r>
      <rPr>
        <rFont val="Arial1"/>
        <b val="0"/>
        <color rgb="FFFF0000"/>
        <sz val="11.0"/>
      </rPr>
      <t>(</t>
    </r>
    <r>
      <rPr>
        <rFont val="Arial1"/>
        <b val="0"/>
        <i/>
        <color rgb="FFFF0000"/>
        <sz val="9.0"/>
      </rPr>
      <t>from H98)</t>
    </r>
  </si>
  <si>
    <t>Operating Expenses</t>
  </si>
  <si>
    <r>
      <rPr>
        <rFont val="Arial"/>
        <color rgb="FF000000"/>
        <sz val="11.0"/>
      </rPr>
      <t xml:space="preserve">Current liabilities </t>
    </r>
    <r>
      <rPr>
        <rFont val="Arial1"/>
        <i/>
        <color rgb="FF000000"/>
        <sz val="10.0"/>
      </rPr>
      <t>(w/o LOC)</t>
    </r>
  </si>
  <si>
    <t>New Freshmen</t>
  </si>
  <si>
    <t xml:space="preserve">   Non-Student Revenues:</t>
  </si>
  <si>
    <r>
      <rPr>
        <rFont val="Arial"/>
        <color rgb="FF000000"/>
        <sz val="11.0"/>
      </rPr>
      <t>Line of credit</t>
    </r>
    <r>
      <rPr>
        <rFont val="Arial1"/>
        <i/>
        <color rgb="FF000000"/>
        <sz val="10.0"/>
      </rPr>
      <t xml:space="preserve"> (LOC)</t>
    </r>
  </si>
  <si>
    <t xml:space="preserve">    Annual fund (unrestricted) donations  </t>
  </si>
  <si>
    <t xml:space="preserve">LT debt + right of use liability </t>
  </si>
  <si>
    <t>Transfers</t>
  </si>
  <si>
    <t>C. below</t>
  </si>
  <si>
    <t xml:space="preserve">    New unrestricted pledges unpaid @ year end</t>
  </si>
  <si>
    <t>Other, non-current liabilities</t>
  </si>
  <si>
    <t xml:space="preserve">    Other operating revenues</t>
  </si>
  <si>
    <t>Auxiliary Expenses</t>
  </si>
  <si>
    <t>N E T   A S S E T S</t>
  </si>
  <si>
    <t xml:space="preserve">    Government grants</t>
  </si>
  <si>
    <t xml:space="preserve">  Total New Students</t>
  </si>
  <si>
    <t>Without donor restriction</t>
  </si>
  <si>
    <t>Time/purpose restricted</t>
  </si>
  <si>
    <t>Depn, Interest, Strategic, New Bldg Ops</t>
  </si>
  <si>
    <t>A. below</t>
  </si>
  <si>
    <t>Advancement</t>
  </si>
  <si>
    <t xml:space="preserve">Annual Fund </t>
  </si>
  <si>
    <t>Restricted in perpetuity</t>
  </si>
  <si>
    <t xml:space="preserve">    Unrestricted investment income</t>
  </si>
  <si>
    <t>Total liabilities and net assets</t>
  </si>
  <si>
    <t>Capital Projects</t>
  </si>
  <si>
    <t xml:space="preserve">   Total Traditional Expenses</t>
  </si>
  <si>
    <t xml:space="preserve">        Net Non-Student Revenues</t>
  </si>
  <si>
    <t>Endowment</t>
  </si>
  <si>
    <t>D A T A   F R O M   F O O T N O T E S</t>
  </si>
  <si>
    <t xml:space="preserve">        Net assets released - endowment &amp; other</t>
  </si>
  <si>
    <t>Non operating net</t>
  </si>
  <si>
    <t>Other Restricted</t>
  </si>
  <si>
    <t xml:space="preserve">     A.   Time or Purpose Restricted Net Assets</t>
  </si>
  <si>
    <t>Operating Revenues</t>
  </si>
  <si>
    <t>Unrestricted pledge donations</t>
  </si>
  <si>
    <t>Paid Pledges</t>
  </si>
  <si>
    <t>Capital donation restricted balances</t>
  </si>
  <si>
    <t>E X P E N S E S</t>
  </si>
  <si>
    <t xml:space="preserve">   Net from Traditional</t>
  </si>
  <si>
    <t>Endowment &amp; split interest appreciation</t>
  </si>
  <si>
    <t>Salaries and benefits</t>
  </si>
  <si>
    <t>New Pledges</t>
  </si>
  <si>
    <t>Other time or purpose donation balances</t>
  </si>
  <si>
    <t>Other operating costs</t>
  </si>
  <si>
    <t>II.</t>
  </si>
  <si>
    <t xml:space="preserve">  Total Time or Purpose Restricted</t>
  </si>
  <si>
    <t>Non Traditional</t>
  </si>
  <si>
    <t>to H36</t>
  </si>
  <si>
    <t>Offsets of amounts below</t>
  </si>
  <si>
    <t xml:space="preserve">  Total Donations</t>
  </si>
  <si>
    <t xml:space="preserve">     B.   Outstanding Pledges Receivable</t>
  </si>
  <si>
    <t>Gifts without donor restrictions</t>
  </si>
  <si>
    <t>Identified Expenses</t>
  </si>
  <si>
    <t>Other Time or Purpose Restricted</t>
  </si>
  <si>
    <t xml:space="preserve">      Auxiliary Expenses</t>
  </si>
  <si>
    <t>subtract depreciation allocation</t>
  </si>
  <si>
    <t xml:space="preserve">   Net from Non Traditional</t>
  </si>
  <si>
    <t xml:space="preserve">  Total Pledges Outstanding</t>
  </si>
  <si>
    <t>to H12</t>
  </si>
  <si>
    <t xml:space="preserve">      Interest expense</t>
  </si>
  <si>
    <t xml:space="preserve">     C.  Scheduled Principal Payments (excl. interest)</t>
  </si>
  <si>
    <t xml:space="preserve">      Healthcare costs</t>
  </si>
  <si>
    <t>III.</t>
  </si>
  <si>
    <t>Donor Restricted</t>
  </si>
  <si>
    <t>Year</t>
  </si>
  <si>
    <t>Debt</t>
  </si>
  <si>
    <t>Right of Use</t>
  </si>
  <si>
    <t>Total</t>
  </si>
  <si>
    <t xml:space="preserve">      Added expenses due to releases from restriction</t>
  </si>
  <si>
    <t>Time or purpose restricted</t>
  </si>
  <si>
    <t xml:space="preserve">      Non-traditional</t>
  </si>
  <si>
    <t xml:space="preserve">      Strategic Initiatives</t>
  </si>
  <si>
    <t xml:space="preserve">            Division Expenses</t>
  </si>
  <si>
    <t>Net from donor restricted activity</t>
  </si>
  <si>
    <t xml:space="preserve">            Depreciation Expense</t>
  </si>
  <si>
    <t>IV.</t>
  </si>
  <si>
    <t xml:space="preserve"> Overall</t>
  </si>
  <si>
    <t>Total Operating Expenses</t>
  </si>
  <si>
    <t>Unrestricted Operating  Revenues</t>
  </si>
  <si>
    <t>Net Operating Contribution (Deficit)</t>
  </si>
  <si>
    <t>Unrestricted Operating Expenses</t>
  </si>
  <si>
    <t>BEYOND</t>
  </si>
  <si>
    <t xml:space="preserve">  Non-operating net assets released - capital</t>
  </si>
  <si>
    <t xml:space="preserve">           Total Scheduled Principal Payments</t>
  </si>
  <si>
    <t>Unrestricted Operating Surplus (Deficit)</t>
  </si>
  <si>
    <t>to H28</t>
  </si>
  <si>
    <t xml:space="preserve">  Non-operating gains (losses) - other</t>
  </si>
  <si>
    <r>
      <rPr>
        <rFont val="Arial"/>
        <b/>
        <color rgb="FF000000"/>
        <sz val="11.0"/>
      </rPr>
      <t xml:space="preserve">     D.   Perm Endowment Gifts </t>
    </r>
    <r>
      <rPr>
        <rFont val="Arial1"/>
        <b val="0"/>
        <i/>
        <color rgb="FF000000"/>
        <sz val="10.0"/>
      </rPr>
      <t>(not pledges)</t>
    </r>
  </si>
  <si>
    <t>Changes in Net Assets:</t>
  </si>
  <si>
    <t xml:space="preserve">     E.   Auxiliary Revenues</t>
  </si>
  <si>
    <t>Room</t>
  </si>
  <si>
    <t xml:space="preserve">    Without donor restrictions</t>
  </si>
  <si>
    <t>Board</t>
  </si>
  <si>
    <t xml:space="preserve">    Subject to time or purpose restrictions</t>
  </si>
  <si>
    <t>Other</t>
  </si>
  <si>
    <t xml:space="preserve">    Restricted in perpetuity</t>
  </si>
  <si>
    <t xml:space="preserve"> T O T A L</t>
  </si>
  <si>
    <t>to O22</t>
  </si>
  <si>
    <t>Overall Change in Net Assets</t>
  </si>
  <si>
    <t>Overall Performance</t>
  </si>
  <si>
    <t>V.</t>
  </si>
  <si>
    <t xml:space="preserve"> Key Accounts</t>
  </si>
  <si>
    <t>Long-Term Debt</t>
  </si>
  <si>
    <t>Net Unres Assets + LTD - Fixed Assets</t>
  </si>
  <si>
    <t>VI.</t>
  </si>
  <si>
    <t xml:space="preserve"> CFI Ratios</t>
  </si>
  <si>
    <t>Budgeted / Actual Operating Performance</t>
  </si>
  <si>
    <t>Enter PY info in 'D PY Audit', and CY info in 'H Non trad',</t>
  </si>
  <si>
    <t xml:space="preserve"> DOE Ratios</t>
  </si>
  <si>
    <t>New</t>
  </si>
  <si>
    <t>from 'D PY Audit'</t>
  </si>
  <si>
    <t>L Capital' and  'M Non student' prior to completing this tab</t>
  </si>
  <si>
    <t>Budgeted</t>
  </si>
  <si>
    <t>Returning</t>
  </si>
  <si>
    <t>Increase (Decrease)</t>
  </si>
  <si>
    <t>Total Census</t>
  </si>
  <si>
    <t>Revenue:</t>
  </si>
  <si>
    <r>
      <rPr>
        <rFont val="Arial"/>
        <color rgb="FF000000"/>
        <sz val="11.0"/>
      </rPr>
      <t xml:space="preserve">   Less:  Tuition Discounts - Unfunded     </t>
    </r>
    <r>
      <rPr>
        <rFont val="Arial1"/>
        <i/>
        <color rgb="FFFF0000"/>
        <sz val="9.0"/>
      </rPr>
      <t>(negative number)</t>
    </r>
  </si>
  <si>
    <r>
      <rPr>
        <rFont val="Arial"/>
        <color rgb="FF000000"/>
        <sz val="11.0"/>
      </rPr>
      <t xml:space="preserve">               Tuition Discounts - Funded      </t>
    </r>
    <r>
      <rPr>
        <rFont val="Arial1"/>
        <i/>
        <color rgb="FF000000"/>
        <sz val="11.0"/>
      </rPr>
      <t xml:space="preserve"> </t>
    </r>
    <r>
      <rPr>
        <rFont val="Arial1"/>
        <i/>
        <color rgb="FFFF0000"/>
        <sz val="9.0"/>
      </rPr>
      <t>(negative number)</t>
    </r>
  </si>
  <si>
    <t>Tuition Discount %</t>
  </si>
  <si>
    <t>Traditional</t>
  </si>
  <si>
    <r>
      <rPr>
        <rFont val="Arial"/>
        <color rgb="FF000000"/>
        <sz val="11.0"/>
      </rPr>
      <t xml:space="preserve">   Tuition &amp; Fees- Non-Traditional                    </t>
    </r>
    <r>
      <rPr>
        <rFont val="Arial1"/>
        <i/>
        <color rgb="FFFF0000"/>
        <sz val="9.0"/>
      </rPr>
      <t>('H Non trad')</t>
    </r>
  </si>
  <si>
    <t>Non-Traditional</t>
  </si>
  <si>
    <r>
      <rPr>
        <rFont val="Arial"/>
        <color rgb="FF000000"/>
        <sz val="11.0"/>
      </rPr>
      <t xml:space="preserve">   Less:  Tuition Discounts                                </t>
    </r>
    <r>
      <rPr>
        <rFont val="Arial1"/>
        <i/>
        <color rgb="FFFF0000"/>
        <sz val="9.0"/>
      </rPr>
      <t>('H Non trad')</t>
    </r>
  </si>
  <si>
    <t>Net Tuition Total</t>
  </si>
  <si>
    <t>Net Tuition</t>
  </si>
  <si>
    <r>
      <rPr>
        <rFont val="Arial"/>
        <b/>
        <color rgb="FF244061"/>
        <sz val="11.0"/>
      </rPr>
      <t xml:space="preserve">       Auxiliary Revenue       </t>
    </r>
    <r>
      <rPr>
        <rFont val="Arial1"/>
        <b val="0"/>
        <i/>
        <color rgb="FFFF0000"/>
        <sz val="9.0"/>
      </rPr>
      <t>(enter in cells F136 - F140 below)</t>
    </r>
  </si>
  <si>
    <t>Auxiliaries</t>
  </si>
  <si>
    <t xml:space="preserve">    Non-Student Revenues:</t>
  </si>
  <si>
    <t>Non Student</t>
  </si>
  <si>
    <t>Released from Restriction</t>
  </si>
  <si>
    <t>Total Revenue</t>
  </si>
  <si>
    <t>Unrestricted</t>
  </si>
  <si>
    <t>Temporarily</t>
  </si>
  <si>
    <t>Permanent</t>
  </si>
  <si>
    <t xml:space="preserve">    Accrued revenue to be received in the next year</t>
  </si>
  <si>
    <t>Overall</t>
  </si>
  <si>
    <t xml:space="preserve">        Net assets released - student aid</t>
  </si>
  <si>
    <t xml:space="preserve">        Net assets released - non-student aid</t>
  </si>
  <si>
    <t>Fixed</t>
  </si>
  <si>
    <t>Expenses</t>
  </si>
  <si>
    <t>Primary Reserve</t>
  </si>
  <si>
    <t>Net Income</t>
  </si>
  <si>
    <t>Return on Net Assets</t>
  </si>
  <si>
    <t>Viability</t>
  </si>
  <si>
    <t>CFI</t>
  </si>
  <si>
    <t>Current Liabilities</t>
  </si>
  <si>
    <t>Long-Term iabilities</t>
  </si>
  <si>
    <t xml:space="preserve">      Auxiliary expenses</t>
  </si>
  <si>
    <t>Net Assets</t>
  </si>
  <si>
    <r>
      <rPr>
        <rFont val="Arial"/>
        <color rgb="FF000000"/>
        <sz val="11.0"/>
      </rPr>
      <t xml:space="preserve">      Added expenses due to releases  </t>
    </r>
    <r>
      <rPr>
        <rFont val="Arial1"/>
        <i/>
        <color rgb="FFFF0000"/>
        <sz val="9.0"/>
      </rPr>
      <t>(from 'M Non student)</t>
    </r>
  </si>
  <si>
    <r>
      <rPr>
        <rFont val="Arial"/>
        <color rgb="FF000000"/>
        <sz val="11.0"/>
      </rPr>
      <t xml:space="preserve">      New building operations                         </t>
    </r>
    <r>
      <rPr>
        <rFont val="Arial1"/>
        <i/>
        <color rgb="FFFF0000"/>
        <sz val="9.0"/>
      </rPr>
      <t>(from 'L Capital')</t>
    </r>
  </si>
  <si>
    <r>
      <rPr>
        <rFont val="Arial"/>
        <color rgb="FF000000"/>
        <sz val="11.0"/>
      </rPr>
      <t xml:space="preserve">      Non-traditional                                      </t>
    </r>
    <r>
      <rPr>
        <rFont val="Arial1"/>
        <i/>
        <color rgb="FFFF0000"/>
        <sz val="9.0"/>
      </rPr>
      <t>(from 'H Non  trad)</t>
    </r>
  </si>
  <si>
    <r>
      <rPr>
        <rFont val="Arial"/>
        <color rgb="FF000000"/>
        <sz val="11.0"/>
      </rPr>
      <t xml:space="preserve">      Strategic Initiatives                              </t>
    </r>
    <r>
      <rPr>
        <rFont val="Arial1"/>
        <i/>
        <color rgb="FFFF0000"/>
        <sz val="9.0"/>
      </rPr>
      <t xml:space="preserve"> (from 'K Strategic')</t>
    </r>
  </si>
  <si>
    <t>calculated in L Capital</t>
  </si>
  <si>
    <t>from 'M Non student' &gt;</t>
  </si>
  <si>
    <t>"                   "       &gt;</t>
  </si>
  <si>
    <t>Cash Flow Summary</t>
  </si>
  <si>
    <t xml:space="preserve">     Overall change in net assets</t>
  </si>
  <si>
    <r>
      <rPr>
        <rFont val="Arial"/>
        <color rgb="FF000000"/>
        <sz val="11.0"/>
      </rPr>
      <t xml:space="preserve">     Depreciation expense -</t>
    </r>
    <r>
      <rPr>
        <rFont val="Arial1"/>
        <i/>
        <color rgb="FF000000"/>
        <sz val="11.0"/>
      </rPr>
      <t xml:space="preserve"> non-cash</t>
    </r>
  </si>
  <si>
    <t>&lt; from 'L Capital'</t>
  </si>
  <si>
    <t xml:space="preserve">     Decrease (increase) in non-cash assets</t>
  </si>
  <si>
    <t xml:space="preserve">     Decrease (increase) in investments</t>
  </si>
  <si>
    <t>See</t>
  </si>
  <si>
    <t xml:space="preserve">     Increase (decrease) in accounts payable</t>
  </si>
  <si>
    <t>Audit</t>
  </si>
  <si>
    <t xml:space="preserve">     Increase (decrease) in other, non-current liab.</t>
  </si>
  <si>
    <t xml:space="preserve">     Increase (decrease) in line of credit</t>
  </si>
  <si>
    <t xml:space="preserve">     Net debt Issued or (principal paid)</t>
  </si>
  <si>
    <t>&lt;     "         "</t>
  </si>
  <si>
    <t xml:space="preserve">     (Net spent on capital projects and equipment)</t>
  </si>
  <si>
    <t>Cash added (used)</t>
  </si>
  <si>
    <t xml:space="preserve">     +  beginning cash</t>
  </si>
  <si>
    <t xml:space="preserve">     =  end of year cash</t>
  </si>
  <si>
    <t>Non-Traditional Recap:</t>
  </si>
  <si>
    <t xml:space="preserve">     Net Tuition Revenue</t>
  </si>
  <si>
    <t xml:space="preserve">     (Operating Expenses)</t>
  </si>
  <si>
    <t>Multi-Year Enrollment Trends</t>
  </si>
  <si>
    <t>Non-Traditional contribution (deficit)</t>
  </si>
  <si>
    <t>Auxiliary Recap:</t>
  </si>
  <si>
    <t xml:space="preserve"> - Traditional Population</t>
  </si>
  <si>
    <t xml:space="preserve">      Auxiliary Revenues</t>
  </si>
  <si>
    <t>A     C     T     U     A     L</t>
  </si>
  <si>
    <t xml:space="preserve">      (Operating Expenses)</t>
  </si>
  <si>
    <t xml:space="preserve">  F     O     R     E     C     A     S     T</t>
  </si>
  <si>
    <t>Net Auxiliary contribution (deficit)</t>
  </si>
  <si>
    <t>Auxiliary Revenue Breakdown</t>
  </si>
  <si>
    <t xml:space="preserve">                 Room </t>
  </si>
  <si>
    <t xml:space="preserve">                 Board</t>
  </si>
  <si>
    <t xml:space="preserve">                 Other</t>
  </si>
  <si>
    <t xml:space="preserve">                     T O T A L  </t>
  </si>
  <si>
    <t>Avg</t>
  </si>
  <si>
    <t>&lt;-(to H20 above)</t>
  </si>
  <si>
    <t>Fall Enrollments</t>
  </si>
  <si>
    <t>extrapolation -&gt;</t>
  </si>
  <si>
    <t>Price and Aid</t>
  </si>
  <si>
    <t>1st time Freshmen</t>
  </si>
  <si>
    <t>I.</t>
  </si>
  <si>
    <t xml:space="preserve"> Future prices and discounts</t>
  </si>
  <si>
    <t>Freshmen</t>
  </si>
  <si>
    <t>Traditional tuition price increase %</t>
  </si>
  <si>
    <t>Room price increase %</t>
  </si>
  <si>
    <t>Sophomores</t>
  </si>
  <si>
    <t>Board price increase %</t>
  </si>
  <si>
    <t>Other aux price increase %</t>
  </si>
  <si>
    <t>1st time freshman tuition discount  %</t>
  </si>
  <si>
    <t>Juniors</t>
  </si>
  <si>
    <t>Seniors</t>
  </si>
  <si>
    <t>Fall Semester only added aid to returners $</t>
  </si>
  <si>
    <t>Others</t>
  </si>
  <si>
    <t>Annually funded scholarships $</t>
  </si>
  <si>
    <t>Endowed scholarship spending $</t>
  </si>
  <si>
    <r>
      <rPr>
        <rFont val="Arial"/>
        <b/>
        <i/>
        <color rgb="FF000000"/>
        <sz val="11.0"/>
      </rPr>
      <t>Reported</t>
    </r>
    <r>
      <rPr>
        <rFont val="Arial1"/>
        <b/>
        <i/>
        <color rgb="FF000000"/>
        <sz val="11.0"/>
      </rPr>
      <t xml:space="preserve"> / </t>
    </r>
    <r>
      <rPr>
        <rFont val="Arial1"/>
        <b/>
        <i/>
        <color rgb="FFFF0000"/>
        <sz val="11.0"/>
      </rPr>
      <t>Forecast</t>
    </r>
    <r>
      <rPr>
        <rFont val="Arial1"/>
        <b/>
        <i/>
        <color rgb="FF000000"/>
        <sz val="11.0"/>
      </rPr>
      <t xml:space="preserve"> Fall Traditional</t>
    </r>
  </si>
  <si>
    <t>Annual tuition cost (without fees) $</t>
  </si>
  <si>
    <t>Fall vs Spring census relationship (%)</t>
  </si>
  <si>
    <t xml:space="preserve"> Transfers in</t>
  </si>
  <si>
    <t>Fall vs Spring aid $ relationship (%)</t>
  </si>
  <si>
    <t>SPRING CALCULATIONS</t>
  </si>
  <si>
    <t>Fall vs Spring aid relationship (%) result</t>
  </si>
  <si>
    <t>Fall Semester</t>
  </si>
  <si>
    <t>New students (Trf &amp; FF)</t>
  </si>
  <si>
    <t>FF</t>
  </si>
  <si>
    <t>FR</t>
  </si>
  <si>
    <t>SO</t>
  </si>
  <si>
    <t>JR</t>
  </si>
  <si>
    <t>SR</t>
  </si>
  <si>
    <t>OTHERS</t>
  </si>
  <si>
    <t>TOTAL</t>
  </si>
  <si>
    <t>Spring Semester</t>
  </si>
  <si>
    <t>SUMMER</t>
  </si>
  <si>
    <t>Population</t>
  </si>
  <si>
    <t>Returning students</t>
  </si>
  <si>
    <t xml:space="preserve">G/L Fall only  </t>
  </si>
  <si>
    <t>Calc Tuit &amp; Fees</t>
  </si>
  <si>
    <t>Gross Tuition and Fees</t>
  </si>
  <si>
    <t>↔</t>
  </si>
  <si>
    <t>Potential to return (prev spring)</t>
  </si>
  <si>
    <t xml:space="preserve"> for comparison with cell R22</t>
  </si>
  <si>
    <t>Return %</t>
  </si>
  <si>
    <t>Less:  Discount Aid</t>
  </si>
  <si>
    <t>Annualized Traditional NTR (000s)</t>
  </si>
  <si>
    <t xml:space="preserve"> Fall discount and funded aid</t>
  </si>
  <si>
    <t>Spring Enrollments</t>
  </si>
  <si>
    <t xml:space="preserve">   CY Spring Semester </t>
  </si>
  <si>
    <t>Calculated</t>
  </si>
  <si>
    <t xml:space="preserve">  Actual  </t>
  </si>
  <si>
    <t xml:space="preserve">    Avg  </t>
  </si>
  <si>
    <t>Freshmen (All)</t>
  </si>
  <si>
    <t>Net Tuition Revenue (NTR)</t>
  </si>
  <si>
    <t>Non Traditional Activity</t>
  </si>
  <si>
    <t>Budget</t>
  </si>
  <si>
    <t>Projected</t>
  </si>
  <si>
    <t xml:space="preserve"> G/L Fall discount aid only</t>
  </si>
  <si>
    <t>Online - undergrad</t>
  </si>
  <si>
    <t>Current Year Discount %</t>
  </si>
  <si>
    <t>MA Ed</t>
  </si>
  <si>
    <t>EDD</t>
  </si>
  <si>
    <t>PA</t>
  </si>
  <si>
    <t xml:space="preserve"> Fees included in cell R22 above</t>
  </si>
  <si>
    <t>MBA</t>
  </si>
  <si>
    <t>RN - BSN</t>
  </si>
  <si>
    <t>NTR per student, annualized</t>
  </si>
  <si>
    <t>Fall Aid Per Person</t>
  </si>
  <si>
    <r>
      <rPr>
        <rFont val="Arial"/>
        <color rgb="FFFF0000"/>
        <sz val="11.0"/>
      </rPr>
      <t xml:space="preserve">   Discounts </t>
    </r>
    <r>
      <rPr>
        <rFont val="Arial1"/>
        <i/>
        <color rgb="FFFF0000"/>
        <sz val="9.0"/>
      </rPr>
      <t>(negative number)</t>
    </r>
  </si>
  <si>
    <t xml:space="preserve">   Estimated annual</t>
  </si>
  <si>
    <t>with funded aid</t>
  </si>
  <si>
    <t>T O T A L</t>
  </si>
  <si>
    <t>unfunded aid only</t>
  </si>
  <si>
    <t>Spring Census</t>
  </si>
  <si>
    <t>Projected NTR @ SR year</t>
  </si>
  <si>
    <t xml:space="preserve">to 'E Budg CY </t>
  </si>
  <si>
    <t xml:space="preserve">to 'J Proj CY </t>
  </si>
  <si>
    <r>
      <rPr>
        <rFont val="Arial"/>
        <b/>
        <i/>
        <color rgb="FF000000"/>
        <sz val="11.0"/>
      </rPr>
      <t xml:space="preserve">Reported / </t>
    </r>
    <r>
      <rPr>
        <rFont val="Arial1"/>
        <b/>
        <i/>
        <color rgb="FFFF0000"/>
        <sz val="11.0"/>
      </rPr>
      <t xml:space="preserve">Forecast </t>
    </r>
    <r>
      <rPr>
        <rFont val="Arial1"/>
        <b/>
        <i/>
        <color rgb="FF000000"/>
        <sz val="11.0"/>
      </rPr>
      <t>Spring Traditional</t>
    </r>
  </si>
  <si>
    <t xml:space="preserve">   NTR $ / student</t>
  </si>
  <si>
    <t>Spring Aid @ Fall Discount</t>
  </si>
  <si>
    <t>Overall discount %</t>
  </si>
  <si>
    <t>Annualized pricing improvement</t>
  </si>
  <si>
    <t>Spring as a % of Fall</t>
  </si>
  <si>
    <t>Adjusted for Spring Total Aid</t>
  </si>
  <si>
    <t>N E T   C O N T R I B U T I O N</t>
  </si>
  <si>
    <t>Projected annual NTR</t>
  </si>
  <si>
    <t>Spring Graduates</t>
  </si>
  <si>
    <t>of spring seniors</t>
  </si>
  <si>
    <t>Fall Semester % of total year</t>
  </si>
  <si>
    <t>Spring Semester % of total year</t>
  </si>
  <si>
    <t>Multi-Year Enrollment Trends - Traditional</t>
  </si>
  <si>
    <r>
      <rPr>
        <rFont val="Arial"/>
        <color rgb="FF000000"/>
        <sz val="10.0"/>
      </rPr>
      <t xml:space="preserve">Solutions partner, Credo Higher Ed offers a retention improvement initiative called </t>
    </r>
    <r>
      <rPr>
        <rFont val="Arial1"/>
        <b/>
        <color rgb="FF000000"/>
        <sz val="10.0"/>
      </rPr>
      <t>"Move the Needle."</t>
    </r>
    <r>
      <rPr>
        <rFont val="Arial1"/>
        <color rgb="FF000000"/>
        <sz val="10.0"/>
      </rPr>
      <t xml:space="preserve">  A synopsis is found by clicking on the link below. </t>
    </r>
  </si>
  <si>
    <t>This area assumes an initiative is undertaken to improve fresh. to soph. retention</t>
  </si>
  <si>
    <t>Data Analysis</t>
  </si>
  <si>
    <t>Note that a 1-time investment the first year leads to retention gains beginning with the next year</t>
  </si>
  <si>
    <r>
      <rPr>
        <rFont val="Arial"/>
        <color theme="1"/>
        <sz val="10.0"/>
      </rPr>
      <t xml:space="preserve">One - time investment       </t>
    </r>
    <r>
      <rPr>
        <rFont val="Arial1"/>
        <color theme="1"/>
        <sz val="10.0"/>
        <u/>
      </rPr>
      <t xml:space="preserve"> year</t>
    </r>
    <r>
      <rPr>
        <rFont val="Arial1"/>
        <color theme="1"/>
        <sz val="10.0"/>
      </rPr>
      <t xml:space="preserve">             </t>
    </r>
    <r>
      <rPr>
        <rFont val="Arial1"/>
        <color theme="1"/>
        <sz val="10.0"/>
        <u/>
      </rPr>
      <t>amount</t>
    </r>
  </si>
  <si>
    <r>
      <rPr>
        <rFont val="Arial"/>
        <color theme="1"/>
        <sz val="10.0"/>
      </rPr>
      <t>Ongoing i</t>
    </r>
    <r>
      <rPr>
        <rFont val="Arial1"/>
        <color theme="1"/>
        <sz val="10.0"/>
        <u/>
      </rPr>
      <t>nvestment</t>
    </r>
  </si>
  <si>
    <t>http://www.credohighered.com/services/student-success#collapse-moving-the-needle</t>
  </si>
  <si>
    <t>each subsequent year</t>
  </si>
  <si>
    <t xml:space="preserve">      Enter in whole number % for incremental fr to so retention improvements</t>
  </si>
  <si>
    <t>Fall to Spring Statistics</t>
  </si>
  <si>
    <t>Next Year Discount %</t>
  </si>
  <si>
    <t>(to '4 Student rev')</t>
  </si>
  <si>
    <t>Student Revenue Projections - Current Year</t>
  </si>
  <si>
    <t>Projected Actual versus Budget</t>
  </si>
  <si>
    <t>Spring Actuals</t>
  </si>
  <si>
    <t>Summer/Other</t>
  </si>
  <si>
    <t>Fall</t>
  </si>
  <si>
    <t>% of Year</t>
  </si>
  <si>
    <t>Spring</t>
  </si>
  <si>
    <t xml:space="preserve"> A.  Traditional Gross Tuition Revenue</t>
  </si>
  <si>
    <t>Actual &amp; Projected</t>
  </si>
  <si>
    <t xml:space="preserve"> B.  Financial Aid</t>
  </si>
  <si>
    <t>note that the above calculations presume static dollar financial aid against the higher tuition price</t>
  </si>
  <si>
    <t xml:space="preserve">  Net Tuition Differential - Next Year vs This Year</t>
  </si>
  <si>
    <t>Sub-Total</t>
  </si>
  <si>
    <t xml:space="preserve"> C.  Net Tuition Revenue</t>
  </si>
  <si>
    <t xml:space="preserve">      C. YOY Increase (Decrease) in NTR</t>
  </si>
  <si>
    <t xml:space="preserve">Annualized </t>
  </si>
  <si>
    <t xml:space="preserve">  + New Students</t>
  </si>
  <si>
    <r>
      <rPr>
        <rFont val="Arial"/>
        <b/>
        <i/>
        <color rgb="FF244061"/>
        <sz val="10.0"/>
      </rPr>
      <t xml:space="preserve"> D.  Non-Traditional Revenue  </t>
    </r>
    <r>
      <rPr>
        <rFont val="Arial1"/>
        <b val="0"/>
        <i/>
        <color rgb="FFFF0000"/>
        <sz val="9.0"/>
      </rPr>
      <t>( from 'H Non trad' )</t>
    </r>
  </si>
  <si>
    <t>Students lost FA to SP</t>
  </si>
  <si>
    <t xml:space="preserve">  Gross Tuition  </t>
  </si>
  <si>
    <t xml:space="preserve">    (Discounts)   </t>
  </si>
  <si>
    <t>Actual &amp; Projected for the year</t>
  </si>
  <si>
    <t xml:space="preserve">  - (Lost Students)</t>
  </si>
  <si>
    <t>F to S Variation from Mean</t>
  </si>
  <si>
    <t xml:space="preserve"> E.  Aux Revenue</t>
  </si>
  <si>
    <t xml:space="preserve">Spring Actuals  </t>
  </si>
  <si>
    <t xml:space="preserve">  Fall Budget  </t>
  </si>
  <si>
    <t>Fall Actual</t>
  </si>
  <si>
    <t xml:space="preserve">  - Aid &amp; other losses</t>
  </si>
  <si>
    <t>Transfers in</t>
  </si>
  <si>
    <t>Others leaving</t>
  </si>
  <si>
    <t xml:space="preserve"> + Returner increase</t>
  </si>
  <si>
    <t>New Student NTR</t>
  </si>
  <si>
    <t>Lost Student NTR</t>
  </si>
  <si>
    <t>Total Projected</t>
  </si>
  <si>
    <t xml:space="preserve"> = YOY Change</t>
  </si>
  <si>
    <t xml:space="preserve">         Budgeted</t>
  </si>
  <si>
    <t>sq'd</t>
  </si>
  <si>
    <t xml:space="preserve">     Projected student revenue variance from current year budget (negative)</t>
  </si>
  <si>
    <t xml:space="preserve">  Auxiliaries</t>
  </si>
  <si>
    <t>N   E   X   T     Y  E  A  R</t>
  </si>
  <si>
    <t>Diff</t>
  </si>
  <si>
    <t>Proposed</t>
  </si>
  <si>
    <t>Census Chg</t>
  </si>
  <si>
    <t>Price Change</t>
  </si>
  <si>
    <t>Adjustments</t>
  </si>
  <si>
    <t>Student Revenue Projections - Next Year</t>
  </si>
  <si>
    <r>
      <rPr>
        <rFont val="Arial"/>
        <b/>
        <color rgb="FF244061"/>
        <sz val="12.0"/>
      </rPr>
      <t xml:space="preserve">Preliminary Student Revenue Forecast </t>
    </r>
    <r>
      <rPr>
        <rFont val="Arial1"/>
        <b/>
        <i/>
        <color rgb="FF244061"/>
        <sz val="10.0"/>
      </rPr>
      <t>(summer term blended in)</t>
    </r>
  </si>
  <si>
    <t>A. Traditional</t>
  </si>
  <si>
    <t>+</t>
  </si>
  <si>
    <t>Next Year's</t>
  </si>
  <si>
    <t>=</t>
  </si>
  <si>
    <t>Proj CY @ Next</t>
  </si>
  <si>
    <t>Rate</t>
  </si>
  <si>
    <t>Forecast</t>
  </si>
  <si>
    <t>-</t>
  </si>
  <si>
    <t>Difference</t>
  </si>
  <si>
    <t>Spring to Fall Statistics</t>
  </si>
  <si>
    <r>
      <rPr>
        <rFont val="Arial"/>
        <b/>
        <color theme="0"/>
        <sz val="10.0"/>
      </rPr>
      <t xml:space="preserve">Population </t>
    </r>
    <r>
      <rPr>
        <rFont val="Calibri"/>
        <b/>
        <color theme="0"/>
        <sz val="10.0"/>
      </rPr>
      <t>Δ</t>
    </r>
  </si>
  <si>
    <t>Year's Population</t>
  </si>
  <si>
    <t>Increase</t>
  </si>
  <si>
    <t>FR to FF</t>
  </si>
  <si>
    <t>Gross Tuition</t>
  </si>
  <si>
    <t>fm '2 Aid by class'</t>
  </si>
  <si>
    <t>(Financial Aid)</t>
  </si>
  <si>
    <t>FR to Soph</t>
  </si>
  <si>
    <t>discount rate</t>
  </si>
  <si>
    <t>Gross tuition</t>
  </si>
  <si>
    <t>(Discounts)</t>
  </si>
  <si>
    <t>B. Non Traditional</t>
  </si>
  <si>
    <t>&lt;  from 'H Non trad'  &gt;</t>
  </si>
  <si>
    <t>Soph to Junior</t>
  </si>
  <si>
    <t>C. Auxiliaries</t>
  </si>
  <si>
    <t>&lt;- from R46</t>
  </si>
  <si>
    <t>Junior to Senior</t>
  </si>
  <si>
    <r>
      <rPr>
        <rFont val="Arial"/>
        <b/>
        <i/>
        <color rgb="FF000000"/>
        <sz val="11.0"/>
      </rPr>
      <t xml:space="preserve">Student revenue available </t>
    </r>
    <r>
      <rPr>
        <rFont val="Arial1"/>
        <b/>
        <i/>
        <color rgb="FFFF0000"/>
        <sz val="11.0"/>
      </rPr>
      <t xml:space="preserve">(needed) </t>
    </r>
    <r>
      <rPr>
        <rFont val="Arial1"/>
        <b/>
        <i/>
        <color rgb="FF000000"/>
        <sz val="11.0"/>
      </rPr>
      <t>for</t>
    </r>
  </si>
  <si>
    <t>Projected Traditional Student Profile</t>
  </si>
  <si>
    <r>
      <rPr>
        <rFont val="Arial"/>
        <color rgb="FF000000"/>
        <sz val="11.0"/>
      </rPr>
      <t xml:space="preserve">         Traditional student census </t>
    </r>
    <r>
      <rPr>
        <rFont val="Arial1"/>
        <color rgb="FF000000"/>
        <sz val="9.0"/>
      </rPr>
      <t>(</t>
    </r>
    <r>
      <rPr>
        <rFont val="Arial1"/>
        <color rgb="FFFF0000"/>
        <sz val="9.0"/>
      </rPr>
      <t xml:space="preserve"> </t>
    </r>
    <r>
      <rPr>
        <rFont val="Arial1"/>
        <i/>
        <color rgb="FFFF0000"/>
        <sz val="9.0"/>
      </rPr>
      <t xml:space="preserve">'F Population' </t>
    </r>
    <r>
      <rPr>
        <rFont val="Arial1"/>
        <i/>
        <color rgb="FF000000"/>
        <sz val="9.0"/>
      </rPr>
      <t>)</t>
    </r>
    <r>
      <rPr>
        <rFont val="Arial1"/>
        <color rgb="FF000000"/>
        <sz val="9.0"/>
      </rPr>
      <t xml:space="preserve"> </t>
    </r>
    <r>
      <rPr>
        <rFont val="Arial1"/>
        <color rgb="FF000000"/>
        <sz val="12.0"/>
      </rPr>
      <t xml:space="preserve">for </t>
    </r>
    <r>
      <rPr>
        <rFont val="Arial1"/>
        <color rgb="FF000000"/>
        <sz val="11.0"/>
      </rPr>
      <t>fall semester</t>
    </r>
  </si>
  <si>
    <t>fall student census</t>
  </si>
  <si>
    <r>
      <rPr>
        <rFont val="Arial"/>
        <color rgb="FF000000"/>
        <sz val="11.0"/>
      </rPr>
      <t xml:space="preserve">   </t>
    </r>
    <r>
      <rPr>
        <rFont val="Arial1"/>
        <color rgb="FF000000"/>
        <sz val="14.0"/>
      </rPr>
      <t xml:space="preserve">  -  (</t>
    </r>
    <r>
      <rPr>
        <rFont val="Arial1"/>
        <color rgb="FF000000"/>
        <sz val="11.0"/>
      </rPr>
      <t xml:space="preserve">Est'd graduates, transfers or drop outs lost for the CY)     </t>
    </r>
  </si>
  <si>
    <t xml:space="preserve">               Less: ( CY students lost )</t>
  </si>
  <si>
    <t xml:space="preserve">           =   CY students expected to return for fall semester</t>
  </si>
  <si>
    <t>returning students</t>
  </si>
  <si>
    <r>
      <rPr>
        <rFont val="Arial"/>
        <color rgb="FF000000"/>
        <sz val="11.0"/>
      </rPr>
      <t xml:space="preserve">1st time freshman class </t>
    </r>
    <r>
      <rPr>
        <rFont val="Arial1"/>
        <color rgb="FF000000"/>
        <sz val="9.0"/>
      </rPr>
      <t xml:space="preserve">(from </t>
    </r>
    <r>
      <rPr>
        <rFont val="Arial1"/>
        <i/>
        <color rgb="FF000000"/>
        <sz val="9.0"/>
      </rPr>
      <t>'</t>
    </r>
    <r>
      <rPr>
        <rFont val="Arial1"/>
        <i/>
        <color rgb="FFFF0000"/>
        <sz val="9.0"/>
      </rPr>
      <t>F Population</t>
    </r>
    <r>
      <rPr>
        <rFont val="Arial1"/>
        <color rgb="FF000000"/>
        <sz val="9.0"/>
      </rPr>
      <t>')</t>
    </r>
    <r>
      <rPr>
        <rFont val="Arial1"/>
        <color rgb="FF000000"/>
        <sz val="11.0"/>
      </rPr>
      <t xml:space="preserve"> for fall</t>
    </r>
  </si>
  <si>
    <t xml:space="preserve">               Est freshman recruitment</t>
  </si>
  <si>
    <t xml:space="preserve">      +  Transfers in and returning stopouts</t>
  </si>
  <si>
    <t xml:space="preserve">               Est transfers next fall</t>
  </si>
  <si>
    <t xml:space="preserve">           =  Incoming freshmen &amp; transfers projected for fall</t>
  </si>
  <si>
    <t>S to F Variation from Mean</t>
  </si>
  <si>
    <t>new students</t>
  </si>
  <si>
    <r>
      <rPr>
        <rFont val="Arial"/>
        <color rgb="FF000000"/>
        <sz val="11.0"/>
      </rPr>
      <t xml:space="preserve">Next year projected fall census </t>
    </r>
    <r>
      <rPr>
        <rFont val="Arial1"/>
        <color rgb="FF000000"/>
        <sz val="9.0"/>
      </rPr>
      <t xml:space="preserve">(from </t>
    </r>
    <r>
      <rPr>
        <rFont val="Arial1"/>
        <i/>
        <color rgb="FF000000"/>
        <sz val="9.0"/>
      </rPr>
      <t>'</t>
    </r>
    <r>
      <rPr>
        <rFont val="Arial1"/>
        <i/>
        <color rgb="FFFF0000"/>
        <sz val="9.0"/>
      </rPr>
      <t>F Population</t>
    </r>
    <r>
      <rPr>
        <rFont val="Arial1"/>
        <color rgb="FF000000"/>
        <sz val="9.0"/>
      </rPr>
      <t>')</t>
    </r>
  </si>
  <si>
    <t xml:space="preserve">               Est total census next fall</t>
  </si>
  <si>
    <t xml:space="preserve">               Next year fall census vs CY</t>
  </si>
  <si>
    <t>Replacement Ratio:</t>
  </si>
  <si>
    <t>/</t>
  </si>
  <si>
    <r>
      <rPr>
        <rFont val="Arial"/>
        <color rgb="FF000000"/>
        <sz val="11.0"/>
      </rPr>
      <t xml:space="preserve">             </t>
    </r>
    <r>
      <rPr>
        <rFont val="Arial1"/>
        <b/>
        <color rgb="FF4F6128"/>
        <sz val="11.0"/>
      </rPr>
      <t xml:space="preserve"> new</t>
    </r>
    <r>
      <rPr>
        <rFont val="Arial1"/>
        <color rgb="FF4F6128"/>
        <sz val="11.0"/>
      </rPr>
      <t xml:space="preserve"> </t>
    </r>
    <r>
      <rPr>
        <rFont val="Arial1"/>
        <color rgb="FF000000"/>
        <sz val="11.0"/>
      </rPr>
      <t xml:space="preserve"> /  </t>
    </r>
    <r>
      <rPr>
        <rFont val="Arial1"/>
        <b/>
        <color rgb="FFFF0000"/>
        <sz val="11.0"/>
      </rPr>
      <t>lost</t>
    </r>
  </si>
  <si>
    <t>Sq'd</t>
  </si>
  <si>
    <t>Diff.</t>
  </si>
  <si>
    <t>First-time Freshmen</t>
  </si>
  <si>
    <t>T r a n s f e r s</t>
  </si>
  <si>
    <t>F  O  R  E  C  A  S  T</t>
  </si>
  <si>
    <t>Transfers/sum(FR-&gt;SR) (%)</t>
  </si>
  <si>
    <t>VII.</t>
  </si>
  <si>
    <t>Current Year Projected Operating Performance</t>
  </si>
  <si>
    <t>from 'E Budg CY'</t>
  </si>
  <si>
    <r>
      <rPr>
        <rFont val="Arial"/>
        <color rgb="FF000000"/>
        <sz val="11.0"/>
      </rPr>
      <t xml:space="preserve">   Less:  Tuition Discounts - Unfunded    </t>
    </r>
    <r>
      <rPr>
        <rFont val="Arial1"/>
        <i/>
        <color rgb="FFFF0000"/>
        <sz val="9.0"/>
      </rPr>
      <t>(negative number)</t>
    </r>
  </si>
  <si>
    <r>
      <rPr>
        <rFont val="Arial"/>
        <color rgb="FF000000"/>
        <sz val="11.0"/>
      </rPr>
      <t xml:space="preserve">               Tuition Discounts - Funded    </t>
    </r>
    <r>
      <rPr>
        <rFont val="Arial1"/>
        <color rgb="FF000000"/>
        <sz val="9.0"/>
      </rPr>
      <t xml:space="preserve">  </t>
    </r>
    <r>
      <rPr>
        <rFont val="Arial1"/>
        <i/>
        <color rgb="FF000000"/>
        <sz val="9.0"/>
      </rPr>
      <t xml:space="preserve"> </t>
    </r>
    <r>
      <rPr>
        <rFont val="Arial1"/>
        <i/>
        <color rgb="FFFF0000"/>
        <sz val="9.0"/>
      </rPr>
      <t>(negative number)</t>
    </r>
  </si>
  <si>
    <r>
      <rPr>
        <rFont val="Arial"/>
        <color rgb="FF000000"/>
        <sz val="11.0"/>
      </rPr>
      <t xml:space="preserve">   Tuition &amp; Fees- Non-Traditional                 </t>
    </r>
    <r>
      <rPr>
        <rFont val="Arial1"/>
        <i/>
        <color rgb="FFFF0000"/>
        <sz val="9.0"/>
      </rPr>
      <t>('H Non trad')</t>
    </r>
  </si>
  <si>
    <r>
      <rPr>
        <rFont val="Arial"/>
        <color rgb="FF000000"/>
        <sz val="11.0"/>
      </rPr>
      <t xml:space="preserve">   Less:  Tuition Discounts                             </t>
    </r>
    <r>
      <rPr>
        <rFont val="Arial1"/>
        <i/>
        <color rgb="FFFF0000"/>
        <sz val="9.0"/>
      </rPr>
      <t>('H Non trad')</t>
    </r>
  </si>
  <si>
    <t xml:space="preserve">       Auxiliary Revenues</t>
  </si>
  <si>
    <t xml:space="preserve">        Non-Student Revenues:</t>
  </si>
  <si>
    <t>VIII.</t>
  </si>
  <si>
    <r>
      <rPr>
        <rFont val="Arial"/>
        <color rgb="FF000000"/>
        <sz val="11.0"/>
      </rPr>
      <t xml:space="preserve">      Added expenses due to releases   </t>
    </r>
    <r>
      <rPr>
        <rFont val="Arial1"/>
        <i/>
        <color rgb="FF000000"/>
        <sz val="11.0"/>
      </rPr>
      <t xml:space="preserve"> </t>
    </r>
    <r>
      <rPr>
        <rFont val="Arial1"/>
        <i/>
        <color rgb="FFFF0000"/>
        <sz val="9.0"/>
      </rPr>
      <t>(to 'M Non student)</t>
    </r>
  </si>
  <si>
    <r>
      <rPr>
        <rFont val="Arial"/>
        <color rgb="FF000000"/>
        <sz val="11.0"/>
      </rPr>
      <t xml:space="preserve">      New building operations                       </t>
    </r>
    <r>
      <rPr>
        <rFont val="Arial1"/>
        <i/>
        <color rgb="FFFF0000"/>
        <sz val="9.0"/>
      </rPr>
      <t>(see 'L Capital')</t>
    </r>
  </si>
  <si>
    <r>
      <rPr>
        <rFont val="Arial"/>
        <color rgb="FF000000"/>
        <sz val="11.0"/>
      </rPr>
      <t xml:space="preserve">      Non-traditional                                   </t>
    </r>
    <r>
      <rPr>
        <rFont val="Arial1"/>
        <i/>
        <color rgb="FFFF0000"/>
        <sz val="9.0"/>
      </rPr>
      <t>(see 'H Non  trad)</t>
    </r>
  </si>
  <si>
    <r>
      <rPr>
        <rFont val="Arial"/>
        <color rgb="FF000000"/>
        <sz val="11.0"/>
      </rPr>
      <t xml:space="preserve">      Strategic Initiatives                            </t>
    </r>
    <r>
      <rPr>
        <rFont val="Arial1"/>
        <i/>
        <color rgb="FFFF0000"/>
        <sz val="9.0"/>
      </rPr>
      <t xml:space="preserve"> (see 'K Strategic')</t>
    </r>
  </si>
  <si>
    <r>
      <rPr>
        <rFont val="Arial"/>
        <b/>
        <color rgb="FF244061"/>
        <sz val="11.0"/>
      </rPr>
      <t xml:space="preserve">            Depreciation Expense                 </t>
    </r>
    <r>
      <rPr>
        <rFont val="Arial1"/>
        <b val="0"/>
        <i/>
        <color rgb="FFFF0000"/>
        <sz val="9.0"/>
      </rPr>
      <t>(see 'L Capital)</t>
    </r>
  </si>
  <si>
    <t xml:space="preserve"> </t>
  </si>
  <si>
    <t xml:space="preserve">     </t>
  </si>
  <si>
    <t>from 'M Non student'' &gt;</t>
  </si>
  <si>
    <t>"   "</t>
  </si>
  <si>
    <r>
      <rPr>
        <rFont val="Arial"/>
        <color rgb="FF000000"/>
        <sz val="11.0"/>
      </rPr>
      <t xml:space="preserve">     Depreciation expense -</t>
    </r>
    <r>
      <rPr>
        <rFont val="Arial1"/>
        <i/>
        <color rgb="FF000000"/>
        <sz val="11.0"/>
      </rPr>
      <t xml:space="preserve"> non-cash</t>
    </r>
  </si>
  <si>
    <t>Strategic initiative and extra-</t>
  </si>
  <si>
    <t xml:space="preserve"> inflationary spending</t>
  </si>
  <si>
    <t>C u r r e n t   Y e a r</t>
  </si>
  <si>
    <t>Initiative Description</t>
  </si>
  <si>
    <r>
      <rPr>
        <rFont val="Arial"/>
        <color rgb="FF000000"/>
        <sz val="11.0"/>
      </rPr>
      <t xml:space="preserve">Strategic Plan Ref </t>
    </r>
    <r>
      <rPr>
        <rFont val="Arial1"/>
        <b/>
        <color rgb="FFFF0000"/>
        <sz val="11.0"/>
      </rPr>
      <t>*</t>
    </r>
  </si>
  <si>
    <t>RN to BSN start-up costs</t>
  </si>
  <si>
    <r>
      <rPr>
        <rFont val="Arial"/>
        <color rgb="FF000000"/>
        <sz val="11.0"/>
      </rPr>
      <t xml:space="preserve">Retention Initiative </t>
    </r>
    <r>
      <rPr>
        <rFont val="Arial1"/>
        <i/>
        <color rgb="FFFF0000"/>
        <sz val="9.0"/>
      </rPr>
      <t>(from 'F Population)</t>
    </r>
  </si>
  <si>
    <t>investment year</t>
  </si>
  <si>
    <t xml:space="preserve">     Total Strategic Initiatives</t>
  </si>
  <si>
    <t>(to 'E Budg CY')</t>
  </si>
  <si>
    <t>(to 'J Proj CY')</t>
  </si>
  <si>
    <t>(to 'N Next Yr')</t>
  </si>
  <si>
    <t>/ -  -  -  -  -  -  -  -  -  -  -  -  -  -  (to 'P Fcast 5yr')  -  -  -  -  -  -  -  -  -  -  -  -  - /</t>
  </si>
  <si>
    <t>*</t>
  </si>
  <si>
    <r>
      <rPr>
        <rFont val="Arial"/>
        <color rgb="FF000000"/>
        <sz val="11.0"/>
      </rPr>
      <t xml:space="preserve"> "G" = Strategic </t>
    </r>
    <r>
      <rPr>
        <rFont val="Arial1"/>
        <b/>
        <color rgb="FF000000"/>
        <sz val="11.0"/>
        <u/>
      </rPr>
      <t>G</t>
    </r>
    <r>
      <rPr>
        <rFont val="Arial1"/>
        <color rgb="FF000000"/>
        <sz val="11.0"/>
      </rPr>
      <t>oal number</t>
    </r>
  </si>
  <si>
    <r>
      <rPr>
        <rFont val="Arial"/>
        <color rgb="FF000000"/>
        <sz val="11.0"/>
      </rPr>
      <t xml:space="preserve"> "S" = </t>
    </r>
    <r>
      <rPr>
        <rFont val="Arial1"/>
        <b/>
        <color rgb="FF000000"/>
        <sz val="11.0"/>
        <u/>
      </rPr>
      <t>S</t>
    </r>
    <r>
      <rPr>
        <rFont val="Arial1"/>
        <color rgb="FF000000"/>
        <sz val="11.0"/>
      </rPr>
      <t>trategy number</t>
    </r>
  </si>
  <si>
    <r>
      <rPr>
        <rFont val="Arial"/>
        <color rgb="FF000000"/>
        <sz val="11.0"/>
      </rPr>
      <t xml:space="preserve"> "A" =</t>
    </r>
    <r>
      <rPr>
        <rFont val="Arial1"/>
        <b/>
        <color rgb="FF000000"/>
        <sz val="11.0"/>
        <u/>
      </rPr>
      <t xml:space="preserve"> A</t>
    </r>
    <r>
      <rPr>
        <rFont val="Arial1"/>
        <color rgb="FF000000"/>
        <sz val="11.0"/>
      </rPr>
      <t>ction Step number</t>
    </r>
  </si>
  <si>
    <t>Capital and Debt Worksheet</t>
  </si>
  <si>
    <t>Note:  all numbers entered in this schedule are expressed as positive</t>
  </si>
  <si>
    <t xml:space="preserve"> I.  Capital spending / projects </t>
  </si>
  <si>
    <r>
      <rPr>
        <rFont val="Arial"/>
        <b/>
        <color rgb="FF000000"/>
        <sz val="9.0"/>
      </rPr>
      <t xml:space="preserve">Depreciable </t>
    </r>
    <r>
      <rPr>
        <rFont val="Arial1"/>
        <b/>
        <color rgb="FF000000"/>
        <sz val="9.0"/>
        <u/>
      </rPr>
      <t>Life (years)</t>
    </r>
  </si>
  <si>
    <r>
      <rPr>
        <rFont val="Arial"/>
        <b/>
        <color theme="1"/>
        <sz val="8.0"/>
      </rPr>
      <t xml:space="preserve">Year 1 months </t>
    </r>
    <r>
      <rPr>
        <rFont val="Arial1"/>
        <b/>
        <color theme="1"/>
        <sz val="8.0"/>
        <u/>
      </rPr>
      <t>of usage</t>
    </r>
  </si>
  <si>
    <r>
      <rPr>
        <rFont val="Arial1"/>
        <b/>
        <color theme="1"/>
        <sz val="9.0"/>
        <u/>
      </rPr>
      <t>C-I-P Beginning</t>
    </r>
    <r>
      <rPr>
        <rFont val="Arial1"/>
        <b/>
        <color theme="1"/>
        <sz val="9.0"/>
        <u/>
      </rPr>
      <t xml:space="preserve"> Balance</t>
    </r>
  </si>
  <si>
    <t>Yes</t>
  </si>
  <si>
    <t xml:space="preserve">   These are all expressed with positive numbers</t>
  </si>
  <si>
    <t>In-service year</t>
  </si>
  <si>
    <t>No</t>
  </si>
  <si>
    <t>New Student Center</t>
  </si>
  <si>
    <t>2025 - 26</t>
  </si>
  <si>
    <t>Field House</t>
  </si>
  <si>
    <t>2026 - 27</t>
  </si>
  <si>
    <t>Annual capital spending, funded by operations</t>
  </si>
  <si>
    <t xml:space="preserve">      A.  Investments in capital projects</t>
  </si>
  <si>
    <t xml:space="preserve">      B.  Operating costs of new facilities</t>
  </si>
  <si>
    <t>Sq. footage ("sf")</t>
  </si>
  <si>
    <t>Oper. Cost / sf / yr</t>
  </si>
  <si>
    <r>
      <rPr>
        <rFont val="Arial"/>
        <b/>
        <color rgb="FF000000"/>
        <sz val="10.0"/>
      </rPr>
      <t xml:space="preserve"> </t>
    </r>
    <r>
      <rPr>
        <rFont val="Arial1"/>
        <b/>
        <color rgb="FF000000"/>
        <sz val="11.0"/>
      </rPr>
      <t xml:space="preserve">     C.  Projected sales of fixed assets</t>
    </r>
  </si>
  <si>
    <t>non-oper income</t>
  </si>
  <si>
    <t>Full Sale Price</t>
  </si>
  <si>
    <t>CY+PY sales cash</t>
  </si>
  <si>
    <t>BV of assets sold</t>
  </si>
  <si>
    <t>Remain. life (years)</t>
  </si>
  <si>
    <t>Gain (loss) on sale</t>
  </si>
  <si>
    <t>to 'M Non student'</t>
  </si>
  <si>
    <t xml:space="preserve"> II.  Cash received for capital projects (purpose restricted)</t>
  </si>
  <si>
    <r>
      <rPr>
        <rFont val="Arial1"/>
        <b/>
        <color theme="1"/>
        <sz val="9.0"/>
        <u/>
      </rPr>
      <t>Beginning</t>
    </r>
    <r>
      <rPr>
        <rFont val="Arial1"/>
        <b/>
        <color theme="1"/>
        <sz val="9.0"/>
        <u/>
      </rPr>
      <t xml:space="preserve"> Balance</t>
    </r>
  </si>
  <si>
    <r>
      <rPr>
        <rFont val="Arial"/>
        <i/>
        <color rgb="FF366092"/>
        <sz val="10.0"/>
      </rPr>
      <t>Enter amounts for when funds will be</t>
    </r>
    <r>
      <rPr>
        <rFont val="Arial1"/>
        <b/>
        <i/>
        <color rgb="FF366092"/>
        <sz val="10.0"/>
      </rPr>
      <t xml:space="preserve"> received</t>
    </r>
    <r>
      <rPr>
        <rFont val="Arial1"/>
        <i/>
        <color rgb="FF366092"/>
        <sz val="10.0"/>
      </rPr>
      <t>.</t>
    </r>
    <r>
      <rPr>
        <rFont val="Arial1"/>
        <i/>
        <color rgb="FFFF0000"/>
        <sz val="10.0"/>
      </rPr>
      <t xml:space="preserve"> Include funds received from pledge payoffs.</t>
    </r>
  </si>
  <si>
    <t>Non-student revenues and expense increments</t>
  </si>
  <si>
    <r>
      <rPr>
        <rFont val="Arial"/>
        <b/>
        <color rgb="FF000000"/>
        <sz val="11.0"/>
      </rPr>
      <t xml:space="preserve">I.  Operating (non-student) Revenues </t>
    </r>
    <r>
      <rPr>
        <rFont val="Arial1"/>
        <b val="0"/>
        <i/>
        <color rgb="FF000000"/>
        <sz val="10.0"/>
      </rPr>
      <t>(cash received)</t>
    </r>
  </si>
  <si>
    <t>Row 96 below</t>
  </si>
  <si>
    <t xml:space="preserve">          Non-Student Revenues</t>
  </si>
  <si>
    <r>
      <rPr>
        <rFont val="Arial"/>
        <b/>
        <color rgb="FF000000"/>
        <sz val="11.0"/>
      </rPr>
      <t xml:space="preserve">II.  Expense Increments </t>
    </r>
    <r>
      <rPr>
        <rFont val="Arial1"/>
        <b val="0"/>
        <i/>
        <color rgb="FF000000"/>
        <sz val="10.0"/>
      </rPr>
      <t>(spending in outer years)</t>
    </r>
  </si>
  <si>
    <r>
      <rPr>
        <rFont val="Arial"/>
        <b/>
        <color rgb="FF000000"/>
        <sz val="11.0"/>
      </rPr>
      <t xml:space="preserve">      </t>
    </r>
    <r>
      <rPr>
        <rFont val="Arial1"/>
        <b val="0"/>
        <color rgb="FF000000"/>
        <sz val="11.0"/>
      </rPr>
      <t>Operating expense inflation %</t>
    </r>
  </si>
  <si>
    <t>impacts P Fcast 5yr</t>
  </si>
  <si>
    <t xml:space="preserve">      Healthcare inflation %</t>
  </si>
  <si>
    <t xml:space="preserve">  " "</t>
  </si>
  <si>
    <t xml:space="preserve">      Extraordinary Expense accruals at Y/E</t>
  </si>
  <si>
    <t>III.  Capital Donations rel. from restriction (non op)</t>
  </si>
  <si>
    <t>L Capital</t>
  </si>
  <si>
    <t>IV.  Non-operating gains (losses) - other</t>
  </si>
  <si>
    <t xml:space="preserve">    Gain (loss) on sale of fixed assets</t>
  </si>
  <si>
    <t xml:space="preserve">    Other non-operating net gain (loss)</t>
  </si>
  <si>
    <t xml:space="preserve">        Non-operating gains (losses) - other</t>
  </si>
  <si>
    <r>
      <rPr>
        <rFont val="Arial"/>
        <b/>
        <i/>
        <color rgb="FF000000"/>
        <sz val="10.0"/>
      </rPr>
      <t xml:space="preserve">Beginning Balances       </t>
    </r>
    <r>
      <rPr>
        <rFont val="Arial1"/>
        <b/>
        <i/>
        <color rgb="FFFF0000"/>
        <sz val="9.0"/>
      </rPr>
      <t>D PY Audit</t>
    </r>
  </si>
  <si>
    <t>V.  Pledge Activity</t>
  </si>
  <si>
    <t xml:space="preserve"> E n t e r   B O T H </t>
  </si>
  <si>
    <t xml:space="preserve"> n e w   p l e d g e s</t>
  </si>
  <si>
    <t xml:space="preserve"> &amp;  p a y m e n t s</t>
  </si>
  <si>
    <t xml:space="preserve"> a s   p o s i t i v e   n u m b e r s</t>
  </si>
  <si>
    <t xml:space="preserve">  TOTAL  </t>
  </si>
  <si>
    <t xml:space="preserve">   Net    </t>
  </si>
  <si>
    <t xml:space="preserve">      A.  Gifts without donor restrictions</t>
  </si>
  <si>
    <t>Pledges paid</t>
  </si>
  <si>
    <t xml:space="preserve">      B.  Capital Projects</t>
  </si>
  <si>
    <t xml:space="preserve">      C.  Other Time or Purpose Restricted</t>
  </si>
  <si>
    <t xml:space="preserve">      D.  Endowment</t>
  </si>
  <si>
    <t xml:space="preserve">  _________</t>
  </si>
  <si>
    <t xml:space="preserve">     Total Pledges Receivable</t>
  </si>
  <si>
    <r>
      <rPr>
        <rFont val="Arial"/>
        <b/>
        <color rgb="FF953734"/>
        <sz val="11.0"/>
      </rPr>
      <t xml:space="preserve">Performance Projections for Next Year </t>
    </r>
    <r>
      <rPr>
        <rFont val="Arial1"/>
        <b/>
        <i/>
        <color rgb="FF953734"/>
        <sz val="10.0"/>
      </rPr>
      <t>(changes only)</t>
    </r>
  </si>
  <si>
    <t>Note:  Complete worksheets D - H and CY data for</t>
  </si>
  <si>
    <t>Fiscal Year</t>
  </si>
  <si>
    <t xml:space="preserve">           'K Strategic',  'L Capital', and 'M Non student'</t>
  </si>
  <si>
    <t xml:space="preserve">   I.  Operating Revenue Changes versus CY Budget</t>
  </si>
  <si>
    <t>A.  Traditional Student Revenues</t>
  </si>
  <si>
    <r>
      <rPr>
        <rFont val="Arial"/>
        <i/>
        <color rgb="FF000000"/>
        <sz val="9.0"/>
      </rPr>
      <t xml:space="preserve">(from </t>
    </r>
    <r>
      <rPr>
        <rFont val="Arial1"/>
        <i/>
        <color rgb="FFFF0000"/>
        <sz val="9.0"/>
      </rPr>
      <t>'I Student rev'</t>
    </r>
    <r>
      <rPr>
        <rFont val="Arial1"/>
        <i/>
        <color rgb="FF000000"/>
        <sz val="9.0"/>
      </rPr>
      <t>)</t>
    </r>
  </si>
  <si>
    <t>VI. Endowment available for investment</t>
  </si>
  <si>
    <t>B.  Non Traditional Student Revenues</t>
  </si>
  <si>
    <r>
      <rPr>
        <rFont val="Arial"/>
        <i/>
        <color rgb="FF000000"/>
        <sz val="9.0"/>
      </rPr>
      <t xml:space="preserve">(from </t>
    </r>
    <r>
      <rPr>
        <rFont val="Arial1"/>
        <i/>
        <color rgb="FFFF0000"/>
        <sz val="9.0"/>
      </rPr>
      <t>'I Student rev'</t>
    </r>
    <r>
      <rPr>
        <rFont val="Arial1"/>
        <i/>
        <color rgb="FF000000"/>
        <sz val="9.0"/>
      </rPr>
      <t>)</t>
    </r>
  </si>
  <si>
    <t>C.  Non-Student</t>
  </si>
  <si>
    <r>
      <rPr>
        <rFont val="Arial"/>
        <i/>
        <color rgb="FF000000"/>
        <sz val="9.0"/>
      </rPr>
      <t xml:space="preserve">(from </t>
    </r>
    <r>
      <rPr>
        <rFont val="Arial1"/>
        <i/>
        <color rgb="FFFF0000"/>
        <sz val="9.0"/>
      </rPr>
      <t>'M Non student'</t>
    </r>
    <r>
      <rPr>
        <rFont val="Arial1"/>
        <i/>
        <color rgb="FF000000"/>
        <sz val="9.0"/>
      </rPr>
      <t>)</t>
    </r>
  </si>
  <si>
    <r>
      <rPr>
        <rFont val="Arial"/>
        <color rgb="FF000000"/>
        <sz val="11.0"/>
      </rPr>
      <t xml:space="preserve">       A. Beginning value of investments </t>
    </r>
    <r>
      <rPr>
        <rFont val="Arial1"/>
        <i/>
        <color rgb="FF000000"/>
        <sz val="9.0"/>
      </rPr>
      <t>(</t>
    </r>
    <r>
      <rPr>
        <rFont val="Arial1"/>
        <i/>
        <color rgb="FFFF0000"/>
        <sz val="9.0"/>
      </rPr>
      <t>from 'R Bal sheets'</t>
    </r>
    <r>
      <rPr>
        <rFont val="Arial1"/>
        <i/>
        <color rgb="FF000000"/>
        <sz val="9.0"/>
      </rPr>
      <t>)</t>
    </r>
  </si>
  <si>
    <t>D.  Net assets released from restriction</t>
  </si>
  <si>
    <t xml:space="preserve">       B. Beginning book value and appreciation of endowment</t>
  </si>
  <si>
    <t>Total projected increase (decrease)  in operating revenues</t>
  </si>
  <si>
    <t xml:space="preserve">       C. Less beginning balance of endowment pledges</t>
  </si>
  <si>
    <t>Cash received from payments on pledges</t>
  </si>
  <si>
    <t xml:space="preserve">  II.  Anticipated increases (decreases) for:</t>
  </si>
  <si>
    <t>A.  Personnel Costs - (changes only)</t>
  </si>
  <si>
    <t>employee raises</t>
  </si>
  <si>
    <t xml:space="preserve">       D. Beginning endowment available for investment (B + C)</t>
  </si>
  <si>
    <t>benefits</t>
  </si>
  <si>
    <t xml:space="preserve">       Capital donations raised</t>
  </si>
  <si>
    <t xml:space="preserve">       E. Excess (deficiency) Investment less endowment (A. - D.)</t>
  </si>
  <si>
    <t>new positions</t>
  </si>
  <si>
    <r>
      <rPr>
        <rFont val="Arial"/>
        <color rgb="FF000000"/>
        <sz val="11.0"/>
      </rPr>
      <t xml:space="preserve">       E. Cash Gifts for Endowments </t>
    </r>
    <r>
      <rPr>
        <rFont val="Arial1"/>
        <i/>
        <color rgb="FF000000"/>
        <sz val="10.0"/>
      </rPr>
      <t>(not pledge payments)</t>
    </r>
  </si>
  <si>
    <t xml:space="preserve">       F. Endowment pledges paid during the year</t>
  </si>
  <si>
    <t>Health care costs</t>
  </si>
  <si>
    <t xml:space="preserve">  III.  Debt Issuance and Principal Payments</t>
  </si>
  <si>
    <t xml:space="preserve">         Endowment available for investment </t>
  </si>
  <si>
    <t xml:space="preserve">     Total Personnel Cost Increases </t>
  </si>
  <si>
    <t>C.  Contracts &amp; Cost Increases  (changes only)</t>
  </si>
  <si>
    <t>VII. Endowment &amp; split interest accumulated appreciation</t>
  </si>
  <si>
    <t>dining</t>
  </si>
  <si>
    <t>other increases</t>
  </si>
  <si>
    <t xml:space="preserve">       A.  Projected investment return as a %</t>
  </si>
  <si>
    <t>received  +</t>
  </si>
  <si>
    <t xml:space="preserve">       B.  Endowment spending rate</t>
  </si>
  <si>
    <t xml:space="preserve">       C.  Special endowment payouts</t>
  </si>
  <si>
    <r>
      <rPr>
        <rFont val="Arial"/>
        <color rgb="FF000000"/>
        <sz val="11.0"/>
      </rPr>
      <t xml:space="preserve">       D.  Endowment &amp; split interest appreciation </t>
    </r>
    <r>
      <rPr>
        <rFont val="Arial1"/>
        <i/>
        <color rgb="FF000000"/>
        <sz val="9.0"/>
      </rPr>
      <t>(beginning balance)</t>
    </r>
  </si>
  <si>
    <t xml:space="preserve">       E.  Endowment earnings before spending</t>
  </si>
  <si>
    <t xml:space="preserve">       F.  Endowment spending released from restriction</t>
  </si>
  <si>
    <t xml:space="preserve">     Total Increases to Contracts and Costs</t>
  </si>
  <si>
    <t>(entries for 'Auxiliaries' reduces 'Traditional')</t>
  </si>
  <si>
    <t>D.  Strategic</t>
  </si>
  <si>
    <r>
      <rPr>
        <rFont val="Arial"/>
        <i/>
        <color rgb="FF000000"/>
        <sz val="9.0"/>
      </rPr>
      <t xml:space="preserve">(from </t>
    </r>
    <r>
      <rPr>
        <rFont val="Arial1"/>
        <i/>
        <color rgb="FFFF0000"/>
        <sz val="9.0"/>
      </rPr>
      <t>'K Strategic'</t>
    </r>
    <r>
      <rPr>
        <rFont val="Arial1"/>
        <i/>
        <color rgb="FF000000"/>
        <sz val="9.0"/>
      </rPr>
      <t>)</t>
    </r>
  </si>
  <si>
    <r>
      <rPr>
        <rFont val="Arial"/>
        <b/>
        <color rgb="FF000000"/>
        <sz val="11.0"/>
      </rPr>
      <t xml:space="preserve">         Endowment &amp; split interest appreciation </t>
    </r>
    <r>
      <rPr>
        <rFont val="Arial1"/>
        <b val="0"/>
        <i/>
        <color rgb="FF000000"/>
        <sz val="9.0"/>
      </rPr>
      <t>(ending balance)</t>
    </r>
  </si>
  <si>
    <t>E.  Non Traditional</t>
  </si>
  <si>
    <r>
      <rPr>
        <rFont val="Arial"/>
        <i/>
        <color rgb="FF000000"/>
        <sz val="9.0"/>
      </rPr>
      <t xml:space="preserve">(from </t>
    </r>
    <r>
      <rPr>
        <rFont val="Arial1"/>
        <i/>
        <color rgb="FFFF0000"/>
        <sz val="9.0"/>
      </rPr>
      <t>'H Non trad'</t>
    </r>
    <r>
      <rPr>
        <rFont val="Arial1"/>
        <i/>
        <color rgb="FF000000"/>
        <sz val="9.0"/>
      </rPr>
      <t>)</t>
    </r>
  </si>
  <si>
    <r>
      <rPr>
        <rFont val="Arial"/>
        <color rgb="FF000000"/>
        <sz val="11.0"/>
      </rPr>
      <t xml:space="preserve">       G.  Non-endowed (unrestricted) investments </t>
    </r>
    <r>
      <rPr>
        <rFont val="Arial1"/>
        <i/>
        <color rgb="FF000000"/>
        <sz val="9.0"/>
      </rPr>
      <t>(beginning balance)</t>
    </r>
  </si>
  <si>
    <t xml:space="preserve">     Sub-total Operating Expense Increases</t>
  </si>
  <si>
    <t xml:space="preserve">       H.  Earnings on non-endowment investments</t>
  </si>
  <si>
    <t>F.  Capital Projects</t>
  </si>
  <si>
    <r>
      <rPr>
        <rFont val="Arial"/>
        <i/>
        <color rgb="FF000000"/>
        <sz val="9.0"/>
      </rPr>
      <t xml:space="preserve">(from </t>
    </r>
    <r>
      <rPr>
        <rFont val="Arial1"/>
        <i/>
        <color rgb="FFFF0000"/>
        <sz val="9.0"/>
      </rPr>
      <t>'L Capital'</t>
    </r>
    <r>
      <rPr>
        <rFont val="Arial1"/>
        <i/>
        <color rgb="FF000000"/>
        <sz val="9.0"/>
      </rPr>
      <t>)</t>
    </r>
  </si>
  <si>
    <t xml:space="preserve">        Increased Depreciation Expense</t>
  </si>
  <si>
    <t xml:space="preserve">       I.   Non endowed spending</t>
  </si>
  <si>
    <t xml:space="preserve">       J.  Transferred into (out of) investments to cash</t>
  </si>
  <si>
    <t xml:space="preserve">        Additional New Building Operating Costs</t>
  </si>
  <si>
    <r>
      <rPr>
        <rFont val="Arial"/>
        <b/>
        <color rgb="FF000000"/>
        <sz val="11.0"/>
      </rPr>
      <t xml:space="preserve">         Non-endowment investments </t>
    </r>
    <r>
      <rPr>
        <rFont val="Arial1"/>
        <b val="0"/>
        <i/>
        <color rgb="FF000000"/>
        <sz val="9.0"/>
      </rPr>
      <t>(ending balance)</t>
    </r>
  </si>
  <si>
    <r>
      <rPr>
        <rFont val="Arial"/>
        <b/>
        <color rgb="FF000000"/>
        <sz val="11.0"/>
      </rPr>
      <t xml:space="preserve">        Interest Expense</t>
    </r>
    <r>
      <rPr>
        <rFont val="Arial1"/>
        <b val="0"/>
        <color rgb="FF000000"/>
        <sz val="10.0"/>
      </rPr>
      <t xml:space="preserve"> </t>
    </r>
    <r>
      <rPr>
        <rFont val="Arial1"/>
        <b val="0"/>
        <i/>
        <color rgb="FF000000"/>
        <sz val="10.0"/>
      </rPr>
      <t>(change from CY)</t>
    </r>
  </si>
  <si>
    <t xml:space="preserve"> Fall % of census</t>
  </si>
  <si>
    <t xml:space="preserve"> Spring % of census</t>
  </si>
  <si>
    <t>PY Actual, CY Projection and 5Y Forecast</t>
  </si>
  <si>
    <t xml:space="preserve">         Pledge payments less new pledges</t>
  </si>
  <si>
    <t>G.  Total projected increase (decrease) in expenses</t>
  </si>
  <si>
    <r>
      <rPr>
        <rFont val="Arial"/>
        <b/>
        <color rgb="FF000000"/>
        <sz val="11.0"/>
      </rPr>
      <t xml:space="preserve">         Endowed and non-endowed investments </t>
    </r>
    <r>
      <rPr>
        <rFont val="Arial1"/>
        <b val="0"/>
        <i/>
        <color rgb="FF000000"/>
        <sz val="9.0"/>
      </rPr>
      <t>(ending balance)</t>
    </r>
  </si>
  <si>
    <t>Operating Cash Received</t>
  </si>
  <si>
    <t>H.  Net Revenue increase (decrease)</t>
  </si>
  <si>
    <t>I.   Carryover of prior year operating surplus (deficit)</t>
  </si>
  <si>
    <t>VIII. Impact of Other Time/Purpose Restricted Activities</t>
  </si>
  <si>
    <t xml:space="preserve">      A.  Pledges for unrestricted donations</t>
  </si>
  <si>
    <t>Row 42 above</t>
  </si>
  <si>
    <t>J.  Next year unrestricted operating surplus (deficit)</t>
  </si>
  <si>
    <r>
      <rPr>
        <rFont val="Arial"/>
        <color rgb="FF000000"/>
        <sz val="11.0"/>
      </rPr>
      <t xml:space="preserve">   Less:  Tuition Discounts    </t>
    </r>
    <r>
      <rPr>
        <rFont val="Arial1"/>
        <i/>
        <color rgb="FFFF0000"/>
        <sz val="9.0"/>
      </rPr>
      <t>(% of tuition)</t>
    </r>
  </si>
  <si>
    <t xml:space="preserve">      B.  Unrestricted donations released from restriction</t>
  </si>
  <si>
    <t>Row 44 above</t>
  </si>
  <si>
    <t xml:space="preserve">      C.  New donor pledges for other donations</t>
  </si>
  <si>
    <t>Row 50 above</t>
  </si>
  <si>
    <t xml:space="preserve">      D.  Non-endowment donations for scholarships (pass through)</t>
  </si>
  <si>
    <t xml:space="preserve">   Tuition &amp; Fees--non traditional</t>
  </si>
  <si>
    <t xml:space="preserve">      E.  Other restricted donations received directly (not pledged)</t>
  </si>
  <si>
    <t xml:space="preserve">      F.  Other restricted donations released from restriction</t>
  </si>
  <si>
    <t xml:space="preserve">   Less:  Tuition Discounts</t>
  </si>
  <si>
    <t xml:space="preserve">             Net change in other time or purpose restricted net assets</t>
  </si>
  <si>
    <t xml:space="preserve">       Net Tuition &amp; Fees-non traditional</t>
  </si>
  <si>
    <t>K.  Non-operating net revenue (expense)</t>
  </si>
  <si>
    <t xml:space="preserve">      G.  Added expenses due to other time or purpose releases</t>
  </si>
  <si>
    <r>
      <rPr>
        <rFont val="Arial"/>
        <b/>
        <color rgb="FF244061"/>
        <sz val="11.0"/>
      </rPr>
      <t xml:space="preserve">       Net Tuition &amp; Fees  </t>
    </r>
    <r>
      <rPr>
        <rFont val="Arial1"/>
        <b val="0"/>
        <i/>
        <color rgb="FF244061"/>
        <sz val="9.0"/>
      </rPr>
      <t>(growth %)</t>
    </r>
  </si>
  <si>
    <t xml:space="preserve">       Auxiliary Revenue</t>
  </si>
  <si>
    <t xml:space="preserve">IX.  Change in net assets restricted due to time or purpose </t>
  </si>
  <si>
    <t>L.  Unrestricted surplus (deficit)</t>
  </si>
  <si>
    <t>Student - Sourced Revenues</t>
  </si>
  <si>
    <t xml:space="preserve">      A.  Capital donations and pledges received</t>
  </si>
  <si>
    <t xml:space="preserve">M.  Change in time and purpose restricted net assets </t>
  </si>
  <si>
    <t>Non-Student Revenues</t>
  </si>
  <si>
    <t>N.  Change in net asssets restricted in perpetuity</t>
  </si>
  <si>
    <t xml:space="preserve">      B.  Capital donations released from restriction</t>
  </si>
  <si>
    <t>O.  Institutional change in net assets</t>
  </si>
  <si>
    <t>Net assets released from restriction</t>
  </si>
  <si>
    <t xml:space="preserve">      D.  Endowment earnings</t>
  </si>
  <si>
    <r>
      <rPr>
        <rFont val="Arial"/>
        <b/>
        <color rgb="FF244061"/>
        <sz val="12.0"/>
      </rPr>
      <t>Operating Cash Received</t>
    </r>
    <r>
      <rPr>
        <rFont val="Arial1"/>
        <b val="0"/>
        <i/>
        <color rgb="FF244061"/>
        <sz val="9.0"/>
      </rPr>
      <t xml:space="preserve"> (growth %)</t>
    </r>
  </si>
  <si>
    <t xml:space="preserve">      E.  Endowment spending</t>
  </si>
  <si>
    <t>Operating Cash Expended</t>
  </si>
  <si>
    <t xml:space="preserve">      F.  Net change in other time or purpose donation balances</t>
  </si>
  <si>
    <t xml:space="preserve">      Operating (divisional) expenses</t>
  </si>
  <si>
    <t xml:space="preserve">      Health care costs</t>
  </si>
  <si>
    <t xml:space="preserve">          Total change</t>
  </si>
  <si>
    <t>X.  Investment account recap</t>
  </si>
  <si>
    <t xml:space="preserve">     Beginning investment balance</t>
  </si>
  <si>
    <r>
      <rPr>
        <rFont val="Arial"/>
        <color rgb="FF000000"/>
        <sz val="11.0"/>
      </rPr>
      <t xml:space="preserve">      New building operations </t>
    </r>
    <r>
      <rPr>
        <rFont val="Arial1"/>
        <i/>
        <color rgb="FF000000"/>
        <sz val="10.0"/>
      </rPr>
      <t>(additive w/ each project)</t>
    </r>
  </si>
  <si>
    <t xml:space="preserve">       Investment earnings on endowment</t>
  </si>
  <si>
    <r>
      <rPr>
        <rFont val="Arial"/>
        <color rgb="FF000000"/>
        <sz val="11.0"/>
      </rPr>
      <t xml:space="preserve">      Strategic Initiatives </t>
    </r>
    <r>
      <rPr>
        <rFont val="Arial1"/>
        <i/>
        <color rgb="FF000000"/>
        <sz val="10.0"/>
      </rPr>
      <t>(incl'd above for 1st 'Actual' year)</t>
    </r>
  </si>
  <si>
    <t xml:space="preserve">       Cash gifts to endowment</t>
  </si>
  <si>
    <t xml:space="preserve">      Added expenses due to releases</t>
  </si>
  <si>
    <t xml:space="preserve">       Endowment pledges paid</t>
  </si>
  <si>
    <t xml:space="preserve">       Endowment payouts</t>
  </si>
  <si>
    <t>Cash Flow from operations</t>
  </si>
  <si>
    <t xml:space="preserve">       Transfers from (to) cash </t>
  </si>
  <si>
    <t>SOP and other Changes</t>
  </si>
  <si>
    <t xml:space="preserve">      Other restricted releases recognized above</t>
  </si>
  <si>
    <t xml:space="preserve">       Investment earnings on non endowments</t>
  </si>
  <si>
    <t xml:space="preserve">      Capital Spending less sales of assets</t>
  </si>
  <si>
    <t xml:space="preserve">      Spending of investment earnings on non-endowments</t>
  </si>
  <si>
    <t xml:space="preserve">      Capital pledges paid and CY donations received</t>
  </si>
  <si>
    <t xml:space="preserve">      Various pledges received and paid</t>
  </si>
  <si>
    <t xml:space="preserve">   Ending investment balance</t>
  </si>
  <si>
    <t xml:space="preserve">      New debt issued</t>
  </si>
  <si>
    <t xml:space="preserve">      Principal Paid on Debt</t>
  </si>
  <si>
    <t xml:space="preserve">      Other restricted donations during the year</t>
  </si>
  <si>
    <t xml:space="preserve">      Other non-operating gain or loss</t>
  </si>
  <si>
    <t xml:space="preserve">      Change - other current and non current assets &amp; liabilities</t>
  </si>
  <si>
    <t xml:space="preserve">      Change in accounts payable </t>
  </si>
  <si>
    <r>
      <rPr>
        <rFont val="Arial"/>
        <color rgb="FF000000"/>
        <sz val="11.0"/>
      </rPr>
      <t xml:space="preserve">      Line of credit activity                                </t>
    </r>
    <r>
      <rPr>
        <rFont val="Arial1"/>
        <i/>
        <color rgb="FFFF0000"/>
        <sz val="9.0"/>
      </rPr>
      <t>months active =</t>
    </r>
  </si>
  <si>
    <t xml:space="preserve">      Transferred in from (out to) investments</t>
  </si>
  <si>
    <t>Total SOP and other changes</t>
  </si>
  <si>
    <t>Operating and capital cash flow</t>
  </si>
  <si>
    <t>Cash Balance @ EOY / EOM</t>
  </si>
  <si>
    <t xml:space="preserve">   Overall increase (decrease) in net assets</t>
  </si>
  <si>
    <t xml:space="preserve">     Depreciation expense - non-cash</t>
  </si>
  <si>
    <t xml:space="preserve">     Increase (decrease) in other, non-current liabilities</t>
  </si>
  <si>
    <t xml:space="preserve">     Net change in debt</t>
  </si>
  <si>
    <t>Add:  beginning balance</t>
  </si>
  <si>
    <t>End of year cash balance</t>
  </si>
  <si>
    <t>Operating Cash &amp; Investments</t>
  </si>
  <si>
    <t>Refinancings</t>
  </si>
  <si>
    <t>Cash at year-end</t>
  </si>
  <si>
    <t>Add:   Investments</t>
  </si>
  <si>
    <t xml:space="preserve">          Pledges receivable</t>
  </si>
  <si>
    <t>Less: Line of credit payable</t>
  </si>
  <si>
    <t xml:space="preserve">          Net assets with donor restriction</t>
  </si>
  <si>
    <t>Cash &amp; Investments available for operations</t>
  </si>
  <si>
    <t>Total new debt</t>
  </si>
  <si>
    <t>Interest rate on new debt</t>
  </si>
  <si>
    <t>expressed as %</t>
  </si>
  <si>
    <t>Amortization period for new debt</t>
  </si>
  <si>
    <t>expressed in years</t>
  </si>
  <si>
    <t xml:space="preserve">Months that debt is outstanding in first year </t>
  </si>
  <si>
    <t>maximum of 12</t>
  </si>
  <si>
    <r>
      <rPr>
        <rFont val="Arial"/>
        <color rgb="FF000000"/>
        <sz val="10.0"/>
      </rPr>
      <t>Interest only months - new debt</t>
    </r>
    <r>
      <rPr>
        <rFont val="Arial1"/>
        <b/>
        <color rgb="FF000000"/>
        <sz val="8.0"/>
      </rPr>
      <t xml:space="preserve"> (during construction?)</t>
    </r>
  </si>
  <si>
    <t>can be &gt; 12 mo.</t>
  </si>
  <si>
    <t>Eventual full year P &amp; I for each year's additional debt</t>
  </si>
  <si>
    <t>after int only period</t>
  </si>
  <si>
    <t>Anticipated material debt payoffs</t>
  </si>
  <si>
    <t>fiscal mo. when paid</t>
  </si>
  <si>
    <t>beyond audit sched</t>
  </si>
  <si>
    <t>Scheduled prin pay'ts - pre-existing debt</t>
  </si>
  <si>
    <t>Balance - pre-existing debt</t>
  </si>
  <si>
    <t>Calculated prin pay'ts - net new debt</t>
  </si>
  <si>
    <t xml:space="preserve"> reduces debt</t>
  </si>
  <si>
    <r>
      <rPr>
        <rFont val="Arial"/>
        <b/>
        <color rgb="FF000000"/>
        <sz val="11.0"/>
      </rPr>
      <t xml:space="preserve">      Net received</t>
    </r>
    <r>
      <rPr>
        <rFont val="Arial1"/>
        <b/>
        <color rgb="FFFF0000"/>
        <sz val="11.0"/>
      </rPr>
      <t xml:space="preserve"> (paid)</t>
    </r>
    <r>
      <rPr>
        <rFont val="Arial1"/>
        <b/>
        <color rgb="FF000000"/>
        <sz val="11.0"/>
      </rPr>
      <t xml:space="preserve"> on debt</t>
    </r>
  </si>
  <si>
    <t xml:space="preserve">      Balance of Long-Term Debt and CP LTD</t>
  </si>
  <si>
    <t xml:space="preserve">     Short Term Line of Credit balance at year-end</t>
  </si>
  <si>
    <t xml:space="preserve">     Months LOC is outstanding each year / interest rate</t>
  </si>
  <si>
    <t xml:space="preserve"> IV.  Interest expense</t>
  </si>
  <si>
    <t>% on initial LTD</t>
  </si>
  <si>
    <t>Pre-existing debt</t>
  </si>
  <si>
    <t>Line of credit</t>
  </si>
  <si>
    <t xml:space="preserve">     Total interest expense for each year</t>
  </si>
  <si>
    <r>
      <rPr>
        <rFont val="Arial1"/>
        <b/>
        <color rgb="FF000000"/>
        <sz val="11.0"/>
      </rPr>
      <t xml:space="preserve">  V.  Depreciation exp. projection</t>
    </r>
    <r>
      <rPr>
        <rFont val="Arial1"/>
        <b/>
        <color rgb="FF000000"/>
        <sz val="10.0"/>
      </rPr>
      <t xml:space="preserve">  </t>
    </r>
  </si>
  <si>
    <t>Existing assets</t>
  </si>
  <si>
    <t>yr est avg remain life</t>
  </si>
  <si>
    <t>1st year purch &amp; sales</t>
  </si>
  <si>
    <t>partial year</t>
  </si>
  <si>
    <t>Subsequent years</t>
  </si>
  <si>
    <t>increases each year</t>
  </si>
  <si>
    <t xml:space="preserve">     Total depreciation expense for each year</t>
  </si>
  <si>
    <t>Non-cash expense</t>
  </si>
  <si>
    <t>projected and forecast</t>
  </si>
  <si>
    <t xml:space="preserve">     Budgeted Depreciation Expense</t>
  </si>
  <si>
    <t xml:space="preserve">          net new fixed assets placed in service during each year</t>
  </si>
  <si>
    <t>VI.  Asset values placed in service by year</t>
  </si>
  <si>
    <t>Calculations (not printed)</t>
  </si>
  <si>
    <t>P&amp;I</t>
  </si>
  <si>
    <t>BOY Bal</t>
  </si>
  <si>
    <t>Decline</t>
  </si>
  <si>
    <t>Growth</t>
  </si>
  <si>
    <t xml:space="preserve"> /     -     -      -      -      -     F      o      r      e      c      a      s      t     -     -      -     -      -     /</t>
  </si>
  <si>
    <t>% of population changes reflected in expenses</t>
  </si>
  <si>
    <t>Interest</t>
  </si>
  <si>
    <r>
      <rPr>
        <rFont val="Arial"/>
        <color rgb="FF000000"/>
        <sz val="11.0"/>
      </rPr>
      <t xml:space="preserve">   Less:  Tuition Discounts    </t>
    </r>
    <r>
      <rPr>
        <rFont val="Arial1"/>
        <i/>
        <color rgb="FFFF0000"/>
        <sz val="9.0"/>
      </rPr>
      <t>(% of tuition)</t>
    </r>
  </si>
  <si>
    <t>Prin</t>
  </si>
  <si>
    <t>P&amp;I months</t>
  </si>
  <si>
    <r>
      <rPr>
        <rFont val="Arial"/>
        <b/>
        <color rgb="FF244061"/>
        <sz val="11.0"/>
      </rPr>
      <t xml:space="preserve">       Net Tuition &amp; Fees  </t>
    </r>
    <r>
      <rPr>
        <rFont val="Arial1"/>
        <b val="0"/>
        <i/>
        <color rgb="FF244061"/>
        <sz val="9.0"/>
      </rPr>
      <t>(growth %)</t>
    </r>
  </si>
  <si>
    <t xml:space="preserve">       Non-Student Revenues</t>
  </si>
  <si>
    <t>Int only mos.</t>
  </si>
  <si>
    <t xml:space="preserve">       Net assets released for student aid</t>
  </si>
  <si>
    <t xml:space="preserve">       Net assets released - non student aid</t>
  </si>
  <si>
    <r>
      <rPr>
        <rFont val="Arial"/>
        <b/>
        <color rgb="FF244061"/>
        <sz val="12.0"/>
      </rPr>
      <t xml:space="preserve">Operating Revenues </t>
    </r>
    <r>
      <rPr>
        <rFont val="Arial1"/>
        <b val="0"/>
        <i/>
        <color rgb="FF244061"/>
        <sz val="9.0"/>
      </rPr>
      <t xml:space="preserve"> (growth %)</t>
    </r>
  </si>
  <si>
    <t>Book value of fixed assets sold</t>
  </si>
  <si>
    <t xml:space="preserve">     Totals for each year</t>
  </si>
  <si>
    <t>Full year depreciation for new assets (expensed in year two)</t>
  </si>
  <si>
    <t>Balance Sheets</t>
  </si>
  <si>
    <r>
      <rPr>
        <rFont val="Arial"/>
        <color rgb="FF000000"/>
        <sz val="11.0"/>
      </rPr>
      <t xml:space="preserve">      New building operations </t>
    </r>
    <r>
      <rPr>
        <rFont val="Arial1"/>
        <i/>
        <color rgb="FF000000"/>
        <sz val="10.0"/>
      </rPr>
      <t>(additive w/ each project)</t>
    </r>
  </si>
  <si>
    <t>/     -     -     -     -     -     F     o     r     e     c     a     s     t     -     -     -     -     -     /</t>
  </si>
  <si>
    <t>Department of Education Financial Responsibility Ratios</t>
  </si>
  <si>
    <t>The balance sheet information that this worksheet pulls from is summary only.  You may have to enter</t>
  </si>
  <si>
    <r>
      <rPr>
        <rFont val="Times New Roman"/>
        <b/>
        <i/>
        <color theme="1"/>
        <sz val="12.0"/>
      </rPr>
      <t xml:space="preserve">      additional data where descriptions are </t>
    </r>
    <r>
      <rPr>
        <rFont val="Times New Roman"/>
        <b/>
        <i/>
        <color rgb="FF953734"/>
        <sz val="12.0"/>
      </rPr>
      <t>this color</t>
    </r>
    <r>
      <rPr>
        <rFont val="Times New Roman"/>
        <b/>
        <i/>
        <color theme="1"/>
        <sz val="12.0"/>
      </rPr>
      <t xml:space="preserve"> and corresponding entry cells are blank</t>
    </r>
  </si>
  <si>
    <r>
      <rPr>
        <rFont val="Arial"/>
        <color rgb="FF000000"/>
        <sz val="11.0"/>
      </rPr>
      <t xml:space="preserve">      Strategic Initiatives </t>
    </r>
    <r>
      <rPr>
        <rFont val="Arial1"/>
        <i/>
        <color rgb="FF000000"/>
        <sz val="10.0"/>
      </rPr>
      <t>(incl'd above for 1st 'Actual' year)</t>
    </r>
  </si>
  <si>
    <r>
      <rPr>
        <rFont val="Arial"/>
        <b/>
        <color theme="1"/>
        <sz val="11.0"/>
      </rPr>
      <t>Primary Reserve Ratio</t>
    </r>
    <r>
      <rPr>
        <rFont val="Arial"/>
        <b/>
        <color rgb="FF953734"/>
        <sz val="11.0"/>
      </rPr>
      <t xml:space="preserve">                                           </t>
    </r>
    <r>
      <rPr>
        <rFont val="Arial"/>
        <b/>
        <color rgb="FFFF0000"/>
        <sz val="10.0"/>
      </rPr>
      <t>!</t>
    </r>
    <r>
      <rPr>
        <rFont val="Arial"/>
        <b/>
        <color rgb="FF953734"/>
        <sz val="10.0"/>
      </rPr>
      <t xml:space="preserve"> = should be a (negative) or positive #</t>
    </r>
  </si>
  <si>
    <t>+ total net assets</t>
  </si>
  <si>
    <r>
      <rPr>
        <rFont val="Arial"/>
        <color theme="1"/>
        <sz val="10.0"/>
      </rPr>
      <t xml:space="preserve">- (net assets restricted in perpetuity - </t>
    </r>
    <r>
      <rPr>
        <rFont val="Arial"/>
        <i/>
        <color theme="1"/>
        <sz val="10.0"/>
      </rPr>
      <t>aka endowment contributions</t>
    </r>
    <r>
      <rPr>
        <rFont val="Arial"/>
        <color theme="1"/>
        <sz val="10.0"/>
      </rPr>
      <t>)</t>
    </r>
  </si>
  <si>
    <t>- ( minus term restricted annuities, term endowments and life income funds)</t>
  </si>
  <si>
    <t xml:space="preserve"> (negative #) </t>
  </si>
  <si>
    <t xml:space="preserve">- ( minus intangible assets) </t>
  </si>
  <si>
    <t>- ( minus unsecured related party receivables )</t>
  </si>
  <si>
    <t>- net property, plant and equipment (net fixed assets)</t>
  </si>
  <si>
    <r>
      <rPr>
        <rFont val="Arial"/>
        <b/>
        <color rgb="FF244061"/>
        <sz val="11.0"/>
      </rPr>
      <t xml:space="preserve">Operating Expense total   </t>
    </r>
    <r>
      <rPr>
        <rFont val="Arial1"/>
        <b val="0"/>
        <i/>
        <color rgb="FF244061"/>
        <sz val="9.0"/>
      </rPr>
      <t>(growth %)</t>
    </r>
  </si>
  <si>
    <t>+ post employment and retirement liabilities</t>
  </si>
  <si>
    <t xml:space="preserve"> positive #  </t>
  </si>
  <si>
    <t>- (minus post FY 2019 LT debt not incurred for fixed asset acquisition)</t>
  </si>
  <si>
    <t>+ all debt obtained for long-term purposes</t>
  </si>
  <si>
    <t>Operating net income</t>
  </si>
  <si>
    <r>
      <rPr>
        <rFont val="Arial"/>
        <color theme="1"/>
        <sz val="10.0"/>
        <u/>
      </rPr>
      <t xml:space="preserve">= numerator           </t>
    </r>
    <r>
      <rPr>
        <rFont val="Arial"/>
        <color rgb="FFFF0000"/>
        <sz val="10.0"/>
        <u/>
      </rPr>
      <t xml:space="preserve"> </t>
    </r>
    <r>
      <rPr>
        <rFont val="Arial"/>
        <b/>
        <i/>
        <color rgb="FFFF0000"/>
        <sz val="10.0"/>
        <u/>
      </rPr>
      <t>Expendable Net Assets</t>
    </r>
  </si>
  <si>
    <t>Non-operating net assets released - capital</t>
  </si>
  <si>
    <t>Fixed &amp; right of use assets (net)</t>
  </si>
  <si>
    <r>
      <rPr>
        <rFont val="Arial"/>
        <color theme="1"/>
        <sz val="10.0"/>
      </rPr>
      <t xml:space="preserve">   denominator    </t>
    </r>
    <r>
      <rPr>
        <rFont val="Arial"/>
        <b/>
        <i/>
        <color rgb="FFFF0000"/>
        <sz val="10.0"/>
      </rPr>
      <t>Total Unrestricted Expenses</t>
    </r>
  </si>
  <si>
    <t>Non-operating gains (losses) - other</t>
  </si>
  <si>
    <r>
      <rPr>
        <rFont val="Arial"/>
        <b val="0"/>
        <i/>
        <color theme="1"/>
        <sz val="10.0"/>
      </rPr>
      <t>(max recognized is +0.30, min is -0.10)</t>
    </r>
    <r>
      <rPr>
        <rFont val="Arial"/>
        <b/>
        <color theme="1"/>
        <sz val="11.0"/>
      </rPr>
      <t xml:space="preserve">                Primary Reserve Ratio =</t>
    </r>
  </si>
  <si>
    <t>Change in Unrestricted Net Assets</t>
  </si>
  <si>
    <t>Equity Ratio</t>
  </si>
  <si>
    <t xml:space="preserve"> VII.  Capital Donations Released from Purpose Restriction</t>
  </si>
  <si>
    <t>+ total net assets (Non donor restricted + donor restricted)</t>
  </si>
  <si>
    <t>Total assets</t>
  </si>
  <si>
    <t>Change in Temporarily Restricted Net Assets</t>
  </si>
  <si>
    <t>- (minus intangible assets)</t>
  </si>
  <si>
    <t>- (minus unsecured related party receivables)</t>
  </si>
  <si>
    <t>Change in Permanently Restricted Net Assets</t>
  </si>
  <si>
    <r>
      <rPr>
        <rFont val="Arial"/>
        <color theme="1"/>
        <sz val="10.0"/>
      </rPr>
      <t xml:space="preserve">= numerator         </t>
    </r>
    <r>
      <rPr>
        <rFont val="Arial"/>
        <color theme="1"/>
        <sz val="10.0"/>
        <u/>
      </rPr>
      <t xml:space="preserve">  </t>
    </r>
    <r>
      <rPr>
        <rFont val="Arial"/>
        <b/>
        <i/>
        <color rgb="FFFF0000"/>
        <sz val="10.0"/>
        <u/>
      </rPr>
      <t>Modified Net Assets</t>
    </r>
  </si>
  <si>
    <t>Current liabilities (w/o CP of LTD)</t>
  </si>
  <si>
    <t>+ total assets</t>
  </si>
  <si>
    <t>Line of credit payable</t>
  </si>
  <si>
    <r>
      <rPr>
        <rFont val="Arial"/>
        <color theme="1"/>
        <sz val="10.0"/>
      </rPr>
      <t xml:space="preserve">= denominator          </t>
    </r>
    <r>
      <rPr>
        <rFont val="Arial"/>
        <b/>
        <i/>
        <color rgb="FFFF0000"/>
        <sz val="10.0"/>
      </rPr>
      <t>Modified Assets</t>
    </r>
  </si>
  <si>
    <t>Long-term and right of use debt</t>
  </si>
  <si>
    <r>
      <rPr>
        <rFont val="Arial"/>
        <b val="0"/>
        <i/>
        <color theme="1"/>
        <sz val="10.0"/>
      </rPr>
      <t>(max recognized is +0.50, min is -0.17)</t>
    </r>
    <r>
      <rPr>
        <rFont val="Arial"/>
        <b/>
        <color theme="1"/>
        <sz val="11.0"/>
      </rPr>
      <t xml:space="preserve">                                Equity Ratio =</t>
    </r>
  </si>
  <si>
    <t>/     -     -     -     -     -     -     -     F     o     r     e     c     a     s     t    -      -     -     -     -     -     -     /</t>
  </si>
  <si>
    <t>Net Income Ratio</t>
  </si>
  <si>
    <r>
      <rPr>
        <rFont val="Arial"/>
        <color theme="1"/>
        <sz val="10.0"/>
        <u/>
      </rPr>
      <t xml:space="preserve"> numerator       </t>
    </r>
    <r>
      <rPr>
        <rFont val="Arial"/>
        <color theme="1"/>
        <sz val="10.0"/>
        <u/>
      </rPr>
      <t xml:space="preserve"> </t>
    </r>
    <r>
      <rPr>
        <rFont val="Arial"/>
        <b/>
        <i/>
        <color rgb="FFFF0000"/>
        <sz val="10.0"/>
        <u/>
      </rPr>
      <t>Change in Net Assets without Donor Restriction</t>
    </r>
  </si>
  <si>
    <r>
      <rPr>
        <rFont val="Arial"/>
        <color theme="1"/>
        <sz val="10.0"/>
      </rPr>
      <t xml:space="preserve"> denominator         </t>
    </r>
    <r>
      <rPr>
        <rFont val="Arial"/>
        <b/>
        <i/>
        <color theme="1"/>
        <sz val="10.0"/>
      </rPr>
      <t xml:space="preserve"> </t>
    </r>
    <r>
      <rPr>
        <rFont val="Arial"/>
        <b/>
        <i/>
        <color rgb="FFFF0000"/>
        <sz val="10.0"/>
      </rPr>
      <t>Total Unrestricted Revenue</t>
    </r>
  </si>
  <si>
    <r>
      <rPr>
        <rFont val="Arial"/>
        <color rgb="FF000000"/>
        <sz val="11.0"/>
      </rPr>
      <t xml:space="preserve">     Decrease (increase) in non-cash assets </t>
    </r>
    <r>
      <rPr>
        <rFont val="Arial1"/>
        <i/>
        <color rgb="FF000000"/>
        <sz val="9.0"/>
      </rPr>
      <t>(pledges)</t>
    </r>
  </si>
  <si>
    <r>
      <rPr>
        <rFont val="Arial"/>
        <b val="0"/>
        <i/>
        <color theme="1"/>
        <sz val="10.0"/>
      </rPr>
      <t>(max recognized is +0.04, min is -0.08)</t>
    </r>
    <r>
      <rPr>
        <rFont val="Arial"/>
        <b/>
        <color theme="1"/>
        <sz val="11.0"/>
      </rPr>
      <t xml:space="preserve">                       Net Income Ratio =</t>
    </r>
  </si>
  <si>
    <t>Restricted due to time or purpose</t>
  </si>
  <si>
    <t xml:space="preserve">     Audited</t>
  </si>
  <si>
    <t>RATIO COMPONENTS</t>
  </si>
  <si>
    <t>Equity</t>
  </si>
  <si>
    <t xml:space="preserve">        Statements</t>
  </si>
  <si>
    <t xml:space="preserve">COMPOSITE SCORE - (range of -1.0 to +3.0) </t>
  </si>
  <si>
    <t xml:space="preserve">   Recap of time or purpose restricted</t>
  </si>
  <si>
    <t>PERFORMANCE</t>
  </si>
  <si>
    <t>Consequences:</t>
  </si>
  <si>
    <t xml:space="preserve"> 1.5   to   3.0</t>
  </si>
  <si>
    <t xml:space="preserve">   None</t>
  </si>
  <si>
    <t xml:space="preserve"> 1.0   to   1.4</t>
  </si>
  <si>
    <t xml:space="preserve">   Monitor.  Three years in this "zone" results in failure</t>
  </si>
  <si>
    <r>
      <rPr>
        <rFont val="Arial"/>
        <b/>
        <color rgb="FFFF0000"/>
        <sz val="10.0"/>
      </rPr>
      <t>(1.0)</t>
    </r>
    <r>
      <rPr>
        <rFont val="Arial"/>
        <b/>
        <color theme="1"/>
        <sz val="10.0"/>
      </rPr>
      <t xml:space="preserve"> to   0.9</t>
    </r>
  </si>
  <si>
    <t xml:space="preserve">   Immediate failure</t>
  </si>
  <si>
    <t>Calculations</t>
  </si>
  <si>
    <t>Strength Factor</t>
  </si>
  <si>
    <t>Total time or purpose (temp) restricted</t>
  </si>
  <si>
    <t>Weight Factor</t>
  </si>
  <si>
    <t>Score</t>
  </si>
  <si>
    <t>DOE</t>
  </si>
  <si>
    <t>DSCR</t>
  </si>
  <si>
    <t>Income Algorithm</t>
  </si>
  <si>
    <t>Debt Service Coverage Ratio</t>
  </si>
  <si>
    <t>weight /</t>
  </si>
  <si>
    <t>R A T I O  C A L C S</t>
  </si>
  <si>
    <t>strength</t>
  </si>
  <si>
    <t>Liquidity Ratio</t>
  </si>
  <si>
    <t xml:space="preserve">      Room Revenue</t>
  </si>
  <si>
    <t>Total Liquidity</t>
  </si>
  <si>
    <t>Long Term Debt and Right of Use Liability</t>
  </si>
  <si>
    <t xml:space="preserve">      Board Revenue</t>
  </si>
  <si>
    <t>Long-term indebtedness</t>
  </si>
  <si>
    <t>Post 2019 debt incurred not used for fixed assets</t>
  </si>
  <si>
    <t xml:space="preserve"> Primary Reserve Ratio:</t>
  </si>
  <si>
    <t>Debt Reported as an offset to Fixed assets</t>
  </si>
  <si>
    <t>Expendable Net Assets</t>
  </si>
  <si>
    <t xml:space="preserve">     Other Auxiliary Revenue</t>
  </si>
  <si>
    <t>Net Fixed Assets and Right of Use Assets</t>
  </si>
  <si>
    <t>Total Expenses</t>
  </si>
  <si>
    <t xml:space="preserve"> Net Income Ratio:</t>
  </si>
  <si>
    <t>Change in unrestricted net assets</t>
  </si>
  <si>
    <t>Net Auxiliary Contribution</t>
  </si>
  <si>
    <t>Total unrestricted income</t>
  </si>
  <si>
    <t xml:space="preserve"> Return on Net Assets Ratio:</t>
  </si>
  <si>
    <t>Change in net assets</t>
  </si>
  <si>
    <t>Total net assets</t>
  </si>
  <si>
    <t xml:space="preserve"> Viability Ratio</t>
  </si>
  <si>
    <t>CFO Colleague Viability Score</t>
  </si>
  <si>
    <t xml:space="preserve">  A. Change in NTR</t>
  </si>
  <si>
    <t>Current year NTR</t>
  </si>
  <si>
    <t>Prior Year NTR</t>
  </si>
  <si>
    <t xml:space="preserve">  B. Capital Improvement</t>
  </si>
  <si>
    <t>Cap Spend + Debt Retired - Depn Exp</t>
  </si>
  <si>
    <t xml:space="preserve">  C. Operating Liquidity</t>
  </si>
  <si>
    <t>Operating Cash less Payables</t>
  </si>
  <si>
    <t xml:space="preserve">  D. Change in Unrestricted Net Assets</t>
  </si>
  <si>
    <t>Pass = 0.0+</t>
  </si>
  <si>
    <t>Monitor 0.0 to 0.2</t>
  </si>
  <si>
    <t>D O   N O T   E R A S E  !</t>
  </si>
  <si>
    <t xml:space="preserve">  The values presented below are intermediate CFI calculations subjected to maximum values.</t>
  </si>
  <si>
    <t>YOY Increase (Decrease) in:</t>
  </si>
  <si>
    <t>- Long Term Debt</t>
  </si>
  <si>
    <t xml:space="preserve"> CY Capital Spending</t>
  </si>
  <si>
    <t>CY Depreciation Expense</t>
  </si>
  <si>
    <t>Three Scenarios for</t>
  </si>
  <si>
    <t>Current Plan</t>
  </si>
  <si>
    <t>Scenario 1</t>
  </si>
  <si>
    <t>Scenario 2</t>
  </si>
  <si>
    <t>Scenario 3</t>
  </si>
  <si>
    <t xml:space="preserve">   I N P U T S</t>
  </si>
  <si>
    <t>% Δ</t>
  </si>
  <si>
    <t xml:space="preserve"># Δ </t>
  </si>
  <si>
    <t>All other student factor</t>
  </si>
  <si>
    <t>Fall 1st Time Freshmen</t>
  </si>
  <si>
    <t>Total Student factor</t>
  </si>
  <si>
    <t>Fall Transfers</t>
  </si>
  <si>
    <t>volume exp factor</t>
  </si>
  <si>
    <t xml:space="preserve"> FF Aid factor</t>
  </si>
  <si>
    <t>Fall Returning Students</t>
  </si>
  <si>
    <t>FF Population factor</t>
  </si>
  <si>
    <t xml:space="preserve">     Net Released From Restriction - Capital Projects</t>
  </si>
  <si>
    <r>
      <rPr>
        <rFont val="Arial"/>
        <color rgb="FF0F243E"/>
        <sz val="11.0"/>
      </rPr>
      <t xml:space="preserve">Spring Fresh to Fall Soph </t>
    </r>
    <r>
      <rPr>
        <rFont val="Arial1"/>
        <i/>
        <color rgb="FFFF0000"/>
        <sz val="10.0"/>
      </rPr>
      <t>(a quasi retention factor)</t>
    </r>
  </si>
  <si>
    <t>FF Discount Rate</t>
  </si>
  <si>
    <t>TRF and Ret population factor</t>
  </si>
  <si>
    <t>Tuition Increase</t>
  </si>
  <si>
    <t>Total population factor</t>
  </si>
  <si>
    <t>New unrestricted pledges booked</t>
  </si>
  <si>
    <t>Principal Paid</t>
  </si>
  <si>
    <t>Interest Expense</t>
  </si>
  <si>
    <t>Annual fund donations</t>
  </si>
  <si>
    <t>Depreciation Expense Calculations - First Year</t>
  </si>
  <si>
    <t>Price increase factor</t>
  </si>
  <si>
    <t>Non Traditional Net Tuition &amp; Fees</t>
  </si>
  <si>
    <r>
      <rPr>
        <rFont val="Arial"/>
        <color rgb="FF0F243E"/>
        <sz val="11.0"/>
      </rPr>
      <t>Operational spending increases</t>
    </r>
    <r>
      <rPr>
        <rFont val="Arial1"/>
        <color rgb="FFFF0000"/>
        <sz val="11.0"/>
      </rPr>
      <t xml:space="preserve"> (cuts)</t>
    </r>
  </si>
  <si>
    <t>FF Population</t>
  </si>
  <si>
    <t>New Building Operations</t>
  </si>
  <si>
    <t>Trfs</t>
  </si>
  <si>
    <t>Capital Spending</t>
  </si>
  <si>
    <t>Returners</t>
  </si>
  <si>
    <t>Capital project gifts received</t>
  </si>
  <si>
    <t>Cap Project Gifts</t>
  </si>
  <si>
    <t>Net Assets Released - Purpose or Time</t>
  </si>
  <si>
    <t>Net Assets Released</t>
  </si>
  <si>
    <t>Line of Credit  (LOC) @ Year End</t>
  </si>
  <si>
    <t>LOC Months Outstanding / Interest Rate</t>
  </si>
  <si>
    <t>New Debt Issued for fixed asset acquisition</t>
  </si>
  <si>
    <t>FF Tuition Volume differential</t>
  </si>
  <si>
    <t>Years of Amortization / Interest Rate</t>
  </si>
  <si>
    <t xml:space="preserve">   R E S U L T S</t>
  </si>
  <si>
    <t>FF Price Differential</t>
  </si>
  <si>
    <t>FF Gross Tuition (Fall)</t>
  </si>
  <si>
    <r>
      <rPr>
        <rFont val="Arial"/>
        <color rgb="FF0F243E"/>
        <sz val="11.0"/>
      </rPr>
      <t xml:space="preserve">Traditional NTR / </t>
    </r>
    <r>
      <rPr>
        <rFont val="Arial1"/>
        <i/>
        <color rgb="FFFF0000"/>
        <sz val="11.0"/>
      </rPr>
      <t>discount %</t>
    </r>
  </si>
  <si>
    <t>FF Discount</t>
  </si>
  <si>
    <t>NTR / Student</t>
  </si>
  <si>
    <t>FF NTR</t>
  </si>
  <si>
    <t>Ret &amp; TRF Gross Tuition (Fall)</t>
  </si>
  <si>
    <t>Unrestricted Net Surplus (Deficit)</t>
  </si>
  <si>
    <t>Return &amp; TRF Discount</t>
  </si>
  <si>
    <t>Overall Net Surplus (Deficit)</t>
  </si>
  <si>
    <t>Return &amp; TRF NTR</t>
  </si>
  <si>
    <t>DOE FRR</t>
  </si>
  <si>
    <t xml:space="preserve"> Total Tuition (Fall)</t>
  </si>
  <si>
    <t>Total Discount</t>
  </si>
  <si>
    <t>Reduction in Depn due to asset sales</t>
  </si>
  <si>
    <t>Total NTR</t>
  </si>
  <si>
    <t xml:space="preserve"> S T A T E M E N T   O F   A C T I V I T I E S</t>
  </si>
  <si>
    <t>Total Initial Year Depreciation</t>
  </si>
  <si>
    <r>
      <rPr>
        <rFont val="Arial"/>
        <color rgb="FF000000"/>
        <sz val="8.0"/>
      </rPr>
      <t xml:space="preserve">   Less:  Tuition Discounts    </t>
    </r>
    <r>
      <rPr>
        <rFont val="Arial1"/>
        <i/>
        <color rgb="FFFF0000"/>
        <sz val="8.0"/>
      </rPr>
      <t>(% of tuition)</t>
    </r>
  </si>
  <si>
    <r>
      <rPr>
        <rFont val="Arial"/>
        <b/>
        <color rgb="FF244061"/>
        <sz val="8.0"/>
      </rPr>
      <t xml:space="preserve">       Net Tuition &amp; Fees  </t>
    </r>
    <r>
      <rPr>
        <rFont val="Arial1"/>
        <b val="0"/>
        <i/>
        <color rgb="FF244061"/>
        <sz val="8.0"/>
      </rPr>
      <t>(growth %)</t>
    </r>
  </si>
  <si>
    <t>Depreciation Expense Calculations - first full year</t>
  </si>
  <si>
    <t xml:space="preserve">       Ne Unrestricted Pledges</t>
  </si>
  <si>
    <t xml:space="preserve">       Non-Student Rev's w/o pledges</t>
  </si>
  <si>
    <t xml:space="preserve">       Assets released from restriction</t>
  </si>
  <si>
    <r>
      <rPr>
        <rFont val="Arial"/>
        <b/>
        <color rgb="FF244061"/>
        <sz val="8.0"/>
      </rPr>
      <t xml:space="preserve">Operating Revenues </t>
    </r>
    <r>
      <rPr>
        <rFont val="Arial1"/>
        <b val="0"/>
        <i/>
        <color rgb="FF244061"/>
        <sz val="8.0"/>
      </rPr>
      <t xml:space="preserve"> (growth %)</t>
    </r>
  </si>
  <si>
    <t>exp factor</t>
  </si>
  <si>
    <t xml:space="preserve">      New building operations</t>
  </si>
  <si>
    <t xml:space="preserve">      Interest Expense - prior debt</t>
  </si>
  <si>
    <t xml:space="preserve">      Interest expense - New Issues</t>
  </si>
  <si>
    <t>Price &amp; Aid Strategy Worksheet</t>
  </si>
  <si>
    <t xml:space="preserve">      Interest expense - LOC</t>
  </si>
  <si>
    <t xml:space="preserve">      Strategic Initiatives </t>
  </si>
  <si>
    <t>Added mktg / consulting costs (incl. pre-deployment)</t>
  </si>
  <si>
    <t>Incremental Student retention factor -&gt;</t>
  </si>
  <si>
    <t>New Disc't %</t>
  </si>
  <si>
    <t>------&gt;</t>
  </si>
  <si>
    <r>
      <rPr>
        <rFont val="Arial"/>
        <color theme="1"/>
        <sz val="10.0"/>
      </rPr>
      <t xml:space="preserve">% Gross </t>
    </r>
    <r>
      <rPr>
        <rFont val="Arial1"/>
        <b/>
        <color theme="1"/>
        <sz val="10.0"/>
      </rPr>
      <t>Tuition &amp; Fees</t>
    </r>
    <r>
      <rPr>
        <rFont val="Arial1"/>
        <color theme="1"/>
        <sz val="10.0"/>
      </rPr>
      <t xml:space="preserve"> Price Increase (Decrease)</t>
    </r>
  </si>
  <si>
    <t>Increase (decrease) in New Freshmen</t>
  </si>
  <si>
    <t xml:space="preserve">Operating Expense total  </t>
  </si>
  <si>
    <t>Add:  Currently Projected New Freshmen</t>
  </si>
  <si>
    <t>New Freshmen as a result of Pricing Initiative</t>
  </si>
  <si>
    <t>Non-operating net revenue (expense)</t>
  </si>
  <si>
    <t>Cumulative Change in Overall Population from Pricing Initiative</t>
  </si>
  <si>
    <t>New Average (Fall/Spring) Annual Population</t>
  </si>
  <si>
    <t>Change in net assets - period / event</t>
  </si>
  <si>
    <r>
      <rPr>
        <rFont val="Arial"/>
        <color theme="1"/>
        <sz val="10.0"/>
      </rPr>
      <t>Currently Projected Sticker Price (</t>
    </r>
    <r>
      <rPr>
        <rFont val="Arial1"/>
        <b/>
        <color theme="1"/>
        <sz val="10.0"/>
      </rPr>
      <t>Tuition &amp; Fees</t>
    </r>
    <r>
      <rPr>
        <rFont val="Arial1"/>
        <color theme="1"/>
        <sz val="10.0"/>
      </rPr>
      <t>)</t>
    </r>
  </si>
  <si>
    <t>Change in restricted N/A in perpetuity</t>
  </si>
  <si>
    <r>
      <rPr>
        <rFont val="Arial"/>
        <color theme="1"/>
        <sz val="10.0"/>
      </rPr>
      <t>New Calculated Sticker Price (</t>
    </r>
    <r>
      <rPr>
        <rFont val="Arial1"/>
        <b/>
        <color theme="1"/>
        <sz val="10.0"/>
      </rPr>
      <t>Tuition &amp; Fees</t>
    </r>
    <r>
      <rPr>
        <rFont val="Arial1"/>
        <color theme="1"/>
        <sz val="10.0"/>
      </rPr>
      <t>)</t>
    </r>
  </si>
  <si>
    <t xml:space="preserve"> S T A T E M E N T   O F   P O S I T I O N</t>
  </si>
  <si>
    <t>Proposed / Recalibrated Aid (Discount) Per Student</t>
  </si>
  <si>
    <r>
      <rPr>
        <rFont val="Arial"/>
        <color theme="1"/>
        <sz val="10.0"/>
      </rPr>
      <t xml:space="preserve">Proposed </t>
    </r>
    <r>
      <rPr>
        <rFont val="Arial1"/>
        <b/>
        <color theme="1"/>
        <sz val="10.0"/>
      </rPr>
      <t>Net Tuition &amp; Fees</t>
    </r>
    <r>
      <rPr>
        <rFont val="Arial1"/>
        <color theme="1"/>
        <sz val="10.0"/>
      </rPr>
      <t xml:space="preserve"> Revenue Per Student</t>
    </r>
  </si>
  <si>
    <r>
      <rPr>
        <rFont val="Arial"/>
        <color theme="1"/>
        <sz val="10.0"/>
      </rPr>
      <t xml:space="preserve">Currently Projected </t>
    </r>
    <r>
      <rPr>
        <rFont val="Arial1"/>
        <b/>
        <color theme="1"/>
        <sz val="10.0"/>
      </rPr>
      <t>Net</t>
    </r>
    <r>
      <rPr>
        <rFont val="Arial1"/>
        <color theme="1"/>
        <sz val="10.0"/>
      </rPr>
      <t xml:space="preserve"> </t>
    </r>
    <r>
      <rPr>
        <rFont val="Arial1"/>
        <b/>
        <color theme="1"/>
        <sz val="10.0"/>
      </rPr>
      <t>Tuition &amp; Fees</t>
    </r>
    <r>
      <rPr>
        <rFont val="Arial1"/>
        <color theme="1"/>
        <sz val="10.0"/>
      </rPr>
      <t xml:space="preserve"> Revenue Per Student</t>
    </r>
  </si>
  <si>
    <t xml:space="preserve">     Sub-total current assets</t>
  </si>
  <si>
    <t>Pledges receivable (from 'M non student')</t>
  </si>
  <si>
    <r>
      <rPr>
        <rFont val="Arial"/>
        <color theme="1"/>
        <sz val="10.0"/>
      </rPr>
      <t xml:space="preserve">Total </t>
    </r>
    <r>
      <rPr>
        <rFont val="Arial1"/>
        <b/>
        <color theme="1"/>
        <sz val="10.0"/>
      </rPr>
      <t>Net</t>
    </r>
    <r>
      <rPr>
        <rFont val="Arial1"/>
        <color theme="1"/>
        <sz val="10.0"/>
      </rPr>
      <t xml:space="preserve"> </t>
    </r>
    <r>
      <rPr>
        <rFont val="Arial1"/>
        <b/>
        <color theme="1"/>
        <sz val="10.0"/>
      </rPr>
      <t>Tuition &amp; Fees</t>
    </r>
    <r>
      <rPr>
        <rFont val="Arial1"/>
        <color theme="1"/>
        <sz val="10.0"/>
      </rPr>
      <t xml:space="preserve"> Revenue Impact</t>
    </r>
  </si>
  <si>
    <t>Fixed assets (net)</t>
  </si>
  <si>
    <t>New Auxiliary Impact (Added Revenue less Added Expenses)</t>
  </si>
  <si>
    <t>Annual Revenue Impact from Pricing Initiative</t>
  </si>
  <si>
    <t>Change in expenses due to volume changes and marketing costs</t>
  </si>
  <si>
    <t>Net Impact</t>
  </si>
  <si>
    <t>Line of Credit</t>
  </si>
  <si>
    <t>Cumulative Revenue Impact</t>
  </si>
  <si>
    <t>Long-term debt</t>
  </si>
  <si>
    <t xml:space="preserve"> /     -     -      -     -     -     -     -     F      o      r      e      c      a      s      t     -     -      -     -     -     -     -     /</t>
  </si>
  <si>
    <r>
      <rPr>
        <rFont val="Arial"/>
        <color rgb="FF000000"/>
        <sz val="11.0"/>
      </rPr>
      <t xml:space="preserve">   Less:  Tuition Discounts    </t>
    </r>
    <r>
      <rPr>
        <rFont val="Arial1"/>
        <i/>
        <color rgb="FFFF0000"/>
        <sz val="9.0"/>
      </rPr>
      <t>(% of tuition)</t>
    </r>
  </si>
  <si>
    <r>
      <rPr>
        <rFont val="Arial"/>
        <b/>
        <color theme="1"/>
        <sz val="11.0"/>
      </rPr>
      <t>Primary Reserve Ratio</t>
    </r>
    <r>
      <rPr>
        <rFont val="Arial"/>
        <b/>
        <color rgb="FF953734"/>
        <sz val="11.0"/>
      </rPr>
      <t xml:space="preserve">                                            </t>
    </r>
    <r>
      <rPr>
        <rFont val="Arial"/>
        <b/>
        <color rgb="FF953734"/>
        <sz val="10.0"/>
      </rPr>
      <t xml:space="preserve"> ! = should be a (negative) #</t>
    </r>
  </si>
  <si>
    <t>+ net assets without donor restrictions</t>
  </si>
  <si>
    <t>+ time or purpose restricted net assets including endowed investment growth</t>
  </si>
  <si>
    <r>
      <rPr>
        <rFont val="Arial"/>
        <b/>
        <color rgb="FF244061"/>
        <sz val="11.0"/>
      </rPr>
      <t xml:space="preserve">       Net Tuition &amp; Fees  </t>
    </r>
    <r>
      <rPr>
        <rFont val="Arial1"/>
        <b val="0"/>
        <i/>
        <color rgb="FF244061"/>
        <sz val="9.0"/>
      </rPr>
      <t>(growth %)</t>
    </r>
  </si>
  <si>
    <t>First Full Year Depreciation</t>
  </si>
  <si>
    <t>- (minus post FY 2019 LT debt not incurred for FA acquisition)</t>
  </si>
  <si>
    <t>+ all debt obtained for long-term purposes (limited to net fixed asset total)</t>
  </si>
  <si>
    <r>
      <rPr>
        <rFont val="Arial"/>
        <color theme="1"/>
        <sz val="10.0"/>
        <u/>
      </rPr>
      <t xml:space="preserve">= numerator           </t>
    </r>
    <r>
      <rPr>
        <rFont val="Arial"/>
        <color rgb="FFFF0000"/>
        <sz val="10.0"/>
        <u/>
      </rPr>
      <t xml:space="preserve"> </t>
    </r>
    <r>
      <rPr>
        <rFont val="Arial"/>
        <b/>
        <i/>
        <color rgb="FFFF0000"/>
        <sz val="10.0"/>
        <u/>
      </rPr>
      <t>Expendable Net Assets</t>
    </r>
  </si>
  <si>
    <r>
      <rPr>
        <rFont val="Arial"/>
        <color theme="1"/>
        <sz val="10.0"/>
      </rPr>
      <t xml:space="preserve">   denominator    </t>
    </r>
    <r>
      <rPr>
        <rFont val="Arial"/>
        <b/>
        <i/>
        <color rgb="FFFF0000"/>
        <sz val="10.0"/>
      </rPr>
      <t>Total Unrestricted Expenses</t>
    </r>
  </si>
  <si>
    <r>
      <rPr>
        <rFont val="Arial"/>
        <b/>
        <color rgb="FF244061"/>
        <sz val="12.0"/>
      </rPr>
      <t xml:space="preserve">Operating Revenues </t>
    </r>
    <r>
      <rPr>
        <rFont val="Arial1"/>
        <b val="0"/>
        <i/>
        <color rgb="FF244061"/>
        <sz val="9.0"/>
      </rPr>
      <t xml:space="preserve"> (growth %)</t>
    </r>
  </si>
  <si>
    <t>Primary Reserve Ratio =</t>
  </si>
  <si>
    <t>- minus intangible assets</t>
  </si>
  <si>
    <t>- minus unsecured related party receivables</t>
  </si>
  <si>
    <r>
      <rPr>
        <rFont val="Arial"/>
        <color theme="1"/>
        <sz val="10.0"/>
      </rPr>
      <t xml:space="preserve">= numerator         </t>
    </r>
    <r>
      <rPr>
        <rFont val="Arial"/>
        <color theme="1"/>
        <sz val="10.0"/>
        <u/>
      </rPr>
      <t xml:space="preserve">  </t>
    </r>
    <r>
      <rPr>
        <rFont val="Arial"/>
        <b/>
        <i/>
        <color rgb="FFFF0000"/>
        <sz val="10.0"/>
        <u/>
      </rPr>
      <t>Modified Net Assets</t>
    </r>
  </si>
  <si>
    <r>
      <rPr>
        <rFont val="Arial"/>
        <color theme="1"/>
        <sz val="10.0"/>
      </rPr>
      <t xml:space="preserve">= denominator          </t>
    </r>
    <r>
      <rPr>
        <rFont val="Arial"/>
        <b/>
        <i/>
        <color rgb="FFFF0000"/>
        <sz val="10.0"/>
      </rPr>
      <t>Modified Assets</t>
    </r>
  </si>
  <si>
    <t>Equity Ratio =</t>
  </si>
  <si>
    <r>
      <rPr>
        <rFont val="Arial"/>
        <color theme="1"/>
        <sz val="10.0"/>
        <u/>
      </rPr>
      <t xml:space="preserve"> numerator       </t>
    </r>
    <r>
      <rPr>
        <rFont val="Arial"/>
        <color theme="1"/>
        <sz val="10.0"/>
        <u/>
      </rPr>
      <t xml:space="preserve"> </t>
    </r>
    <r>
      <rPr>
        <rFont val="Arial"/>
        <b/>
        <i/>
        <color rgb="FFFF0000"/>
        <sz val="10.0"/>
        <u/>
      </rPr>
      <t>Change in Net Assets without Donor Restriction</t>
    </r>
  </si>
  <si>
    <r>
      <rPr>
        <rFont val="Arial"/>
        <color rgb="FF000000"/>
        <sz val="11.0"/>
      </rPr>
      <t xml:space="preserve">      New building operations </t>
    </r>
    <r>
      <rPr>
        <rFont val="Arial1"/>
        <i/>
        <color rgb="FF000000"/>
        <sz val="10.0"/>
      </rPr>
      <t>(additive w/ each project)</t>
    </r>
  </si>
  <si>
    <r>
      <rPr>
        <rFont val="Arial"/>
        <color theme="1"/>
        <sz val="10.0"/>
      </rPr>
      <t xml:space="preserve"> denominator         </t>
    </r>
    <r>
      <rPr>
        <rFont val="Arial"/>
        <b/>
        <i/>
        <color theme="1"/>
        <sz val="10.0"/>
      </rPr>
      <t xml:space="preserve"> </t>
    </r>
    <r>
      <rPr>
        <rFont val="Arial"/>
        <b/>
        <i/>
        <color rgb="FFFF0000"/>
        <sz val="10.0"/>
      </rPr>
      <t>Total Unrestricted Revenue</t>
    </r>
  </si>
  <si>
    <r>
      <rPr>
        <rFont val="Arial"/>
        <color rgb="FF000000"/>
        <sz val="11.0"/>
      </rPr>
      <t xml:space="preserve">      Strategic Initiatives </t>
    </r>
    <r>
      <rPr>
        <rFont val="Arial1"/>
        <i/>
        <color rgb="FF000000"/>
        <sz val="10.0"/>
      </rPr>
      <t>(incl'd above for 1st year)</t>
    </r>
  </si>
  <si>
    <t>Net Income Ratio =</t>
  </si>
  <si>
    <t>Strength</t>
  </si>
  <si>
    <t>Weight</t>
  </si>
  <si>
    <r>
      <rPr>
        <rFont val="Arial"/>
        <b/>
        <color rgb="FF244061"/>
        <sz val="11.0"/>
      </rPr>
      <t xml:space="preserve">Operating Expense total   </t>
    </r>
    <r>
      <rPr>
        <rFont val="Arial1"/>
        <b val="0"/>
        <i/>
        <color rgb="FF244061"/>
        <sz val="9.0"/>
      </rPr>
      <t>(growth %)</t>
    </r>
  </si>
  <si>
    <t>Net Income (gain / breakeven / loss)</t>
  </si>
  <si>
    <t xml:space="preserve">DOE COMPOSITE SCORE - (limited to a range of -1.0 to +3.0) </t>
  </si>
  <si>
    <t>New Debt Issue Calculations</t>
  </si>
  <si>
    <t>Principal</t>
  </si>
  <si>
    <t>Interest Rate</t>
  </si>
  <si>
    <t>Amortization</t>
  </si>
  <si>
    <t>Months outstanding</t>
  </si>
  <si>
    <t>Interest only months</t>
  </si>
  <si>
    <t>Interest only interest</t>
  </si>
  <si>
    <t>Monthly P &amp; I</t>
  </si>
  <si>
    <t>Months of P &amp; I</t>
  </si>
  <si>
    <t>P &amp; I Expended</t>
  </si>
  <si>
    <t>NPV at EOY</t>
  </si>
  <si>
    <t>Interest expended with P &amp; I</t>
  </si>
  <si>
    <t>Total Interest on new debt</t>
  </si>
  <si>
    <t>Principal pd on new debt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</si>
</sst>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8">
    <numFmt numFmtId="164" formatCode="[$-409]d\-mmm\-yy"/>
    <numFmt numFmtId="165" formatCode="&quot; $&quot;#,##0&quot; &quot;;&quot; $(&quot;#,##0&quot;)&quot;;&quot; $-&quot;#&quot; &quot;;@&quot; &quot;"/>
    <numFmt numFmtId="166" formatCode="[$-409]#,##0&quot; &quot;;[$-409]&quot;(&quot;#,##0&quot;)&quot;"/>
    <numFmt numFmtId="167" formatCode="#,##0&quot; &quot;;&quot; (&quot;#,##0&quot;)&quot;;&quot; -&quot;#&quot; &quot;;@&quot; &quot;"/>
    <numFmt numFmtId="168" formatCode="[$-409]#,##0&quot; &quot;;[Red][$-409]&quot;(&quot;#,##0&quot;)&quot;"/>
    <numFmt numFmtId="169" formatCode="0.0%"/>
    <numFmt numFmtId="170" formatCode="_(&quot;$&quot;* #,##0_);_(&quot;$&quot;* \(#,##0\);_(&quot;$&quot;* &quot;-&quot;??_);_(@_)"/>
    <numFmt numFmtId="171" formatCode="_(* #,##0.00_);_(* \(#,##0.00\);_(* &quot;-&quot;??_);_(@_)"/>
    <numFmt numFmtId="172" formatCode="_(&quot;$&quot;* #,##0_);_(&quot;$&quot;* \(#,##0\);_(&quot;$&quot;* &quot;-&quot;_);_(@_)"/>
    <numFmt numFmtId="173" formatCode="&quot; $&quot;#,##0.00&quot; &quot;;&quot; $(&quot;#,##0.00&quot;)&quot;;&quot; $-&quot;#&quot; &quot;;@&quot; &quot;"/>
    <numFmt numFmtId="174" formatCode="_(* #,##0_);_(* \(#,##0\);_(* &quot;-&quot;??_);_(@_)"/>
    <numFmt numFmtId="175" formatCode="&quot;$&quot;#,##0_);[Red]\(&quot;$&quot;#,##0\)"/>
    <numFmt numFmtId="176" formatCode="0.0"/>
    <numFmt numFmtId="177" formatCode="&quot;$&quot;#,##0"/>
    <numFmt numFmtId="178" formatCode="0.000"/>
    <numFmt numFmtId="179" formatCode="&quot;$&quot;#,##0_);\(&quot;$&quot;#,##0\)"/>
    <numFmt numFmtId="180" formatCode="#,##0.00&quot; &quot;;&quot; (&quot;#,##0.00&quot;)&quot;;&quot; -&quot;#&quot; &quot;;@&quot; &quot;"/>
    <numFmt numFmtId="181" formatCode="d\-mmm\-yy"/>
    <numFmt numFmtId="182" formatCode="0.0000%"/>
    <numFmt numFmtId="183" formatCode="0.00000"/>
    <numFmt numFmtId="184" formatCode="_(* #,##0.0_);_(* \(#,##0.0\);_(* &quot;-&quot;??_);_(@_)"/>
    <numFmt numFmtId="185" formatCode="#,##0.0&quot; &quot;;&quot; (&quot;#,##0.0&quot;)&quot;;&quot; -&quot;#&quot; &quot;;@&quot; &quot;"/>
    <numFmt numFmtId="186" formatCode="0.0&quot; &quot;;&quot;(&quot;0.0&quot;)&quot;"/>
    <numFmt numFmtId="187" formatCode="[$-409]#,##0.0&quot; &quot;;[$-409]&quot;(&quot;#,##0.0&quot;)&quot;"/>
    <numFmt numFmtId="188" formatCode="0&quot; &quot;;&quot;(&quot;0&quot;)&quot;"/>
    <numFmt numFmtId="189" formatCode="[$-409]#,##0.0000&quot; &quot;;[Red][$-409]&quot;(&quot;#,##0.0000&quot;)&quot;"/>
    <numFmt numFmtId="190" formatCode="[$-409]#,##0.00&quot; &quot;;[Red][$-409]&quot;(&quot;#,##0.00&quot;)&quot;"/>
    <numFmt numFmtId="191" formatCode="[$-409]dd\-mmm\-yy"/>
    <numFmt numFmtId="192" formatCode="&quot;$&quot;#,##0.00"/>
    <numFmt numFmtId="193" formatCode="[$-409]mmm\-yy"/>
    <numFmt numFmtId="194" formatCode="#,##0.000&quot; &quot;;&quot; (&quot;#,##0.000&quot;)&quot;;&quot; -&quot;#.000&quot; &quot;;@&quot; &quot;"/>
    <numFmt numFmtId="195" formatCode="#,##0.0"/>
    <numFmt numFmtId="196" formatCode="#,##0.0_);[Red]\(#,##0.0\)"/>
    <numFmt numFmtId="197" formatCode="0.0_);[Red]\(0.0\)"/>
    <numFmt numFmtId="198" formatCode="[$-409]#,##0.00&quot; &quot;;[$-409]&quot;(&quot;#,##0.00&quot;)&quot;"/>
    <numFmt numFmtId="199" formatCode="#,##0.000"/>
    <numFmt numFmtId="200" formatCode="#,##0.0&quot; &quot;;&quot; (&quot;#,##0.0&quot;)&quot;;&quot; -&quot;#.0&quot; &quot;;@&quot; &quot;"/>
    <numFmt numFmtId="201" formatCode="0_);[Red]\(0\)"/>
  </numFmts>
  <fonts count="331">
    <font>
      <sz val="11.0"/>
      <color rgb="FF000000"/>
      <name val="Arial"/>
      <scheme val="minor"/>
    </font>
    <font>
      <sz val="11.0"/>
      <color rgb="FF000000"/>
      <name val="Arial"/>
    </font>
    <font>
      <sz val="14.0"/>
      <color rgb="FF366092"/>
      <name val="Arial Black"/>
    </font>
    <font>
      <sz val="14.0"/>
      <color rgb="FF000000"/>
      <name val="Arial Black"/>
    </font>
    <font>
      <sz val="14.0"/>
      <color rgb="FF000000"/>
      <name val="Balthazar"/>
    </font>
    <font>
      <i/>
      <sz val="10.0"/>
      <color rgb="FF244061"/>
      <name val="Arial"/>
    </font>
    <font>
      <sz val="11.0"/>
      <color rgb="FF141B4D"/>
      <name val="Arial"/>
    </font>
    <font>
      <sz val="10.0"/>
      <color rgb="FF000000"/>
      <name val="Calibri"/>
    </font>
    <font>
      <i/>
      <sz val="8.0"/>
      <color rgb="FF000000"/>
      <name val="Arial"/>
    </font>
    <font>
      <b/>
      <sz val="10.0"/>
      <color theme="0"/>
      <name val="Arial"/>
    </font>
    <font/>
    <font>
      <sz val="11.0"/>
      <color rgb="FF0F243E"/>
      <name val="Arial"/>
    </font>
    <font>
      <b/>
      <sz val="12.0"/>
      <color rgb="FF953734"/>
      <name val="Arial"/>
    </font>
    <font>
      <b/>
      <sz val="12.0"/>
      <color rgb="FF141B4D"/>
      <name val="Arial"/>
    </font>
    <font>
      <b/>
      <i/>
      <sz val="11.0"/>
      <color rgb="FF000000"/>
      <name val="Arial"/>
    </font>
    <font>
      <sz val="10.0"/>
      <color rgb="FF000000"/>
      <name val="Arial"/>
    </font>
    <font>
      <i/>
      <sz val="11.0"/>
      <color rgb="FF000000"/>
      <name val="Arial"/>
    </font>
    <font>
      <sz val="11.0"/>
      <color rgb="FF2300DC"/>
      <name val="Arial"/>
    </font>
    <font>
      <b/>
      <sz val="12.0"/>
      <color rgb="FF953734"/>
      <name val="Calibri"/>
    </font>
    <font>
      <b/>
      <sz val="12.0"/>
      <color rgb="FF0F243E"/>
      <name val="Arial"/>
    </font>
    <font>
      <sz val="12.0"/>
      <color rgb="FF000000"/>
      <name val="Arial"/>
    </font>
    <font>
      <b/>
      <sz val="11.0"/>
      <color theme="0"/>
      <name val="Arial"/>
    </font>
    <font>
      <b/>
      <u/>
      <sz val="10.0"/>
      <color rgb="FF000000"/>
      <name val="Arial"/>
    </font>
    <font>
      <sz val="11.0"/>
      <color rgb="FF000000"/>
      <name val="Calibri"/>
    </font>
    <font>
      <b/>
      <sz val="11.0"/>
      <color rgb="FF2300DC"/>
      <name val="Arial"/>
    </font>
    <font>
      <i/>
      <sz val="9.0"/>
      <color rgb="FF000000"/>
      <name val="Calibri"/>
    </font>
    <font>
      <sz val="12.0"/>
      <color rgb="FF0F243E"/>
      <name val="Arial"/>
    </font>
    <font>
      <i/>
      <sz val="10.0"/>
      <color rgb="FF000000"/>
      <name val="Calibri"/>
    </font>
    <font>
      <u/>
      <sz val="11.0"/>
      <color rgb="FF141B4D"/>
      <name val="Calibri"/>
    </font>
    <font>
      <sz val="11.0"/>
      <color rgb="FFC3623A"/>
      <name val="Arial"/>
    </font>
    <font>
      <i/>
      <sz val="10.0"/>
      <color rgb="FFC3623A"/>
      <name val="Calibri"/>
    </font>
    <font>
      <u/>
      <sz val="11.0"/>
      <color rgb="FF141B4D"/>
      <name val="Calibri"/>
    </font>
    <font>
      <sz val="8.0"/>
      <color rgb="FF000000"/>
      <name val="Arial"/>
    </font>
    <font>
      <i/>
      <sz val="9.0"/>
      <color rgb="FFFF0000"/>
      <name val="Arial"/>
    </font>
    <font>
      <b/>
      <sz val="11.0"/>
      <color rgb="FF002060"/>
      <name val="Arial"/>
    </font>
    <font>
      <b/>
      <sz val="9.0"/>
      <color rgb="FFFF0000"/>
      <name val="Arial"/>
    </font>
    <font>
      <b/>
      <sz val="11.0"/>
      <color rgb="FF000000"/>
      <name val="Arial"/>
    </font>
    <font>
      <b/>
      <sz val="10.0"/>
      <color rgb="FF548DD4"/>
      <name val="Arial"/>
    </font>
    <font>
      <b/>
      <u/>
      <sz val="10.0"/>
      <color rgb="FF548DD4"/>
      <name val="Arial"/>
    </font>
    <font>
      <b/>
      <u/>
      <sz val="10.0"/>
      <color rgb="FF548DD4"/>
      <name val="Arial"/>
    </font>
    <font>
      <b/>
      <u/>
      <sz val="10.0"/>
      <color rgb="FF548DD4"/>
      <name val="Arial"/>
    </font>
    <font>
      <b/>
      <u/>
      <sz val="10.0"/>
      <color rgb="FF548DD4"/>
      <name val="Arial"/>
    </font>
    <font>
      <b/>
      <u/>
      <sz val="11.0"/>
      <color rgb="FF548DD4"/>
      <name val="Arial"/>
    </font>
    <font>
      <b/>
      <u/>
      <sz val="11.0"/>
      <color rgb="FF548DD4"/>
      <name val="Arial"/>
    </font>
    <font>
      <sz val="9.0"/>
      <color rgb="FF0F243E"/>
      <name val="Arial"/>
    </font>
    <font>
      <b/>
      <sz val="11.0"/>
      <color rgb="FF244061"/>
      <name val="Arial"/>
    </font>
    <font>
      <u/>
      <sz val="11.0"/>
      <color theme="10"/>
      <name val="Arial"/>
    </font>
    <font>
      <b/>
      <u/>
      <sz val="11.0"/>
      <color rgb="FFC3623A"/>
      <name val="Arial"/>
    </font>
    <font>
      <b/>
      <u/>
      <sz val="11.0"/>
      <color rgb="FFC3623A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b/>
      <u/>
      <sz val="11.0"/>
      <color rgb="FF000000"/>
      <name val="Arial"/>
    </font>
    <font>
      <b/>
      <u/>
      <sz val="11.0"/>
      <color rgb="FF000000"/>
      <name val="Arial"/>
    </font>
    <font>
      <b/>
      <sz val="12.0"/>
      <color rgb="FF244061"/>
      <name val="Arial"/>
    </font>
    <font>
      <b/>
      <u/>
      <sz val="11.0"/>
      <color rgb="FF000000"/>
      <name val="Arial"/>
    </font>
    <font>
      <b/>
      <i/>
      <sz val="9.0"/>
      <color rgb="FFFF0000"/>
      <name val="Arial"/>
    </font>
    <font>
      <b/>
      <sz val="11.0"/>
      <color theme="1"/>
      <name val="Arial"/>
    </font>
    <font>
      <b/>
      <sz val="12.0"/>
      <color rgb="FF000000"/>
      <name val="Arial"/>
    </font>
    <font>
      <b/>
      <sz val="14.0"/>
      <color rgb="FF244061"/>
      <name val="Arial"/>
    </font>
    <font>
      <sz val="16.0"/>
      <color rgb="FF000000"/>
      <name val="Balthazar"/>
    </font>
    <font>
      <i/>
      <sz val="12.0"/>
      <color rgb="FF000000"/>
      <name val="Calibri"/>
    </font>
    <font>
      <b/>
      <sz val="18.0"/>
      <color rgb="FF366092"/>
      <name val="Arial"/>
    </font>
    <font>
      <b/>
      <sz val="16.0"/>
      <color rgb="FF244061"/>
      <name val="Arial"/>
    </font>
    <font>
      <b/>
      <sz val="11.0"/>
      <color rgb="FF953734"/>
      <name val="Arial"/>
    </font>
    <font>
      <sz val="14.0"/>
      <color rgb="FF000000"/>
      <name val="Arial"/>
    </font>
    <font>
      <color theme="1"/>
      <name val="Arial"/>
      <scheme val="minor"/>
    </font>
    <font>
      <sz val="16.0"/>
      <color rgb="FF244061"/>
      <name val="Arial"/>
    </font>
    <font>
      <i/>
      <sz val="10.0"/>
      <color rgb="FFC3623A"/>
      <name val="Arial"/>
    </font>
    <font>
      <b/>
      <sz val="14.0"/>
      <color rgb="FF953734"/>
      <name val="Arial"/>
    </font>
    <font>
      <i/>
      <sz val="9.0"/>
      <color rgb="FFC3623A"/>
      <name val="Arial"/>
    </font>
    <font>
      <i/>
      <sz val="9.0"/>
      <color rgb="FF000000"/>
      <name val="Arial"/>
    </font>
    <font>
      <sz val="11.0"/>
      <color rgb="FFFF0000"/>
      <name val="Arial"/>
    </font>
    <font>
      <sz val="9.0"/>
      <color rgb="FF000000"/>
      <name val="Arial"/>
    </font>
    <font>
      <i/>
      <sz val="11.0"/>
      <color rgb="FFFF0000"/>
      <name val="Arial"/>
    </font>
    <font>
      <sz val="10.0"/>
      <color rgb="FF2300DC"/>
      <name val="Arial"/>
    </font>
    <font>
      <sz val="11.0"/>
      <color theme="1"/>
      <name val="Arial"/>
    </font>
    <font>
      <b/>
      <sz val="10.0"/>
      <color rgb="FF000000"/>
      <name val="Arial"/>
    </font>
    <font>
      <i/>
      <sz val="8.0"/>
      <color rgb="FFFF0000"/>
      <name val="Arial"/>
    </font>
    <font>
      <sz val="16.0"/>
      <color rgb="FF000000"/>
      <name val="Arial"/>
    </font>
    <font>
      <i/>
      <sz val="10.0"/>
      <color rgb="FFFF0000"/>
      <name val="Arial"/>
    </font>
    <font>
      <sz val="14.0"/>
      <color rgb="FF2300DC"/>
      <name val="Balthazar"/>
    </font>
    <font>
      <sz val="16.0"/>
      <color rgb="FF2300DC"/>
      <name val="Balthazar"/>
    </font>
    <font>
      <sz val="12.0"/>
      <color rgb="FF2300DC"/>
      <name val="Arial"/>
    </font>
    <font>
      <b/>
      <i/>
      <sz val="9.0"/>
      <color rgb="FF000000"/>
      <name val="Arial"/>
    </font>
    <font>
      <sz val="10.0"/>
      <color rgb="FFFF0000"/>
      <name val="Arial"/>
    </font>
    <font>
      <b/>
      <i/>
      <sz val="16.0"/>
      <color theme="0"/>
      <name val="Arial"/>
    </font>
    <font>
      <b/>
      <i/>
      <sz val="12.0"/>
      <color rgb="FF008000"/>
      <name val="Arial"/>
    </font>
    <font>
      <b/>
      <i/>
      <sz val="16.0"/>
      <color rgb="FFC3623A"/>
      <name val="Arial"/>
    </font>
    <font>
      <b/>
      <u/>
      <sz val="11.0"/>
      <color rgb="FF000000"/>
      <name val="Arial"/>
    </font>
    <font>
      <b/>
      <i/>
      <sz val="11.0"/>
      <color rgb="FF008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i/>
      <u/>
      <sz val="9.0"/>
      <color rgb="FF000000"/>
      <name val="Arial"/>
    </font>
    <font>
      <b/>
      <u/>
      <sz val="11.0"/>
      <color rgb="FF000000"/>
      <name val="Arial"/>
    </font>
    <font>
      <b/>
      <i/>
      <u/>
      <sz val="9.0"/>
      <color rgb="FF000000"/>
      <name val="Arial"/>
    </font>
    <font>
      <b/>
      <i/>
      <sz val="9.0"/>
      <color rgb="FF008000"/>
      <name val="Arial"/>
    </font>
    <font>
      <b/>
      <i/>
      <u/>
      <sz val="9.0"/>
      <color rgb="FF000000"/>
      <name val="Arial"/>
    </font>
    <font>
      <b/>
      <i/>
      <sz val="8.0"/>
      <color rgb="FFFF0000"/>
      <name val="Arial"/>
    </font>
    <font>
      <b/>
      <sz val="14.0"/>
      <color rgb="FF000000"/>
      <name val="Balthazar"/>
    </font>
    <font>
      <b/>
      <i/>
      <sz val="9.0"/>
      <color rgb="FFC3623A"/>
      <name val="Arial"/>
    </font>
    <font>
      <b/>
      <i/>
      <sz val="10.0"/>
      <color rgb="FFC3623A"/>
      <name val="Arial"/>
    </font>
    <font>
      <b/>
      <i/>
      <sz val="11.0"/>
      <color rgb="FFC3623A"/>
      <name val="Arial"/>
    </font>
    <font>
      <b/>
      <u/>
      <sz val="11.0"/>
      <color rgb="FFC3623A"/>
      <name val="Arial"/>
    </font>
    <font>
      <sz val="10.0"/>
      <color theme="1"/>
      <name val="Arial"/>
    </font>
    <font>
      <b/>
      <sz val="9.0"/>
      <color rgb="FF0066CC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b/>
      <i/>
      <u/>
      <sz val="11.0"/>
      <color rgb="FF008000"/>
      <name val="Arial"/>
    </font>
    <font>
      <b/>
      <i/>
      <u/>
      <sz val="11.0"/>
      <color rgb="FF000000"/>
      <name val="Arial"/>
    </font>
    <font>
      <i/>
      <u/>
      <sz val="9.0"/>
      <color rgb="FF000000"/>
      <name val="Arial"/>
    </font>
    <font>
      <b/>
      <i/>
      <u/>
      <sz val="11.0"/>
      <color rgb="FFC3623A"/>
      <name val="Arial"/>
    </font>
    <font>
      <sz val="10.0"/>
      <color rgb="FFC3623A"/>
      <name val="Arial"/>
    </font>
    <font>
      <b/>
      <i/>
      <sz val="8.0"/>
      <color rgb="FFC3623A"/>
      <name val="Arial"/>
    </font>
    <font>
      <b/>
      <sz val="14.0"/>
      <color rgb="FFFF0000"/>
      <name val="Arial"/>
    </font>
    <font>
      <b/>
      <sz val="14.0"/>
      <color rgb="FF000000"/>
      <name val="Arial"/>
    </font>
    <font>
      <b/>
      <u/>
      <sz val="11.0"/>
      <color rgb="FF000000"/>
      <name val="Arial"/>
    </font>
    <font>
      <sz val="9.0"/>
      <color rgb="FFFF0000"/>
      <name val="Arial"/>
    </font>
    <font>
      <i/>
      <u/>
      <sz val="9.0"/>
      <color rgb="FF000000"/>
      <name val="Arial"/>
    </font>
    <font>
      <u/>
      <sz val="11.0"/>
      <color rgb="FF000000"/>
      <name val="Arial"/>
    </font>
    <font>
      <b/>
      <sz val="8.0"/>
      <color rgb="FF008000"/>
      <name val="Arial"/>
    </font>
    <font>
      <i/>
      <sz val="9.0"/>
      <color theme="1"/>
      <name val="Arial"/>
    </font>
    <font>
      <u/>
      <sz val="11.0"/>
      <color theme="1"/>
      <name val="Arial"/>
    </font>
    <font>
      <i/>
      <u/>
      <sz val="8.0"/>
      <color rgb="FF000000"/>
      <name val="Arial"/>
    </font>
    <font>
      <i/>
      <sz val="10.0"/>
      <color theme="1"/>
      <name val="Calibri"/>
    </font>
    <font>
      <b/>
      <sz val="9.0"/>
      <color rgb="FF000000"/>
      <name val="Arial"/>
    </font>
    <font>
      <b/>
      <sz val="9.0"/>
      <color theme="1"/>
      <name val="Arial"/>
    </font>
    <font>
      <u/>
      <sz val="11.0"/>
      <color rgb="FF2300DC"/>
      <name val="Arial"/>
    </font>
    <font>
      <i/>
      <sz val="11.0"/>
      <color theme="1"/>
      <name val="Arial"/>
    </font>
    <font>
      <i/>
      <u/>
      <sz val="11.0"/>
      <color rgb="FFFF0000"/>
      <name val="Arial"/>
    </font>
    <font>
      <b/>
      <i/>
      <u/>
      <sz val="8.0"/>
      <color rgb="FFC3623A"/>
      <name val="Arial"/>
    </font>
    <font>
      <b/>
      <i/>
      <u/>
      <sz val="8.0"/>
      <color rgb="FFFF0000"/>
      <name val="Arial"/>
    </font>
    <font>
      <b/>
      <i/>
      <u/>
      <sz val="8.0"/>
      <color rgb="FF4F6128"/>
      <name val="Arial"/>
    </font>
    <font>
      <u/>
      <sz val="11.0"/>
      <color rgb="FF2300DC"/>
      <name val="Arial"/>
    </font>
    <font>
      <b/>
      <i/>
      <u/>
      <sz val="8.0"/>
      <color rgb="FF008000"/>
      <name val="Arial"/>
    </font>
    <font>
      <i/>
      <sz val="11.0"/>
      <color rgb="FFC3623A"/>
      <name val="Arial"/>
    </font>
    <font>
      <sz val="11.0"/>
      <color rgb="FF4F6128"/>
      <name val="Arial"/>
    </font>
    <font>
      <b/>
      <u/>
      <sz val="11.0"/>
      <color rgb="FF000000"/>
      <name val="Arial"/>
    </font>
    <font>
      <b/>
      <i/>
      <sz val="11.0"/>
      <color theme="1"/>
      <name val="Arial"/>
    </font>
    <font>
      <b/>
      <u/>
      <sz val="11.0"/>
      <color rgb="FF000000"/>
      <name val="Arial"/>
    </font>
    <font>
      <b/>
      <sz val="9.0"/>
      <color rgb="FFC3623A"/>
      <name val="Arial"/>
    </font>
    <font>
      <b/>
      <sz val="9.0"/>
      <color rgb="FF008000"/>
      <name val="Arial"/>
    </font>
    <font>
      <b/>
      <u/>
      <sz val="11.0"/>
      <color rgb="FF000000"/>
      <name val="Arial"/>
    </font>
    <font>
      <b/>
      <i/>
      <sz val="11.0"/>
      <color rgb="FF4F6128"/>
      <name val="Arial"/>
    </font>
    <font>
      <b/>
      <u/>
      <sz val="9.0"/>
      <color rgb="FF000000"/>
      <name val="Arial"/>
    </font>
    <font>
      <b/>
      <i/>
      <sz val="10.0"/>
      <color rgb="FFFF0000"/>
      <name val="Arial"/>
    </font>
    <font>
      <b/>
      <u/>
      <sz val="9.0"/>
      <color rgb="FF000000"/>
      <name val="Arial"/>
    </font>
    <font>
      <b/>
      <i/>
      <u/>
      <sz val="10.0"/>
      <color rgb="FFFF0000"/>
      <name val="Arial"/>
    </font>
    <font>
      <sz val="14.0"/>
      <color rgb="FF244061"/>
      <name val="Arial Black"/>
    </font>
    <font>
      <u/>
      <sz val="11.0"/>
      <color theme="1"/>
      <name val="Arial"/>
    </font>
    <font>
      <u/>
      <sz val="8.0"/>
      <color rgb="FF0070C0"/>
      <name val="Arial"/>
    </font>
    <font>
      <i/>
      <u/>
      <sz val="10.0"/>
      <color rgb="FF000000"/>
      <name val="Arial"/>
    </font>
    <font>
      <i/>
      <sz val="10.0"/>
      <color rgb="FF000000"/>
      <name val="Arial"/>
    </font>
    <font>
      <sz val="12.0"/>
      <color rgb="FFFF0000"/>
      <name val="Arial"/>
    </font>
    <font>
      <i/>
      <u/>
      <sz val="10.0"/>
      <color rgb="FF000000"/>
      <name val="Arial"/>
    </font>
    <font>
      <u/>
      <sz val="8.0"/>
      <color theme="10"/>
      <name val="Arial"/>
    </font>
    <font>
      <i/>
      <u/>
      <sz val="9.0"/>
      <color rgb="FF000000"/>
      <name val="Arial"/>
    </font>
    <font>
      <b/>
      <i/>
      <u/>
      <sz val="10.0"/>
      <color rgb="FF008000"/>
      <name val="Arial"/>
    </font>
    <font>
      <i/>
      <u/>
      <sz val="9.0"/>
      <color rgb="FF000000"/>
      <name val="Arial"/>
    </font>
    <font>
      <b/>
      <i/>
      <u/>
      <sz val="10.0"/>
      <color rgb="FF008000"/>
      <name val="Arial"/>
    </font>
    <font>
      <b/>
      <i/>
      <u/>
      <sz val="11.0"/>
      <color rgb="FF000000"/>
      <name val="Arial"/>
    </font>
    <font>
      <b/>
      <i/>
      <u/>
      <sz val="11.0"/>
      <color rgb="FF008000"/>
      <name val="Arial"/>
    </font>
    <font>
      <b/>
      <sz val="14.0"/>
      <color rgb="FF000000"/>
      <name val="Arial Black"/>
    </font>
    <font>
      <sz val="8.0"/>
      <color rgb="FF244061"/>
      <name val="Arial"/>
    </font>
    <font>
      <sz val="12.0"/>
      <color rgb="FF244061"/>
      <name val="Arial"/>
    </font>
    <font>
      <sz val="11.0"/>
      <color rgb="FF244061"/>
      <name val="Arial"/>
    </font>
    <font>
      <b/>
      <sz val="8.0"/>
      <color theme="0"/>
      <name val="Arial"/>
    </font>
    <font>
      <b/>
      <u/>
      <sz val="10.0"/>
      <color theme="0"/>
      <name val="Arial"/>
    </font>
    <font>
      <b/>
      <i/>
      <sz val="10.0"/>
      <color rgb="FF244061"/>
      <name val="Arial"/>
    </font>
    <font>
      <b/>
      <i/>
      <sz val="10.0"/>
      <color rgb="FF000000"/>
      <name val="Arial"/>
    </font>
    <font>
      <b/>
      <sz val="8.0"/>
      <color rgb="FFFF0000"/>
      <name val="Arial"/>
    </font>
    <font>
      <i/>
      <u/>
      <sz val="10.0"/>
      <color rgb="FF000000"/>
      <name val="Arial"/>
    </font>
    <font>
      <u/>
      <sz val="9.0"/>
      <color theme="1"/>
      <name val="Arial"/>
    </font>
    <font>
      <u/>
      <sz val="11.0"/>
      <color theme="1"/>
      <name val="Arial"/>
    </font>
    <font>
      <u/>
      <sz val="10.0"/>
      <color rgb="FF000000"/>
      <name val="Arial"/>
    </font>
    <font>
      <sz val="10.0"/>
      <color rgb="FF244061"/>
      <name val="Arial"/>
    </font>
    <font>
      <u/>
      <sz val="10.0"/>
      <color rgb="FF244061"/>
      <name val="Arial"/>
    </font>
    <font>
      <u/>
      <sz val="10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b/>
      <sz val="10.0"/>
      <color rgb="FF244061"/>
      <name val="Arial"/>
    </font>
    <font>
      <b/>
      <sz val="8.0"/>
      <color rgb="FF244061"/>
      <name val="Arial"/>
    </font>
    <font>
      <u/>
      <sz val="8.0"/>
      <color rgb="FF000000"/>
      <name val="Arial"/>
    </font>
    <font>
      <u/>
      <sz val="11.0"/>
      <color rgb="FF000000"/>
      <name val="Arial"/>
    </font>
    <font>
      <b/>
      <sz val="10.0"/>
      <color rgb="FF0066CC"/>
      <name val="Arial"/>
    </font>
    <font>
      <b/>
      <sz val="8.0"/>
      <color rgb="FF0066CC"/>
      <name val="Arial"/>
    </font>
    <font>
      <sz val="9.0"/>
      <color theme="1"/>
      <name val="Arial"/>
    </font>
    <font>
      <b/>
      <sz val="11.0"/>
      <color rgb="FFFF0000"/>
      <name val="Arial"/>
    </font>
    <font>
      <sz val="20.0"/>
      <color theme="1"/>
      <name val="Arial"/>
    </font>
    <font>
      <b/>
      <u/>
      <sz val="8.0"/>
      <color theme="0"/>
      <name val="Arial"/>
    </font>
    <font>
      <i/>
      <sz val="8.0"/>
      <color rgb="FF0F243E"/>
      <name val="Arial"/>
    </font>
    <font>
      <i/>
      <u/>
      <sz val="9.0"/>
      <color rgb="FF000000"/>
      <name val="Arial"/>
    </font>
    <font>
      <b/>
      <sz val="11.0"/>
      <color rgb="FF4F6128"/>
      <name val="Arial"/>
    </font>
    <font>
      <u/>
      <sz val="11.0"/>
      <color theme="10"/>
      <name val="Arial"/>
    </font>
    <font>
      <b/>
      <sz val="10.0"/>
      <color rgb="FFFF0000"/>
      <name val="Arial"/>
    </font>
    <font>
      <u/>
      <sz val="10.0"/>
      <color rgb="FF000000"/>
      <name val="Arial"/>
    </font>
    <font>
      <i/>
      <u/>
      <sz val="8.0"/>
      <color rgb="FF000000"/>
      <name val="Arial"/>
    </font>
    <font>
      <i/>
      <u/>
      <sz val="8.0"/>
      <color rgb="FF000000"/>
      <name val="Arial"/>
    </font>
    <font>
      <i/>
      <u/>
      <sz val="8.0"/>
      <color rgb="FF000000"/>
      <name val="Arial"/>
    </font>
    <font>
      <b/>
      <sz val="8.0"/>
      <color theme="1"/>
      <name val="Arial"/>
    </font>
    <font>
      <b/>
      <u/>
      <sz val="9.0"/>
      <color theme="1"/>
      <name val="Arial"/>
    </font>
    <font>
      <sz val="2.0"/>
      <color theme="1"/>
      <name val="Arial"/>
    </font>
    <font>
      <i/>
      <u/>
      <sz val="10.0"/>
      <color rgb="FF000000"/>
      <name val="Arial"/>
    </font>
    <font>
      <b/>
      <u/>
      <sz val="9.0"/>
      <color theme="1"/>
      <name val="Arial"/>
    </font>
    <font>
      <i/>
      <sz val="10.0"/>
      <color rgb="FF366092"/>
      <name val="Arial"/>
    </font>
    <font>
      <b/>
      <u/>
      <sz val="8.0"/>
      <color theme="1"/>
      <name val="Arial"/>
    </font>
    <font>
      <i/>
      <sz val="11.0"/>
      <color rgb="FF2300DC"/>
      <name val="Arial"/>
    </font>
    <font>
      <sz val="8.0"/>
      <color rgb="FFFF0000"/>
      <name val="Arial"/>
    </font>
    <font>
      <b/>
      <u/>
      <sz val="11.0"/>
      <color rgb="FF000000"/>
      <name val="Arial"/>
    </font>
    <font>
      <b/>
      <u/>
      <sz val="9.0"/>
      <color rgb="FF000000"/>
      <name val="Arial"/>
    </font>
    <font>
      <b/>
      <u/>
      <sz val="9.0"/>
      <color theme="1"/>
      <name val="Arial"/>
    </font>
    <font>
      <b/>
      <i/>
      <sz val="10.0"/>
      <color rgb="FF0F243E"/>
      <name val="Arial"/>
    </font>
    <font>
      <i/>
      <u/>
      <sz val="11.0"/>
      <color rgb="FF0F243E"/>
      <name val="Arial"/>
    </font>
    <font>
      <u/>
      <sz val="11.0"/>
      <color rgb="FF0F243E"/>
      <name val="Arial"/>
    </font>
    <font>
      <i/>
      <u/>
      <sz val="11.0"/>
      <color rgb="FF0F243E"/>
      <name val="Arial"/>
    </font>
    <font>
      <i/>
      <u/>
      <sz val="11.0"/>
      <color rgb="FF0F243E"/>
      <name val="Arial"/>
    </font>
    <font>
      <i/>
      <sz val="11.0"/>
      <color rgb="FF0F243E"/>
      <name val="Arial"/>
    </font>
    <font>
      <i/>
      <u/>
      <sz val="11.0"/>
      <color rgb="FF000000"/>
      <name val="Arial"/>
    </font>
    <font>
      <b/>
      <i/>
      <u/>
      <sz val="11.0"/>
      <color rgb="FF000000"/>
      <name val="Arial"/>
    </font>
    <font>
      <b/>
      <i/>
      <u/>
      <sz val="11.0"/>
      <color rgb="FF000000"/>
      <name val="Arial"/>
    </font>
    <font>
      <sz val="8.0"/>
      <color rgb="FF2300DC"/>
      <name val="Arial"/>
    </font>
    <font>
      <b/>
      <i/>
      <sz val="11.0"/>
      <color rgb="FFFF0000"/>
      <name val="Arial"/>
    </font>
    <font>
      <b/>
      <sz val="12.0"/>
      <color theme="0"/>
      <name val="Arial"/>
    </font>
    <font>
      <sz val="11.0"/>
      <color theme="0"/>
      <name val="Arial"/>
    </font>
    <font>
      <u/>
      <sz val="10.0"/>
      <color rgb="FF000000"/>
      <name val="Arial"/>
    </font>
    <font>
      <b/>
      <i/>
      <sz val="14.0"/>
      <color rgb="FF000000"/>
      <name val="Arial"/>
    </font>
    <font>
      <b/>
      <u/>
      <sz val="11.0"/>
      <color rgb="FF000000"/>
      <name val="Arial"/>
    </font>
    <font>
      <b/>
      <u/>
      <sz val="11.0"/>
      <color rgb="FF000000"/>
      <name val="Arial"/>
    </font>
    <font>
      <sz val="11.0"/>
      <color rgb="FF33CC66"/>
      <name val="Arial"/>
    </font>
    <font>
      <b/>
      <i/>
      <u/>
      <sz val="10.0"/>
      <color rgb="FF000000"/>
      <name val="Arial"/>
    </font>
    <font>
      <b/>
      <u/>
      <sz val="8.0"/>
      <color theme="1"/>
      <name val="Arial"/>
    </font>
    <font>
      <b/>
      <i/>
      <sz val="8.0"/>
      <color rgb="FF000000"/>
      <name val="Arial"/>
    </font>
    <font>
      <sz val="11.0"/>
      <color rgb="FF17365D"/>
      <name val="Arial"/>
    </font>
    <font>
      <sz val="9.0"/>
      <color rgb="FF244061"/>
      <name val="Arial"/>
    </font>
    <font>
      <u/>
      <sz val="10.0"/>
      <color rgb="FF000000"/>
      <name val="Arial"/>
    </font>
    <font>
      <i/>
      <u/>
      <sz val="8.0"/>
      <color rgb="FFFF0000"/>
      <name val="Arial"/>
    </font>
    <font>
      <u/>
      <sz val="10.0"/>
      <color rgb="FF000000"/>
      <name val="Arial"/>
    </font>
    <font>
      <u/>
      <sz val="10.0"/>
      <color theme="1"/>
      <name val="Arial"/>
    </font>
    <font>
      <b/>
      <u/>
      <sz val="10.0"/>
      <color rgb="FF244061"/>
      <name val="Arial"/>
    </font>
    <font>
      <u/>
      <sz val="10.0"/>
      <color rgb="FF000000"/>
      <name val="Arial"/>
    </font>
    <font>
      <b/>
      <sz val="10.0"/>
      <color theme="1"/>
      <name val="Arial"/>
    </font>
    <font>
      <b/>
      <i/>
      <u/>
      <sz val="10.0"/>
      <color rgb="FF000000"/>
      <name val="Arial"/>
    </font>
    <font>
      <i/>
      <u/>
      <sz val="10.0"/>
      <color rgb="FF000000"/>
      <name val="Arial"/>
    </font>
    <font>
      <u/>
      <sz val="10.0"/>
      <color rgb="FF000000"/>
      <name val="Arial"/>
    </font>
    <font>
      <u/>
      <sz val="10.0"/>
      <color rgb="FF000000"/>
      <name val="Arial"/>
    </font>
    <font>
      <sz val="9.0"/>
      <color rgb="FF366092"/>
      <name val="Arial Black"/>
    </font>
    <font>
      <b/>
      <u/>
      <sz val="10.0"/>
      <color rgb="FF000000"/>
      <name val="Arial"/>
    </font>
    <font>
      <b/>
      <i/>
      <u/>
      <sz val="8.0"/>
      <color rgb="FF000000"/>
      <name val="Arial"/>
    </font>
    <font>
      <b/>
      <u/>
      <sz val="10.0"/>
      <color rgb="FF000000"/>
      <name val="Arial"/>
    </font>
    <font>
      <b/>
      <u/>
      <sz val="12.0"/>
      <color theme="1"/>
      <name val="Arial"/>
    </font>
    <font>
      <b/>
      <u/>
      <sz val="12.0"/>
      <color rgb="FF000000"/>
      <name val="Arial"/>
    </font>
    <font>
      <b/>
      <u/>
      <sz val="12.0"/>
      <color rgb="FF000000"/>
      <name val="Arial"/>
    </font>
    <font>
      <sz val="7.0"/>
      <color rgb="FF000000"/>
      <name val="Arial"/>
    </font>
    <font>
      <sz val="9.0"/>
      <color rgb="FF2300DC"/>
      <name val="Arial"/>
    </font>
    <font>
      <sz val="8.0"/>
      <color theme="1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i/>
      <sz val="10.0"/>
      <color rgb="FF632423"/>
      <name val="Arial"/>
    </font>
    <font>
      <i/>
      <sz val="11.0"/>
      <color rgb="FF632423"/>
      <name val="Arial"/>
    </font>
    <font>
      <u/>
      <sz val="10.0"/>
      <color rgb="FF000000"/>
      <name val="Arial"/>
    </font>
    <font>
      <i/>
      <u/>
      <sz val="8.0"/>
      <color rgb="FF000000"/>
      <name val="Arial"/>
    </font>
    <font>
      <b/>
      <u/>
      <sz val="10.0"/>
      <color rgb="FF000000"/>
      <name val="Arial"/>
    </font>
    <font>
      <b/>
      <i/>
      <u/>
      <sz val="8.0"/>
      <color rgb="FF000000"/>
      <name val="Arial"/>
    </font>
    <font>
      <b/>
      <i/>
      <u/>
      <sz val="8.0"/>
      <color rgb="FF000000"/>
      <name val="Arial"/>
    </font>
    <font>
      <b/>
      <sz val="14.0"/>
      <color theme="1"/>
      <name val="Times New Roman"/>
    </font>
    <font>
      <sz val="12.0"/>
      <color theme="1"/>
      <name val="Times New Roman"/>
    </font>
    <font>
      <b/>
      <sz val="12.0"/>
      <color theme="1"/>
      <name val="Times New Roman"/>
    </font>
    <font>
      <b/>
      <i/>
      <sz val="12.0"/>
      <color theme="1"/>
      <name val="Times New Roman"/>
    </font>
    <font>
      <i/>
      <sz val="12.0"/>
      <color theme="1"/>
      <name val="Times New Roman"/>
    </font>
    <font>
      <b/>
      <sz val="11.0"/>
      <color rgb="FF2300DC"/>
      <name val="Times New Roman"/>
    </font>
    <font>
      <b/>
      <sz val="10.0"/>
      <color rgb="FF953734"/>
      <name val="Arial"/>
    </font>
    <font>
      <u/>
      <sz val="10.0"/>
      <color theme="1"/>
      <name val="Arial"/>
    </font>
    <font>
      <b/>
      <u/>
      <sz val="10.0"/>
      <color rgb="FFFF0000"/>
      <name val="Arial"/>
    </font>
    <font>
      <b/>
      <u/>
      <sz val="10.0"/>
      <color rgb="FFFF0000"/>
      <name val="Arial"/>
    </font>
    <font>
      <b/>
      <i/>
      <sz val="9.0"/>
      <color rgb="FF00B0F0"/>
      <name val="Arial"/>
    </font>
    <font>
      <b/>
      <u/>
      <sz val="10.0"/>
      <color rgb="FFFF0000"/>
      <name val="Arial"/>
    </font>
    <font>
      <b/>
      <u/>
      <sz val="10.0"/>
      <color rgb="FFFF0000"/>
      <name val="Arial"/>
    </font>
    <font>
      <b/>
      <u/>
      <sz val="10.0"/>
      <color rgb="FFFF0000"/>
      <name val="Arial"/>
    </font>
    <font>
      <u/>
      <sz val="10.0"/>
      <color theme="1"/>
      <name val="Arial"/>
    </font>
    <font>
      <u/>
      <sz val="10.0"/>
      <color theme="1"/>
      <name val="Arial"/>
    </font>
    <font>
      <u/>
      <sz val="10.0"/>
      <color theme="1"/>
      <name val="Arial"/>
    </font>
    <font>
      <b/>
      <u/>
      <sz val="10.0"/>
      <color rgb="FFFF0000"/>
      <name val="Arial"/>
    </font>
    <font>
      <u/>
      <sz val="10.0"/>
      <color theme="1"/>
      <name val="Arial"/>
    </font>
    <font>
      <b/>
      <u/>
      <sz val="10.0"/>
      <color theme="1"/>
      <name val="Arial"/>
    </font>
    <font>
      <b/>
      <u/>
      <sz val="10.0"/>
      <color theme="1"/>
      <name val="Arial"/>
    </font>
    <font>
      <b/>
      <u/>
      <sz val="10.0"/>
      <color theme="1"/>
      <name val="Arial"/>
    </font>
    <font>
      <b/>
      <sz val="12.0"/>
      <color theme="1"/>
      <name val="Arial"/>
    </font>
    <font>
      <sz val="12.0"/>
      <color theme="1"/>
      <name val="Arial"/>
    </font>
    <font>
      <b/>
      <u/>
      <sz val="10.0"/>
      <color theme="1"/>
      <name val="Arial"/>
    </font>
    <font>
      <b/>
      <u/>
      <sz val="10.0"/>
      <color theme="1"/>
      <name val="Arial"/>
    </font>
    <font>
      <b/>
      <sz val="16.0"/>
      <color rgb="FFC00000"/>
      <name val="Arial"/>
    </font>
    <font>
      <sz val="11.0"/>
      <color rgb="FF632423"/>
      <name val="Arial"/>
    </font>
    <font>
      <b/>
      <sz val="16.0"/>
      <color rgb="FF002060"/>
      <name val="Arial"/>
    </font>
    <font>
      <b/>
      <sz val="11.0"/>
      <color rgb="FF632423"/>
      <name val="Arial"/>
    </font>
    <font>
      <b/>
      <u/>
      <sz val="11.0"/>
      <color rgb="FF632423"/>
      <name val="Arial"/>
    </font>
    <font>
      <b/>
      <sz val="16.0"/>
      <color rgb="FF4F6128"/>
      <name val="Arial"/>
    </font>
    <font>
      <b/>
      <i/>
      <sz val="9.0"/>
      <color rgb="FF4F6128"/>
      <name val="Arial"/>
    </font>
    <font>
      <sz val="11.0"/>
      <color theme="1"/>
      <name val="Times New Roman"/>
    </font>
    <font>
      <b/>
      <sz val="12.0"/>
      <color rgb="FF0070C0"/>
      <name val="Arial"/>
    </font>
    <font>
      <b/>
      <sz val="11.0"/>
      <color rgb="FF0070C0"/>
      <name val="Arial"/>
    </font>
    <font>
      <u/>
      <sz val="11.0"/>
      <color rgb="FF000000"/>
      <name val="Arial"/>
    </font>
    <font>
      <i/>
      <sz val="8.0"/>
      <color rgb="FF0070C0"/>
      <name val="Arial"/>
    </font>
    <font>
      <b/>
      <sz val="16.0"/>
      <color rgb="FF0070C0"/>
      <name val="Arial"/>
    </font>
    <font>
      <b/>
      <i/>
      <sz val="10.0"/>
      <color theme="1"/>
      <name val="Arial"/>
    </font>
    <font>
      <i/>
      <sz val="10.0"/>
      <color theme="1"/>
      <name val="Arial"/>
    </font>
    <font>
      <sz val="11.0"/>
      <color theme="1"/>
      <name val="Georgia"/>
    </font>
    <font>
      <b/>
      <sz val="12.0"/>
      <color rgb="FF974806"/>
      <name val="Arial"/>
    </font>
    <font>
      <b/>
      <sz val="11.0"/>
      <color rgb="FF974806"/>
      <name val="Arial"/>
    </font>
    <font>
      <b/>
      <sz val="12.0"/>
      <color rgb="FFFF0000"/>
      <name val="Calibri"/>
    </font>
    <font>
      <sz val="10.0"/>
      <color rgb="FF0F243E"/>
      <name val="Arial"/>
    </font>
    <font>
      <u/>
      <sz val="11.0"/>
      <color rgb="FF0F243E"/>
      <name val="Arial"/>
    </font>
    <font>
      <b/>
      <sz val="11.0"/>
      <color rgb="FF0F243E"/>
      <name val="Arial"/>
    </font>
    <font>
      <sz val="8.0"/>
      <color rgb="FF0F243E"/>
      <name val="Arial"/>
    </font>
    <font>
      <u/>
      <sz val="11.0"/>
      <color theme="1"/>
      <name val="Arial"/>
    </font>
    <font>
      <u/>
      <sz val="11.0"/>
      <color theme="1"/>
      <name val="Arial"/>
    </font>
    <font>
      <u/>
      <sz val="10.0"/>
      <color rgb="FF000000"/>
      <name val="Arial"/>
    </font>
    <font>
      <b/>
      <u/>
      <sz val="10.0"/>
      <color theme="1"/>
      <name val="Arial"/>
    </font>
    <font>
      <b/>
      <u/>
      <sz val="10.0"/>
      <color theme="1"/>
      <name val="Arial"/>
    </font>
    <font>
      <b/>
      <u/>
      <sz val="10.0"/>
      <color theme="1"/>
      <name val="Arial"/>
    </font>
    <font>
      <b/>
      <u/>
      <sz val="10.0"/>
      <color theme="1"/>
      <name val="Arial"/>
    </font>
    <font>
      <u/>
      <sz val="10.0"/>
      <color rgb="FF000000"/>
      <name val="Arial"/>
    </font>
    <font>
      <i/>
      <sz val="8.0"/>
      <color theme="1"/>
      <name val="Arial"/>
    </font>
  </fonts>
  <fills count="24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366092"/>
        <bgColor rgb="FF366092"/>
      </patternFill>
    </fill>
    <fill>
      <patternFill patternType="solid">
        <fgColor rgb="FFFBD4B4"/>
        <bgColor rgb="FFFBD4B4"/>
      </patternFill>
    </fill>
    <fill>
      <patternFill patternType="solid">
        <fgColor rgb="FFE5B8B7"/>
        <bgColor rgb="FFE5B8B7"/>
      </patternFill>
    </fill>
    <fill>
      <patternFill patternType="solid">
        <fgColor rgb="FFC3623A"/>
        <bgColor rgb="FFC3623A"/>
      </patternFill>
    </fill>
    <fill>
      <patternFill patternType="solid">
        <fgColor rgb="FFFDE9D9"/>
        <bgColor rgb="FFFDE9D9"/>
      </patternFill>
    </fill>
    <fill>
      <patternFill patternType="solid">
        <fgColor rgb="FFE5DFEC"/>
        <bgColor rgb="FFE5DFEC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EEECE1"/>
        <bgColor rgb="FFEEECE1"/>
      </patternFill>
    </fill>
    <fill>
      <patternFill patternType="solid">
        <fgColor rgb="FFB6DDE8"/>
        <bgColor rgb="FFB6DDE8"/>
      </patternFill>
    </fill>
    <fill>
      <patternFill patternType="solid">
        <fgColor rgb="FFEAF1DD"/>
        <bgColor rgb="FFEAF1DD"/>
      </patternFill>
    </fill>
    <fill>
      <patternFill patternType="solid">
        <fgColor rgb="FFF2DBDB"/>
        <bgColor rgb="FFF2DBDB"/>
      </patternFill>
    </fill>
    <fill>
      <patternFill patternType="solid">
        <fgColor rgb="FFDDD9C3"/>
        <bgColor rgb="FFDDD9C3"/>
      </patternFill>
    </fill>
    <fill>
      <patternFill patternType="solid">
        <fgColor rgb="FFDAEEF3"/>
        <bgColor rgb="FFDAEEF3"/>
      </patternFill>
    </fill>
    <fill>
      <patternFill patternType="solid">
        <fgColor rgb="FFC4BD97"/>
        <bgColor rgb="FFC4BD97"/>
      </patternFill>
    </fill>
    <fill>
      <patternFill patternType="solid">
        <fgColor rgb="FFFBE9EF"/>
        <bgColor rgb="FFFBE9EF"/>
      </patternFill>
    </fill>
    <fill>
      <patternFill patternType="solid">
        <fgColor rgb="FFDBE5F1"/>
        <bgColor rgb="FFDBE5F1"/>
      </patternFill>
    </fill>
    <fill>
      <patternFill patternType="solid">
        <fgColor rgb="FFC2D69B"/>
        <bgColor rgb="FFC2D69B"/>
      </patternFill>
    </fill>
    <fill>
      <patternFill patternType="solid">
        <fgColor rgb="FFD6E3BC"/>
        <bgColor rgb="FFD6E3BC"/>
      </patternFill>
    </fill>
  </fills>
  <borders count="193">
    <border/>
    <border>
      <left/>
      <right/>
      <top/>
      <bottom/>
    </border>
    <border>
      <left style="thin">
        <color rgb="FFA5A5A5"/>
      </left>
      <right style="thick">
        <color rgb="FFA5A5A5"/>
      </right>
      <top style="thin">
        <color rgb="FFA5A5A5"/>
      </top>
      <bottom style="thick">
        <color rgb="FFA5A5A5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top style="thin">
        <color rgb="FFA5A5A5"/>
      </top>
      <bottom style="thick">
        <color rgb="FFA5A5A5"/>
      </bottom>
    </border>
    <border>
      <left/>
      <top/>
      <bottom/>
    </border>
    <border>
      <top style="thin">
        <color rgb="FFA5A5A5"/>
      </top>
      <bottom style="thick">
        <color rgb="FFA5A5A5"/>
      </bottom>
    </border>
    <border>
      <right/>
      <top/>
      <bottom/>
    </border>
    <border>
      <right style="thick">
        <color rgb="FFA5A5A5"/>
      </right>
      <top style="thin">
        <color rgb="FFA5A5A5"/>
      </top>
      <bottom style="thick">
        <color rgb="FFA5A5A5"/>
      </bottom>
    </border>
    <border>
      <left/>
      <right/>
      <top style="thick">
        <color rgb="FFA5A5A5"/>
      </top>
      <bottom/>
    </border>
    <border>
      <left/>
      <top/>
    </border>
    <border>
      <right/>
      <top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top/>
      <bottom/>
    </border>
    <border>
      <left/>
      <bottom/>
    </border>
    <border>
      <right/>
      <bottom/>
    </border>
    <border>
      <left style="medium">
        <color rgb="FF000000"/>
      </left>
      <bottom/>
    </border>
    <border>
      <bottom/>
    </border>
    <border>
      <right style="medium">
        <color rgb="FF000000"/>
      </right>
      <bottom/>
    </border>
    <border>
      <left/>
      <right/>
      <top style="thick">
        <color rgb="FFA5A5A5"/>
      </top>
    </border>
    <border>
      <left style="medium">
        <color rgb="FF000000"/>
      </left>
      <right/>
      <top/>
      <bottom/>
    </border>
    <border>
      <left style="thin">
        <color theme="1"/>
      </left>
      <right style="medium">
        <color theme="1"/>
      </right>
      <top style="thin">
        <color theme="1"/>
      </top>
      <bottom/>
    </border>
    <border>
      <left/>
      <right style="medium">
        <color rgb="FF000000"/>
      </right>
      <top/>
      <bottom/>
    </border>
    <border>
      <left style="thin">
        <color rgb="FF000000"/>
      </left>
      <right style="thick">
        <color rgb="FFA5A5A5"/>
      </right>
      <top style="thin">
        <color rgb="FFA5A5A5"/>
      </top>
      <bottom style="thick">
        <color rgb="FFA5A5A5"/>
      </bottom>
    </border>
    <border>
      <left/>
      <right/>
      <bottom style="double">
        <color rgb="FF000000"/>
      </bottom>
    </border>
    <border>
      <left style="medium">
        <color rgb="FF000000"/>
      </left>
      <top/>
      <bottom style="medium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double">
        <color rgb="FF000000"/>
      </left>
      <right/>
      <top style="double">
        <color rgb="FF000000"/>
      </top>
      <bottom style="double">
        <color rgb="FF000000"/>
      </bottom>
    </border>
    <border>
      <left/>
      <right/>
      <top style="double">
        <color rgb="FF000000"/>
      </top>
      <bottom style="double">
        <color rgb="FF000000"/>
      </bottom>
    </border>
    <border>
      <left/>
      <right style="double">
        <color rgb="FF000000"/>
      </right>
      <top style="double">
        <color rgb="FF000000"/>
      </top>
      <bottom style="double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/>
      <right/>
      <top/>
      <bottom style="thin">
        <color rgb="FF000000"/>
      </bottom>
    </border>
    <border>
      <left style="medium">
        <color rgb="FF000000"/>
      </left>
      <top/>
      <bottom/>
    </border>
    <border>
      <right style="medium">
        <color rgb="FF000000"/>
      </right>
      <top/>
      <bottom/>
    </border>
    <border>
      <left/>
      <right/>
      <top style="thick">
        <color rgb="FFA5A5A5"/>
      </top>
      <bottom style="thin">
        <color theme="1"/>
      </bottom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/>
      <right/>
      <top/>
      <bottom style="double">
        <color rgb="FF000000"/>
      </bottom>
    </border>
    <border>
      <top/>
    </border>
    <border>
      <left/>
      <right/>
      <top style="thin">
        <color rgb="FF000000"/>
      </top>
    </border>
    <border>
      <left/>
      <right/>
      <top style="thick">
        <color rgb="FFA5A5A5"/>
      </top>
      <bottom style="thin">
        <color rgb="FF000000"/>
      </bottom>
    </border>
    <border>
      <left/>
      <right/>
      <top style="thin">
        <color rgb="FF000000"/>
      </top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/>
      <right/>
      <top/>
    </border>
    <border>
      <left/>
      <right/>
      <bottom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/>
      <right style="thick">
        <color rgb="FFA5A5A5"/>
      </right>
      <top style="thin">
        <color rgb="FFA5A5A5"/>
      </top>
      <bottom style="thick">
        <color rgb="FFA5A5A5"/>
      </bottom>
    </border>
    <border>
      <left/>
      <right/>
      <top style="double">
        <color theme="0"/>
      </top>
      <bottom style="double">
        <color theme="0"/>
      </bottom>
    </border>
    <border>
      <left/>
      <right style="double">
        <color theme="0"/>
      </right>
      <top style="double">
        <color theme="0"/>
      </top>
      <bottom style="double">
        <color theme="0"/>
      </bottom>
    </border>
    <border>
      <left style="double">
        <color theme="0"/>
      </left>
      <right/>
      <top style="double">
        <color theme="0"/>
      </top>
      <bottom style="double">
        <color theme="0"/>
      </bottom>
    </border>
    <border>
      <left style="double">
        <color theme="0"/>
      </left>
      <top style="double">
        <color theme="0"/>
      </top>
      <bottom style="double">
        <color theme="0"/>
      </bottom>
    </border>
    <border>
      <top style="double">
        <color theme="0"/>
      </top>
      <bottom style="double">
        <color theme="0"/>
      </bottom>
    </border>
    <border>
      <right style="double">
        <color theme="0"/>
      </right>
      <top style="double">
        <color theme="0"/>
      </top>
      <bottom style="double">
        <color theme="0"/>
      </bottom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/>
    </border>
    <border>
      <left/>
      <right/>
      <top/>
      <bottom style="thin">
        <color theme="1"/>
      </bottom>
    </border>
    <border>
      <left/>
      <right style="thin">
        <color rgb="FF000000"/>
      </right>
      <top/>
    </border>
    <border>
      <left/>
      <right style="thin">
        <color rgb="FF000000"/>
      </righ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/>
      <top style="thin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  <bottom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  <border>
      <left style="double">
        <color theme="0"/>
      </left>
      <right style="double">
        <color theme="0"/>
      </right>
      <top style="double">
        <color theme="0"/>
      </top>
      <bottom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right/>
      <bottom style="thin">
        <color theme="1"/>
      </bottom>
    </border>
    <border>
      <left style="thin">
        <color rgb="FF000000"/>
      </left>
      <right/>
      <top style="thin">
        <color theme="0"/>
      </top>
      <bottom/>
    </border>
    <border>
      <left style="thin">
        <color rgb="FF000000"/>
      </left>
      <top/>
      <bottom/>
    </border>
    <border>
      <left/>
      <right/>
      <top style="thin">
        <color theme="0"/>
      </top>
      <bottom/>
    </border>
    <border>
      <right style="thin">
        <color rgb="FF000000"/>
      </right>
      <top/>
      <bottom/>
    </border>
    <border>
      <left style="thin">
        <color rgb="FF000000"/>
      </left>
      <top/>
    </border>
    <border>
      <right style="thin">
        <color rgb="FF000000"/>
      </right>
      <top/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/>
      <bottom style="thin">
        <color rgb="FF000000"/>
      </bottom>
    </border>
    <border>
      <left/>
      <right/>
      <bottom style="thin">
        <color rgb="FF000000"/>
      </bottom>
    </border>
    <border>
      <left/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A5A5A5"/>
      </left>
      <right style="thick">
        <color rgb="FFA5A5A5"/>
      </right>
      <top style="thin">
        <color rgb="FFA5A5A5"/>
      </top>
      <bottom style="thin">
        <color rgb="FF000000"/>
      </bottom>
    </border>
    <border>
      <left style="thick">
        <color rgb="FFA5A5A5"/>
      </left>
      <right style="thin">
        <color rgb="FF000000"/>
      </right>
      <top/>
      <bottom style="thin">
        <color rgb="FF000000"/>
      </bottom>
    </border>
    <border>
      <left/>
      <right style="thick">
        <color theme="0"/>
      </right>
      <top/>
      <bottom/>
    </border>
    <border>
      <left style="thin">
        <color rgb="FFA5A5A5"/>
      </left>
      <right style="thick">
        <color rgb="FFA5A5A5"/>
      </right>
      <bottom style="thick">
        <color rgb="FFA5A5A5"/>
      </bottom>
    </border>
    <border>
      <left/>
      <right style="thick">
        <color theme="0"/>
      </right>
      <top/>
    </border>
    <border>
      <left/>
      <right style="thick">
        <color theme="0"/>
      </right>
      <bottom/>
    </border>
    <border>
      <left/>
      <right/>
      <top/>
      <bottom style="thick">
        <color theme="0"/>
      </bottom>
    </border>
    <border>
      <left/>
      <right style="thick">
        <color theme="0"/>
      </right>
      <top/>
      <bottom style="thick">
        <color theme="0"/>
      </bottom>
    </border>
    <border>
      <left/>
      <right style="thick">
        <color theme="0"/>
      </right>
      <top style="thin">
        <color theme="0"/>
      </top>
      <bottom/>
    </border>
    <border>
      <left style="double">
        <color rgb="FF000000"/>
      </left>
      <right style="double">
        <color rgb="FF000000"/>
      </right>
      <top style="double">
        <color rgb="FF000000"/>
      </top>
      <bottom/>
    </border>
    <border>
      <left style="medium">
        <color rgb="FF000000"/>
      </left>
      <right style="thin">
        <color rgb="FF000000"/>
      </right>
      <top/>
    </border>
    <border>
      <left style="medium">
        <color rgb="FF000000"/>
      </left>
      <right/>
      <top/>
    </border>
    <border>
      <left style="double">
        <color rgb="FF000000"/>
      </left>
      <right style="double">
        <color rgb="FF000000"/>
      </right>
      <top style="double">
        <color rgb="FF000000"/>
      </top>
    </border>
    <border>
      <left style="double">
        <color rgb="FF000000"/>
      </left>
      <right style="double">
        <color rgb="FF000000"/>
      </right>
      <top/>
      <bottom style="double">
        <color rgb="FF000000"/>
      </bottom>
    </border>
    <border>
      <left/>
      <right style="thin">
        <color rgb="FF000000"/>
      </right>
      <bottom/>
    </border>
    <border>
      <left style="medium">
        <color rgb="FF000000"/>
      </left>
      <right style="thin">
        <color rgb="FF000000"/>
      </right>
      <bottom/>
    </border>
    <border>
      <left style="medium">
        <color rgb="FF000000"/>
      </left>
      <right/>
      <bottom/>
    </border>
    <border>
      <left style="double">
        <color rgb="FF000000"/>
      </left>
      <right style="double">
        <color rgb="FF000000"/>
      </right>
      <bottom style="double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</border>
    <border>
      <left style="thin">
        <color rgb="FF000000"/>
      </left>
      <right style="thick">
        <color rgb="FF000000"/>
      </right>
      <bottom/>
    </border>
    <border>
      <left style="thin">
        <color rgb="FF000000"/>
      </left>
      <right style="thick">
        <color rgb="FF000000"/>
      </right>
      <top/>
      <bottom/>
    </border>
    <border>
      <left style="thin">
        <color rgb="FF000000"/>
      </left>
      <right style="thick">
        <color rgb="FF000000"/>
      </right>
      <top/>
    </border>
    <border>
      <left style="thin">
        <color rgb="FF000000"/>
      </left>
      <right style="thick">
        <color rgb="FF000000"/>
      </right>
      <bottom style="thick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/>
      <top style="thin">
        <color rgb="FF000000"/>
      </top>
    </border>
    <border>
      <left/>
      <right style="thin">
        <color rgb="FF000000"/>
      </right>
      <top style="thin">
        <color rgb="FF000000"/>
      </top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/>
      <top/>
      <bottom style="medium">
        <color rgb="FF000000"/>
      </bottom>
    </border>
    <border>
      <right/>
      <top/>
      <bottom style="medium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/>
    </border>
    <border>
      <left style="double">
        <color theme="0"/>
      </left>
      <right style="double">
        <color theme="0"/>
      </right>
      <top/>
      <bottom/>
    </border>
    <border>
      <left/>
      <right/>
      <bottom style="thin">
        <color rgb="FFA5A5A5"/>
      </bottom>
    </border>
    <border>
      <left style="thin">
        <color rgb="FF000000"/>
      </left>
      <right style="double">
        <color theme="0"/>
      </right>
      <top style="thin">
        <color rgb="FF000000"/>
      </top>
      <bottom/>
    </border>
    <border>
      <left style="double">
        <color theme="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A5A5A5"/>
      </left>
      <top style="thin">
        <color rgb="FFA5A5A5"/>
      </top>
      <bottom style="thick">
        <color rgb="FFA5A5A5"/>
      </bottom>
    </border>
    <border>
      <right/>
      <top style="thin">
        <color rgb="FFA5A5A5"/>
      </top>
      <bottom style="thick">
        <color rgb="FFA5A5A5"/>
      </bottom>
    </border>
    <border>
      <left style="thin">
        <color theme="1"/>
      </left>
      <top/>
      <bottom/>
    </border>
    <border>
      <left/>
    </border>
    <border>
      <right/>
    </border>
    <border>
      <left/>
      <right/>
    </border>
    <border>
      <left/>
      <right style="thin">
        <color rgb="FFA5A5A5"/>
      </right>
      <top/>
      <bottom/>
    </border>
    <border>
      <left/>
      <right/>
      <top style="thin">
        <color rgb="FFA5A5A5"/>
      </top>
      <bottom style="thin">
        <color rgb="FFA5A5A5"/>
      </bottom>
    </border>
    <border>
      <left/>
      <right/>
      <bottom style="double">
        <color theme="0"/>
      </bottom>
    </border>
    <border>
      <left/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thin">
        <color rgb="FFA5A5A5"/>
      </left>
      <right/>
      <top style="thin">
        <color rgb="FFA5A5A5"/>
      </top>
      <bottom style="thick">
        <color rgb="FFA5A5A5"/>
      </bottom>
    </border>
    <border>
      <left style="thick">
        <color rgb="FFA5A5A5"/>
      </left>
      <right/>
      <top/>
      <bottom/>
    </border>
    <border>
      <left style="thick">
        <color rgb="FFA5A5A5"/>
      </left>
      <top/>
      <bottom/>
    </border>
    <border>
      <right style="thin">
        <color rgb="FFA5A5A5"/>
      </right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A5A5A5"/>
      </left>
      <right style="thick">
        <color rgb="FFA5A5A5"/>
      </right>
      <top style="thin">
        <color rgb="FFA5A5A5"/>
      </top>
      <bottom/>
    </border>
    <border>
      <left style="thin">
        <color rgb="FFA5A5A5"/>
      </left>
      <right style="thick">
        <color rgb="FFA5A5A5"/>
      </right>
      <top/>
      <bottom style="thick">
        <color rgb="FFA5A5A5"/>
      </bottom>
    </border>
    <border>
      <left style="thin">
        <color theme="1"/>
      </left>
      <right style="medium">
        <color theme="1"/>
      </right>
      <top style="thin">
        <color theme="1"/>
      </top>
    </border>
    <border>
      <left style="thin">
        <color rgb="FF7F7F7F"/>
      </left>
      <right style="thick">
        <color rgb="FF7F7F7F"/>
      </right>
      <top style="thin">
        <color rgb="FF7F7F7F"/>
      </top>
    </border>
    <border>
      <left style="thin">
        <color theme="1"/>
      </left>
      <right style="medium">
        <color theme="1"/>
      </right>
      <bottom style="medium">
        <color theme="1"/>
      </bottom>
    </border>
    <border>
      <left style="thin">
        <color rgb="FF7F7F7F"/>
      </left>
      <right style="thick">
        <color rgb="FF7F7F7F"/>
      </right>
      <bottom style="thick">
        <color rgb="FF7F7F7F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ck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ck">
        <color rgb="FF000000"/>
      </right>
      <top/>
      <bottom style="thick">
        <color rgb="FF000000"/>
      </bottom>
    </border>
    <border>
      <left/>
      <bottom style="medium">
        <color rgb="FF000000"/>
      </bottom>
    </border>
    <border>
      <bottom style="medium">
        <color rgb="FF000000"/>
      </bottom>
    </border>
    <border>
      <right/>
      <bottom style="medium">
        <color rgb="FF000000"/>
      </bottom>
    </border>
    <border>
      <left/>
      <right/>
      <bottom style="medium">
        <color rgb="FF000000"/>
      </bottom>
    </border>
    <border>
      <right/>
      <top style="medium">
        <color rgb="FF000000"/>
      </top>
    </border>
    <border>
      <left style="thin">
        <color rgb="FF000000"/>
      </left>
      <bottom style="thin">
        <color rgb="FFA5A5A5"/>
      </bottom>
    </border>
    <border>
      <right style="thin">
        <color rgb="FF000000"/>
      </right>
      <bottom style="thin">
        <color rgb="FFA5A5A5"/>
      </bottom>
    </border>
    <border>
      <left/>
      <right style="medium">
        <color rgb="FF000000"/>
      </right>
      <top/>
      <bottom style="thin">
        <color rgb="FF000000"/>
      </bottom>
    </border>
    <border>
      <left/>
      <right style="medium">
        <color rgb="FF000000"/>
      </right>
      <top style="thin">
        <color rgb="FF000000"/>
      </top>
      <bottom/>
    </border>
    <border>
      <left style="thin">
        <color rgb="FF000000"/>
      </left>
      <right/>
      <top/>
      <bottom style="medium">
        <color rgb="FF000000"/>
      </bottom>
    </border>
    <border>
      <left/>
      <right style="thin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1677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2" numFmtId="2" xfId="0" applyAlignment="1" applyBorder="1" applyFill="1" applyFont="1" applyNumberFormat="1">
      <alignment horizontal="left" vertical="center"/>
    </xf>
    <xf borderId="1" fillId="2" fontId="3" numFmtId="2" xfId="0" applyBorder="1" applyFill="1" applyFont="1" applyNumberFormat="1"/>
    <xf borderId="1" fillId="2" fontId="4" numFmtId="2" xfId="0" applyBorder="1" applyFill="1" applyFont="1" applyNumberFormat="1"/>
    <xf borderId="1" fillId="2" fontId="5" numFmtId="164" xfId="0" applyAlignment="1" applyBorder="1" applyFill="1" applyFont="1" applyNumberFormat="1">
      <alignment vertical="center"/>
    </xf>
    <xf borderId="2" fillId="3" fontId="6" numFmtId="165" xfId="0" applyAlignment="1" applyBorder="1" applyFill="1" applyFont="1" applyNumberFormat="1">
      <alignment horizontal="center" vertical="center"/>
    </xf>
    <xf borderId="1" fillId="2" fontId="7" numFmtId="0" xfId="0" applyAlignment="1" applyBorder="1" applyFill="1" applyFont="1">
      <alignment vertical="top"/>
    </xf>
    <xf borderId="1" fillId="2" fontId="2" numFmtId="2" xfId="0" applyAlignment="1" applyBorder="1" applyFill="1" applyFont="1" applyNumberFormat="1">
      <alignment horizontal="left"/>
    </xf>
    <xf borderId="1" fillId="2" fontId="8" numFmtId="0" xfId="0" applyAlignment="1" applyBorder="1" applyFill="1" applyFont="1">
      <alignment horizontal="right" vertical="center"/>
    </xf>
    <xf borderId="1" fillId="2" fontId="8" numFmtId="0" xfId="0" applyAlignment="1" applyBorder="1" applyFill="1" applyFont="1">
      <alignment horizontal="right" vertical="top"/>
    </xf>
    <xf borderId="3" fillId="4" fontId="9" numFmtId="0" xfId="0" applyAlignment="1" applyBorder="1" applyFill="1" applyFont="1">
      <alignment horizontal="center"/>
    </xf>
    <xf borderId="1" fillId="2" fontId="8" numFmtId="0" xfId="0" applyBorder="1" applyFill="1" applyFont="1"/>
    <xf borderId="4" fillId="0" fontId="10" numFmtId="0" xfId="0" applyBorder="1" applyFont="1"/>
    <xf borderId="5" fillId="0" fontId="10" numFmtId="0" xfId="0" applyBorder="1" applyFont="1"/>
    <xf borderId="1" fillId="2" fontId="11" numFmtId="0" xfId="0" applyBorder="1" applyFill="1" applyFont="1"/>
    <xf borderId="1" fillId="2" fontId="1" numFmtId="166" xfId="0" applyAlignment="1" applyBorder="1" applyFill="1" applyFont="1" applyNumberFormat="1">
      <alignment vertical="center"/>
    </xf>
    <xf borderId="1" fillId="2" fontId="12" numFmtId="0" xfId="0" applyBorder="1" applyFill="1" applyFont="1"/>
    <xf borderId="6" fillId="3" fontId="13" numFmtId="0" xfId="0" applyAlignment="1" applyBorder="1" applyFill="1" applyFont="1">
      <alignment horizontal="center" vertical="center"/>
    </xf>
    <xf borderId="7" fillId="2" fontId="5" numFmtId="164" xfId="0" applyAlignment="1" applyBorder="1" applyFill="1" applyFont="1" applyNumberFormat="1">
      <alignment horizontal="center" vertical="center"/>
    </xf>
    <xf borderId="8" fillId="0" fontId="10" numFmtId="0" xfId="0" applyBorder="1" applyFont="1"/>
    <xf borderId="9" fillId="0" fontId="10" numFmtId="0" xfId="0" applyBorder="1" applyFont="1"/>
    <xf borderId="10" fillId="0" fontId="10" numFmtId="0" xfId="0" applyBorder="1" applyFont="1"/>
    <xf borderId="1" fillId="2" fontId="14" numFmtId="0" xfId="0" applyAlignment="1" applyBorder="1" applyFill="1" applyFont="1">
      <alignment horizontal="center"/>
    </xf>
    <xf borderId="11" fillId="2" fontId="15" numFmtId="0" xfId="0" applyAlignment="1" applyBorder="1" applyFill="1" applyFont="1">
      <alignment vertical="top"/>
    </xf>
    <xf borderId="1" fillId="2" fontId="16" numFmtId="0" xfId="0" applyBorder="1" applyFill="1" applyFont="1"/>
    <xf borderId="12" fillId="2" fontId="5" numFmtId="164" xfId="0" applyAlignment="1" applyBorder="1" applyFill="1" applyFont="1" applyNumberFormat="1">
      <alignment horizontal="center" vertical="center"/>
    </xf>
    <xf borderId="13" fillId="0" fontId="10" numFmtId="0" xfId="0" applyBorder="1" applyFont="1"/>
    <xf borderId="1" fillId="2" fontId="14" numFmtId="0" xfId="0" applyBorder="1" applyFill="1" applyFont="1"/>
    <xf borderId="2" fillId="3" fontId="17" numFmtId="165" xfId="0" applyAlignment="1" applyBorder="1" applyFill="1" applyFont="1" applyNumberFormat="1">
      <alignment horizontal="center" vertical="center"/>
    </xf>
    <xf borderId="14" fillId="5" fontId="7" numFmtId="0" xfId="0" applyAlignment="1" applyBorder="1" applyFill="1" applyFont="1">
      <alignment horizontal="center" vertical="center"/>
    </xf>
    <xf borderId="15" fillId="0" fontId="10" numFmtId="0" xfId="0" applyBorder="1" applyFont="1"/>
    <xf borderId="16" fillId="0" fontId="10" numFmtId="0" xfId="0" applyBorder="1" applyFont="1"/>
    <xf borderId="7" fillId="2" fontId="14" numFmtId="0" xfId="0" applyAlignment="1" applyBorder="1" applyFill="1" applyFont="1">
      <alignment horizontal="center" vertical="center"/>
    </xf>
    <xf quotePrefix="1" borderId="1" fillId="2" fontId="16" numFmtId="0" xfId="0" applyAlignment="1" applyBorder="1" applyFill="1" applyFont="1">
      <alignment horizontal="left" vertical="center"/>
    </xf>
    <xf borderId="17" fillId="0" fontId="10" numFmtId="0" xfId="0" applyBorder="1" applyFont="1"/>
    <xf borderId="7" fillId="2" fontId="18" numFmtId="0" xfId="0" applyAlignment="1" applyBorder="1" applyFill="1" applyFont="1">
      <alignment horizontal="center" vertical="top"/>
    </xf>
    <xf borderId="18" fillId="0" fontId="10" numFmtId="0" xfId="0" applyBorder="1" applyFont="1"/>
    <xf borderId="19" fillId="0" fontId="10" numFmtId="0" xfId="0" applyBorder="1" applyFont="1"/>
    <xf borderId="1" fillId="2" fontId="1" numFmtId="0" xfId="0" applyAlignment="1" applyBorder="1" applyFill="1" applyFont="1">
      <alignment horizontal="center"/>
    </xf>
    <xf borderId="14" fillId="6" fontId="7" numFmtId="0" xfId="0" applyAlignment="1" applyBorder="1" applyFill="1" applyFont="1">
      <alignment horizontal="center" vertical="center"/>
    </xf>
    <xf borderId="1" fillId="2" fontId="19" numFmtId="0" xfId="0" applyAlignment="1" applyBorder="1" applyFill="1" applyFont="1">
      <alignment horizontal="right"/>
    </xf>
    <xf borderId="1" fillId="2" fontId="19" numFmtId="0" xfId="0" applyBorder="1" applyFill="1" applyFont="1"/>
    <xf borderId="20" fillId="0" fontId="10" numFmtId="0" xfId="0" applyBorder="1" applyFont="1"/>
    <xf borderId="21" fillId="0" fontId="10" numFmtId="0" xfId="0" applyBorder="1" applyFont="1"/>
    <xf borderId="22" fillId="0" fontId="10" numFmtId="0" xfId="0" applyBorder="1" applyFont="1"/>
    <xf borderId="1" fillId="2" fontId="20" numFmtId="0" xfId="0" applyBorder="1" applyFill="1" applyFont="1"/>
    <xf borderId="23" fillId="2" fontId="14" numFmtId="0" xfId="0" applyAlignment="1" applyBorder="1" applyFill="1" applyFont="1">
      <alignment horizontal="center"/>
    </xf>
    <xf borderId="24" fillId="5" fontId="1" numFmtId="0" xfId="0" applyBorder="1" applyFill="1" applyFont="1"/>
    <xf borderId="1" fillId="2" fontId="16" numFmtId="0" xfId="0" applyAlignment="1" applyBorder="1" applyFill="1" applyFont="1">
      <alignment horizontal="left" vertical="center"/>
    </xf>
    <xf borderId="25" fillId="4" fontId="21" numFmtId="167" xfId="0" applyAlignment="1" applyBorder="1" applyFill="1" applyFont="1" applyNumberFormat="1">
      <alignment horizontal="center"/>
    </xf>
    <xf borderId="1" fillId="5" fontId="1" numFmtId="0" xfId="0" applyBorder="1" applyFill="1" applyFont="1"/>
    <xf borderId="1" fillId="2" fontId="22" numFmtId="0" xfId="0" applyAlignment="1" applyBorder="1" applyFill="1" applyFont="1">
      <alignment horizontal="center" vertical="center"/>
    </xf>
    <xf borderId="26" fillId="5" fontId="1" numFmtId="0" xfId="0" applyBorder="1" applyFill="1" applyFont="1"/>
    <xf borderId="27" fillId="3" fontId="13" numFmtId="164" xfId="0" applyAlignment="1" applyBorder="1" applyFill="1" applyFont="1" applyNumberFormat="1">
      <alignment horizontal="center" vertical="center"/>
    </xf>
    <xf borderId="28" fillId="0" fontId="10" numFmtId="0" xfId="0" applyBorder="1" applyFont="1"/>
    <xf borderId="27" fillId="3" fontId="13" numFmtId="0" xfId="0" applyAlignment="1" applyBorder="1" applyFill="1" applyFont="1">
      <alignment horizontal="center" vertical="center"/>
    </xf>
    <xf borderId="24" fillId="6" fontId="1" numFmtId="0" xfId="0" applyBorder="1" applyFill="1" applyFont="1"/>
    <xf borderId="1" fillId="6" fontId="1" numFmtId="0" xfId="0" applyBorder="1" applyFill="1" applyFont="1"/>
    <xf borderId="26" fillId="6" fontId="1" numFmtId="0" xfId="0" applyBorder="1" applyFill="1" applyFont="1"/>
    <xf borderId="3" fillId="4" fontId="21" numFmtId="0" xfId="0" applyAlignment="1" applyBorder="1" applyFill="1" applyFont="1">
      <alignment horizontal="center" vertical="center"/>
    </xf>
    <xf borderId="11" fillId="2" fontId="7" numFmtId="0" xfId="0" applyAlignment="1" applyBorder="1" applyFill="1" applyFont="1">
      <alignment horizontal="center" vertical="top"/>
    </xf>
    <xf borderId="1" fillId="2" fontId="15" numFmtId="0" xfId="0" applyAlignment="1" applyBorder="1" applyFill="1" applyFont="1">
      <alignment vertical="top"/>
    </xf>
    <xf borderId="24" fillId="6" fontId="23" numFmtId="0" xfId="0" applyAlignment="1" applyBorder="1" applyFill="1" applyFont="1">
      <alignment vertical="center"/>
    </xf>
    <xf borderId="1" fillId="6" fontId="23" numFmtId="0" xfId="0" applyAlignment="1" applyBorder="1" applyFill="1" applyFont="1">
      <alignment vertical="center"/>
    </xf>
    <xf borderId="1" fillId="2" fontId="24" numFmtId="0" xfId="0" applyAlignment="1" applyBorder="1" applyFill="1" applyFont="1">
      <alignment horizontal="center" vertical="center"/>
    </xf>
    <xf borderId="26" fillId="6" fontId="23" numFmtId="0" xfId="0" applyAlignment="1" applyBorder="1" applyFill="1" applyFont="1">
      <alignment vertical="center"/>
    </xf>
    <xf borderId="1" fillId="2" fontId="11" numFmtId="0" xfId="0" applyAlignment="1" applyBorder="1" applyFill="1" applyFont="1">
      <alignment horizontal="right"/>
    </xf>
    <xf borderId="29" fillId="5" fontId="7" numFmtId="0" xfId="0" applyAlignment="1" applyBorder="1" applyFill="1" applyFont="1">
      <alignment horizontal="center" vertical="top"/>
    </xf>
    <xf borderId="30" fillId="4" fontId="21" numFmtId="167" xfId="0" applyAlignment="1" applyBorder="1" applyFill="1" applyFont="1" applyNumberFormat="1">
      <alignment horizontal="center"/>
    </xf>
    <xf borderId="31" fillId="0" fontId="10" numFmtId="0" xfId="0" applyBorder="1" applyFont="1"/>
    <xf borderId="32" fillId="0" fontId="10" numFmtId="0" xfId="0" applyBorder="1" applyFont="1"/>
    <xf borderId="1" fillId="2" fontId="25" numFmtId="0" xfId="0" applyAlignment="1" applyBorder="1" applyFill="1" applyFont="1">
      <alignment horizontal="center" vertical="top"/>
    </xf>
    <xf borderId="30" fillId="4" fontId="21" numFmtId="0" xfId="0" applyAlignment="1" applyBorder="1" applyFill="1" applyFont="1">
      <alignment horizontal="center"/>
    </xf>
    <xf borderId="1" fillId="2" fontId="26" numFmtId="0" xfId="0" applyBorder="1" applyFill="1" applyFont="1"/>
    <xf borderId="29" fillId="6" fontId="7" numFmtId="0" xfId="0" applyAlignment="1" applyBorder="1" applyFill="1" applyFont="1">
      <alignment horizontal="center" vertical="top"/>
    </xf>
    <xf borderId="33" fillId="4" fontId="21" numFmtId="0" xfId="0" applyAlignment="1" applyBorder="1" applyFill="1" applyFont="1">
      <alignment horizontal="right" vertical="center"/>
    </xf>
    <xf borderId="7" fillId="7" fontId="27" numFmtId="0" xfId="0" applyAlignment="1" applyBorder="1" applyFill="1" applyFont="1">
      <alignment horizontal="center"/>
    </xf>
    <xf borderId="34" fillId="4" fontId="21" numFmtId="168" xfId="0" applyAlignment="1" applyBorder="1" applyFill="1" applyFont="1" applyNumberFormat="1">
      <alignment vertical="center"/>
    </xf>
    <xf borderId="35" fillId="4" fontId="21" numFmtId="168" xfId="0" applyAlignment="1" applyBorder="1" applyFill="1" applyFont="1" applyNumberFormat="1">
      <alignment vertical="center"/>
    </xf>
    <xf borderId="1" fillId="2" fontId="11" numFmtId="167" xfId="0" applyAlignment="1" applyBorder="1" applyFill="1" applyFont="1" applyNumberFormat="1">
      <alignment horizontal="center"/>
    </xf>
    <xf borderId="1" fillId="2" fontId="11" numFmtId="167" xfId="0" applyBorder="1" applyFill="1" applyFont="1" applyNumberFormat="1"/>
    <xf borderId="1" fillId="2" fontId="15" numFmtId="0" xfId="0" applyAlignment="1" applyBorder="1" applyFill="1" applyFont="1">
      <alignment vertical="center"/>
    </xf>
    <xf borderId="2" fillId="3" fontId="17" numFmtId="167" xfId="0" applyBorder="1" applyFill="1" applyFont="1" applyNumberFormat="1"/>
    <xf borderId="7" fillId="2" fontId="28" numFmtId="0" xfId="0" applyAlignment="1" applyBorder="1" applyFill="1" applyFont="1">
      <alignment horizontal="center"/>
    </xf>
    <xf borderId="1" fillId="2" fontId="1" numFmtId="167" xfId="0" applyBorder="1" applyFill="1" applyFont="1" applyNumberFormat="1"/>
    <xf borderId="1" fillId="2" fontId="29" numFmtId="169" xfId="0" applyAlignment="1" applyBorder="1" applyFill="1" applyFont="1" applyNumberFormat="1">
      <alignment horizontal="center"/>
    </xf>
    <xf borderId="7" fillId="8" fontId="30" numFmtId="0" xfId="0" applyAlignment="1" applyBorder="1" applyFill="1" applyFont="1">
      <alignment horizontal="center" vertical="center"/>
    </xf>
    <xf borderId="1" fillId="2" fontId="29" numFmtId="167" xfId="0" applyAlignment="1" applyBorder="1" applyFill="1" applyFont="1" applyNumberFormat="1">
      <alignment horizontal="center"/>
    </xf>
    <xf borderId="1" fillId="2" fontId="1" numFmtId="0" xfId="0" applyAlignment="1" applyBorder="1" applyFill="1" applyFont="1">
      <alignment vertical="center"/>
    </xf>
    <xf borderId="2" fillId="3" fontId="17" numFmtId="170" xfId="0" applyAlignment="1" applyBorder="1" applyFill="1" applyFont="1" applyNumberFormat="1">
      <alignment vertical="center"/>
    </xf>
    <xf borderId="1" fillId="2" fontId="1" numFmtId="165" xfId="0" applyAlignment="1" applyBorder="1" applyFill="1" applyFont="1" applyNumberFormat="1">
      <alignment vertical="center"/>
    </xf>
    <xf borderId="1" fillId="2" fontId="17" numFmtId="167" xfId="0" applyBorder="1" applyFill="1" applyFont="1" applyNumberFormat="1"/>
    <xf borderId="1" fillId="2" fontId="17" numFmtId="165" xfId="0" applyAlignment="1" applyBorder="1" applyFill="1" applyFont="1" applyNumberFormat="1">
      <alignment vertical="center"/>
    </xf>
    <xf borderId="1" fillId="2" fontId="31" numFmtId="0" xfId="0" applyAlignment="1" applyBorder="1" applyFill="1" applyFont="1">
      <alignment horizontal="center"/>
    </xf>
    <xf borderId="36" fillId="9" fontId="27" numFmtId="0" xfId="0" applyAlignment="1" applyBorder="1" applyFill="1" applyFont="1">
      <alignment horizontal="center" vertical="center"/>
    </xf>
    <xf borderId="2" fillId="3" fontId="17" numFmtId="167" xfId="0" applyAlignment="1" applyBorder="1" applyFill="1" applyFont="1" applyNumberFormat="1">
      <alignment vertical="center"/>
    </xf>
    <xf borderId="37" fillId="0" fontId="10" numFmtId="0" xfId="0" applyBorder="1" applyFont="1"/>
    <xf borderId="38" fillId="0" fontId="10" numFmtId="0" xfId="0" applyBorder="1" applyFont="1"/>
    <xf borderId="39" fillId="2" fontId="11" numFmtId="167" xfId="0" applyBorder="1" applyFill="1" applyFont="1" applyNumberFormat="1"/>
    <xf borderId="40" fillId="9" fontId="27" numFmtId="0" xfId="0" applyAlignment="1" applyBorder="1" applyFill="1" applyFont="1">
      <alignment horizontal="center"/>
    </xf>
    <xf borderId="41" fillId="0" fontId="10" numFmtId="0" xfId="0" applyBorder="1" applyFont="1"/>
    <xf borderId="1" fillId="2" fontId="32" numFmtId="169" xfId="0" applyAlignment="1" applyBorder="1" applyFill="1" applyFont="1" applyNumberFormat="1">
      <alignment horizontal="center" vertical="center"/>
    </xf>
    <xf borderId="29" fillId="9" fontId="27" numFmtId="0" xfId="0" applyAlignment="1" applyBorder="1" applyFill="1" applyFont="1">
      <alignment horizontal="center"/>
    </xf>
    <xf borderId="42" fillId="2" fontId="17" numFmtId="167" xfId="0" applyAlignment="1" applyBorder="1" applyFill="1" applyFont="1" applyNumberFormat="1">
      <alignment vertical="center"/>
    </xf>
    <xf borderId="1" fillId="2" fontId="27" numFmtId="0" xfId="0" applyAlignment="1" applyBorder="1" applyFill="1" applyFont="1">
      <alignment horizontal="center"/>
    </xf>
    <xf borderId="43" fillId="8" fontId="1" numFmtId="0" xfId="0" applyBorder="1" applyFill="1" applyFont="1"/>
    <xf borderId="44" fillId="8" fontId="1" numFmtId="0" xfId="0" applyBorder="1" applyFill="1" applyFont="1"/>
    <xf borderId="44" fillId="8" fontId="1" numFmtId="0" xfId="0" applyAlignment="1" applyBorder="1" applyFill="1" applyFont="1">
      <alignment horizontal="right"/>
    </xf>
    <xf borderId="1" fillId="2" fontId="33" numFmtId="167" xfId="0" applyBorder="1" applyFill="1" applyFont="1" applyNumberFormat="1"/>
    <xf borderId="45" fillId="8" fontId="1" numFmtId="0" xfId="0" applyBorder="1" applyFill="1" applyFont="1"/>
    <xf borderId="1" fillId="2" fontId="34" numFmtId="0" xfId="0" applyAlignment="1" applyBorder="1" applyFill="1" applyFont="1">
      <alignment vertical="center"/>
    </xf>
    <xf borderId="24" fillId="8" fontId="1" numFmtId="0" xfId="0" applyBorder="1" applyFill="1" applyFont="1"/>
    <xf borderId="1" fillId="2" fontId="35" numFmtId="166" xfId="0" applyAlignment="1" applyBorder="1" applyFill="1" applyFont="1" applyNumberFormat="1">
      <alignment horizontal="right"/>
    </xf>
    <xf borderId="1" fillId="8" fontId="36" numFmtId="0" xfId="0" applyBorder="1" applyFill="1" applyFont="1"/>
    <xf borderId="1" fillId="8" fontId="1" numFmtId="0" xfId="0" applyBorder="1" applyFill="1" applyFont="1"/>
    <xf borderId="7" fillId="8" fontId="37" numFmtId="0" xfId="0" applyAlignment="1" applyBorder="1" applyFill="1" applyFont="1">
      <alignment horizontal="center"/>
    </xf>
    <xf borderId="26" fillId="8" fontId="1" numFmtId="0" xfId="0" applyBorder="1" applyFill="1" applyFont="1"/>
    <xf borderId="1" fillId="2" fontId="17" numFmtId="166" xfId="0" applyAlignment="1" applyBorder="1" applyFill="1" applyFont="1" applyNumberFormat="1">
      <alignment vertical="center"/>
    </xf>
    <xf borderId="1" fillId="8" fontId="38" numFmtId="171" xfId="0" applyAlignment="1" applyBorder="1" applyFill="1" applyFont="1" applyNumberFormat="1">
      <alignment horizontal="right"/>
    </xf>
    <xf borderId="1" fillId="2" fontId="17" numFmtId="167" xfId="0" applyAlignment="1" applyBorder="1" applyFill="1" applyFont="1" applyNumberFormat="1">
      <alignment vertical="center"/>
    </xf>
    <xf borderId="1" fillId="8" fontId="39" numFmtId="171" xfId="0" applyAlignment="1" applyBorder="1" applyFill="1" applyFont="1" applyNumberFormat="1">
      <alignment horizontal="center"/>
    </xf>
    <xf borderId="26" fillId="8" fontId="40" numFmtId="171" xfId="0" applyAlignment="1" applyBorder="1" applyFill="1" applyFont="1" applyNumberFormat="1">
      <alignment horizontal="right"/>
    </xf>
    <xf borderId="1" fillId="8" fontId="41" numFmtId="0" xfId="0" applyAlignment="1" applyBorder="1" applyFill="1" applyFont="1">
      <alignment horizontal="right"/>
    </xf>
    <xf borderId="1" fillId="8" fontId="42" numFmtId="0" xfId="0" applyAlignment="1" applyBorder="1" applyFill="1" applyFont="1">
      <alignment horizontal="center"/>
    </xf>
    <xf borderId="26" fillId="8" fontId="43" numFmtId="0" xfId="0" applyAlignment="1" applyBorder="1" applyFill="1" applyFont="1">
      <alignment horizontal="center"/>
    </xf>
    <xf borderId="1" fillId="8" fontId="36" numFmtId="37" xfId="0" applyBorder="1" applyFill="1" applyFont="1" applyNumberFormat="1"/>
    <xf borderId="39" fillId="2" fontId="1" numFmtId="166" xfId="0" applyAlignment="1" applyBorder="1" applyFill="1" applyFont="1" applyNumberFormat="1">
      <alignment vertical="center"/>
    </xf>
    <xf borderId="39" fillId="2" fontId="17" numFmtId="167" xfId="0" applyBorder="1" applyFill="1" applyFont="1" applyNumberFormat="1"/>
    <xf borderId="1" fillId="2" fontId="44" numFmtId="9" xfId="0" applyAlignment="1" applyBorder="1" applyFill="1" applyFont="1" applyNumberFormat="1">
      <alignment horizontal="left"/>
    </xf>
    <xf borderId="1" fillId="8" fontId="36" numFmtId="169" xfId="0" applyAlignment="1" applyBorder="1" applyFill="1" applyFont="1" applyNumberFormat="1">
      <alignment horizontal="right"/>
    </xf>
    <xf borderId="1" fillId="2" fontId="36" numFmtId="172" xfId="0" applyBorder="1" applyFill="1" applyFont="1" applyNumberFormat="1"/>
    <xf borderId="1" fillId="2" fontId="45" numFmtId="0" xfId="0" applyAlignment="1" applyBorder="1" applyFill="1" applyFont="1">
      <alignment vertical="center"/>
    </xf>
    <xf borderId="1" fillId="8" fontId="46" numFmtId="0" xfId="0" applyBorder="1" applyFill="1" applyFont="1"/>
    <xf borderId="1" fillId="8" fontId="1" numFmtId="0" xfId="0" applyAlignment="1" applyBorder="1" applyFill="1" applyFont="1">
      <alignment horizontal="right"/>
    </xf>
    <xf borderId="46" fillId="2" fontId="1" numFmtId="167" xfId="0" applyBorder="1" applyFill="1" applyFont="1" applyNumberFormat="1"/>
    <xf borderId="1" fillId="8" fontId="47" numFmtId="169" xfId="0" applyBorder="1" applyFill="1" applyFont="1" applyNumberFormat="1"/>
    <xf borderId="1" fillId="8" fontId="48" numFmtId="169" xfId="0" applyAlignment="1" applyBorder="1" applyFill="1" applyFont="1" applyNumberFormat="1">
      <alignment horizontal="right"/>
    </xf>
    <xf borderId="1" fillId="8" fontId="1" numFmtId="37" xfId="0" applyBorder="1" applyFill="1" applyFont="1" applyNumberFormat="1"/>
    <xf borderId="2" fillId="3" fontId="17" numFmtId="166" xfId="0" applyAlignment="1" applyBorder="1" applyFill="1" applyFont="1" applyNumberFormat="1">
      <alignment vertical="center"/>
    </xf>
    <xf borderId="1" fillId="8" fontId="1" numFmtId="169" xfId="0" applyAlignment="1" applyBorder="1" applyFill="1" applyFont="1" applyNumberFormat="1">
      <alignment horizontal="right"/>
    </xf>
    <xf borderId="1" fillId="8" fontId="49" numFmtId="37" xfId="0" applyBorder="1" applyFill="1" applyFont="1" applyNumberFormat="1"/>
    <xf borderId="2" fillId="3" fontId="17" numFmtId="166" xfId="0" applyAlignment="1" applyBorder="1" applyFill="1" applyFont="1" applyNumberFormat="1">
      <alignment horizontal="left" vertical="center"/>
    </xf>
    <xf borderId="1" fillId="8" fontId="50" numFmtId="169" xfId="0" applyAlignment="1" applyBorder="1" applyFill="1" applyFont="1" applyNumberFormat="1">
      <alignment horizontal="right"/>
    </xf>
    <xf borderId="1" fillId="8" fontId="51" numFmtId="37" xfId="0" applyBorder="1" applyFill="1" applyFont="1" applyNumberFormat="1"/>
    <xf borderId="1" fillId="8" fontId="52" numFmtId="169" xfId="0" applyAlignment="1" applyBorder="1" applyFill="1" applyFont="1" applyNumberFormat="1">
      <alignment horizontal="right"/>
    </xf>
    <xf borderId="12" fillId="2" fontId="1" numFmtId="0" xfId="0" applyAlignment="1" applyBorder="1" applyFill="1" applyFont="1">
      <alignment horizontal="center" vertical="center"/>
    </xf>
    <xf borderId="47" fillId="0" fontId="10" numFmtId="0" xfId="0" applyBorder="1" applyFont="1"/>
    <xf borderId="48" fillId="2" fontId="36" numFmtId="172" xfId="0" applyAlignment="1" applyBorder="1" applyFill="1" applyFont="1" applyNumberFormat="1">
      <alignment horizontal="center" vertical="center"/>
    </xf>
    <xf borderId="1" fillId="2" fontId="1" numFmtId="172" xfId="0" applyBorder="1" applyFill="1" applyFont="1" applyNumberFormat="1"/>
    <xf borderId="49" fillId="2" fontId="1" numFmtId="166" xfId="0" applyAlignment="1" applyBorder="1" applyFill="1" applyFont="1" applyNumberFormat="1">
      <alignment vertical="center"/>
    </xf>
    <xf borderId="1" fillId="2" fontId="36" numFmtId="0" xfId="0" applyBorder="1" applyFill="1" applyFont="1"/>
    <xf borderId="1" fillId="2" fontId="53" numFmtId="0" xfId="0" applyAlignment="1" applyBorder="1" applyFill="1" applyFont="1">
      <alignment horizontal="left" vertical="center"/>
    </xf>
    <xf borderId="50" fillId="2" fontId="1" numFmtId="170" xfId="0" applyAlignment="1" applyBorder="1" applyFill="1" applyFont="1" applyNumberFormat="1">
      <alignment horizontal="center" vertical="center"/>
    </xf>
    <xf borderId="1" fillId="2" fontId="1" numFmtId="170" xfId="0" applyAlignment="1" applyBorder="1" applyFill="1" applyFont="1" applyNumberFormat="1">
      <alignment horizontal="center" vertical="center"/>
    </xf>
    <xf borderId="1" fillId="2" fontId="36" numFmtId="167" xfId="0" applyBorder="1" applyFill="1" applyFont="1" applyNumberFormat="1"/>
    <xf borderId="30" fillId="4" fontId="21" numFmtId="0" xfId="0" applyAlignment="1" applyBorder="1" applyFill="1" applyFont="1">
      <alignment horizontal="center" vertical="center"/>
    </xf>
    <xf borderId="1" fillId="2" fontId="29" numFmtId="38" xfId="0" applyBorder="1" applyFill="1" applyFont="1" applyNumberFormat="1"/>
    <xf borderId="1" fillId="2" fontId="53" numFmtId="0" xfId="0" applyAlignment="1" applyBorder="1" applyFill="1" applyFont="1">
      <alignment vertical="center"/>
    </xf>
    <xf borderId="2" fillId="10" fontId="17" numFmtId="166" xfId="0" applyAlignment="1" applyBorder="1" applyFill="1" applyFont="1" applyNumberFormat="1">
      <alignment vertical="center"/>
    </xf>
    <xf borderId="1" fillId="2" fontId="54" numFmtId="167" xfId="0" applyBorder="1" applyFill="1" applyFont="1" applyNumberFormat="1"/>
    <xf borderId="1" fillId="11" fontId="19" numFmtId="0" xfId="0" applyAlignment="1" applyBorder="1" applyFill="1" applyFont="1">
      <alignment horizontal="right"/>
    </xf>
    <xf borderId="1" fillId="11" fontId="19" numFmtId="0" xfId="0" applyBorder="1" applyFill="1" applyFont="1"/>
    <xf borderId="1" fillId="11" fontId="26" numFmtId="0" xfId="0" applyBorder="1" applyFill="1" applyFont="1"/>
    <xf borderId="1" fillId="11" fontId="1" numFmtId="0" xfId="0" applyBorder="1" applyFill="1" applyFont="1"/>
    <xf borderId="1" fillId="11" fontId="11" numFmtId="167" xfId="0" applyBorder="1" applyFill="1" applyFont="1" applyNumberFormat="1"/>
    <xf borderId="1" fillId="11" fontId="11" numFmtId="0" xfId="0" applyBorder="1" applyFill="1" applyFont="1"/>
    <xf borderId="51" fillId="8" fontId="1" numFmtId="0" xfId="0" applyBorder="1" applyFill="1" applyFont="1"/>
    <xf borderId="52" fillId="8" fontId="1" numFmtId="0" xfId="0" applyBorder="1" applyFill="1" applyFont="1"/>
    <xf borderId="52" fillId="8" fontId="1" numFmtId="37" xfId="0" applyBorder="1" applyFill="1" applyFont="1" applyNumberFormat="1"/>
    <xf borderId="53" fillId="8" fontId="1" numFmtId="0" xfId="0" applyBorder="1" applyFill="1" applyFont="1"/>
    <xf borderId="39" fillId="11" fontId="11" numFmtId="167" xfId="0" applyBorder="1" applyFill="1" applyFont="1" applyNumberFormat="1"/>
    <xf borderId="1" fillId="11" fontId="11" numFmtId="38" xfId="0" applyBorder="1" applyFill="1" applyFont="1" applyNumberFormat="1"/>
    <xf borderId="2" fillId="12" fontId="17" numFmtId="166" xfId="0" applyAlignment="1" applyBorder="1" applyFill="1" applyFont="1" applyNumberFormat="1">
      <alignment vertical="center"/>
    </xf>
    <xf borderId="1" fillId="2" fontId="15" numFmtId="0" xfId="0" applyAlignment="1" applyBorder="1" applyFill="1" applyFont="1">
      <alignment horizontal="center"/>
    </xf>
    <xf borderId="1" fillId="2" fontId="15" numFmtId="167" xfId="0" applyAlignment="1" applyBorder="1" applyFill="1" applyFont="1" applyNumberFormat="1">
      <alignment horizontal="center"/>
    </xf>
    <xf borderId="30" fillId="4" fontId="21" numFmtId="167" xfId="0" applyAlignment="1" applyBorder="1" applyFill="1" applyFont="1" applyNumberFormat="1">
      <alignment horizontal="center" vertical="center"/>
    </xf>
    <xf borderId="1" fillId="2" fontId="36" numFmtId="0" xfId="0" applyAlignment="1" applyBorder="1" applyFill="1" applyFont="1">
      <alignment vertical="top"/>
    </xf>
    <xf borderId="1" fillId="2" fontId="1" numFmtId="0" xfId="0" applyAlignment="1" applyBorder="1" applyFill="1" applyFont="1">
      <alignment horizontal="center" vertical="center"/>
    </xf>
    <xf borderId="1" fillId="2" fontId="11" numFmtId="38" xfId="0" applyBorder="1" applyFill="1" applyFont="1" applyNumberFormat="1"/>
    <xf borderId="1" fillId="2" fontId="36" numFmtId="0" xfId="0" applyAlignment="1" applyBorder="1" applyFill="1" applyFont="1">
      <alignment vertical="center"/>
    </xf>
    <xf borderId="1" fillId="8" fontId="19" numFmtId="0" xfId="0" applyAlignment="1" applyBorder="1" applyFill="1" applyFont="1">
      <alignment horizontal="right"/>
    </xf>
    <xf borderId="1" fillId="8" fontId="19" numFmtId="0" xfId="0" applyBorder="1" applyFill="1" applyFont="1"/>
    <xf borderId="1" fillId="8" fontId="11" numFmtId="167" xfId="0" applyBorder="1" applyFill="1" applyFont="1" applyNumberFormat="1"/>
    <xf borderId="1" fillId="8" fontId="11" numFmtId="0" xfId="0" applyBorder="1" applyFill="1" applyFont="1"/>
    <xf borderId="1" fillId="2" fontId="1" numFmtId="167" xfId="0" applyAlignment="1" applyBorder="1" applyFill="1" applyFont="1" applyNumberFormat="1">
      <alignment vertical="center"/>
    </xf>
    <xf borderId="50" fillId="2" fontId="1" numFmtId="167" xfId="0" applyAlignment="1" applyBorder="1" applyFill="1" applyFont="1" applyNumberFormat="1">
      <alignment vertical="center"/>
    </xf>
    <xf borderId="1" fillId="2" fontId="55" numFmtId="0" xfId="0" applyAlignment="1" applyBorder="1" applyFill="1" applyFont="1">
      <alignment horizontal="right"/>
    </xf>
    <xf borderId="1" fillId="2" fontId="1" numFmtId="173" xfId="0" applyAlignment="1" applyBorder="1" applyFill="1" applyFont="1" applyNumberFormat="1">
      <alignment vertical="center"/>
    </xf>
    <xf borderId="1" fillId="2" fontId="1" numFmtId="174" xfId="0" applyAlignment="1" applyBorder="1" applyFill="1" applyFont="1" applyNumberFormat="1">
      <alignment vertical="center"/>
    </xf>
    <xf borderId="39" fillId="2" fontId="1" numFmtId="167" xfId="0" applyAlignment="1" applyBorder="1" applyFill="1" applyFont="1" applyNumberFormat="1">
      <alignment vertical="top"/>
    </xf>
    <xf borderId="1" fillId="2" fontId="56" numFmtId="0" xfId="0" applyAlignment="1" applyBorder="1" applyFill="1" applyFont="1">
      <alignment horizontal="left"/>
    </xf>
    <xf borderId="1" fillId="2" fontId="1" numFmtId="175" xfId="0" applyAlignment="1" applyBorder="1" applyFill="1" applyFont="1" applyNumberFormat="1">
      <alignment vertical="center"/>
    </xf>
    <xf borderId="39" fillId="8" fontId="11" numFmtId="167" xfId="0" applyBorder="1" applyFill="1" applyFont="1" applyNumberFormat="1"/>
    <xf borderId="39" fillId="2" fontId="36" numFmtId="167" xfId="0" applyBorder="1" applyFill="1" applyFont="1" applyNumberFormat="1"/>
    <xf borderId="1" fillId="8" fontId="44" numFmtId="9" xfId="0" applyAlignment="1" applyBorder="1" applyFill="1" applyFont="1" applyNumberFormat="1">
      <alignment horizontal="left"/>
    </xf>
    <xf borderId="39" fillId="2" fontId="1" numFmtId="174" xfId="0" applyAlignment="1" applyBorder="1" applyFill="1" applyFont="1" applyNumberFormat="1">
      <alignment vertical="center"/>
    </xf>
    <xf borderId="1" fillId="2" fontId="53" numFmtId="0" xfId="0" applyBorder="1" applyFill="1" applyFont="1"/>
    <xf borderId="1" fillId="2" fontId="16" numFmtId="0" xfId="0" applyAlignment="1" applyBorder="1" applyFill="1" applyFont="1">
      <alignment horizontal="left"/>
    </xf>
    <xf borderId="1" fillId="2" fontId="1" numFmtId="0" xfId="0" applyAlignment="1" applyBorder="1" applyFill="1" applyFont="1">
      <alignment horizontal="right"/>
    </xf>
    <xf borderId="49" fillId="2" fontId="1" numFmtId="175" xfId="0" applyAlignment="1" applyBorder="1" applyFill="1" applyFont="1" applyNumberFormat="1">
      <alignment vertical="center"/>
    </xf>
    <xf borderId="54" fillId="2" fontId="36" numFmtId="0" xfId="0" applyAlignment="1" applyBorder="1" applyFill="1" applyFont="1">
      <alignment horizontal="left" vertical="center"/>
    </xf>
    <xf borderId="50" fillId="2" fontId="57" numFmtId="170" xfId="0" applyAlignment="1" applyBorder="1" applyFill="1" applyFont="1" applyNumberFormat="1">
      <alignment horizontal="right" vertical="top"/>
    </xf>
    <xf borderId="1" fillId="2" fontId="33" numFmtId="0" xfId="0" applyAlignment="1" applyBorder="1" applyFill="1" applyFont="1">
      <alignment vertical="center"/>
    </xf>
    <xf borderId="1" fillId="2" fontId="58" numFmtId="0" xfId="0" applyAlignment="1" applyBorder="1" applyFill="1" applyFont="1">
      <alignment horizontal="left" vertical="center"/>
    </xf>
    <xf borderId="55" fillId="0" fontId="10" numFmtId="0" xfId="0" applyBorder="1" applyFont="1"/>
    <xf borderId="46" fillId="2" fontId="57" numFmtId="170" xfId="0" applyAlignment="1" applyBorder="1" applyFill="1" applyFont="1" applyNumberFormat="1">
      <alignment horizontal="right" vertical="center"/>
    </xf>
    <xf borderId="1" fillId="8" fontId="11" numFmtId="38" xfId="0" applyBorder="1" applyFill="1" applyFont="1" applyNumberFormat="1"/>
    <xf borderId="1" fillId="11" fontId="1" numFmtId="38" xfId="0" applyBorder="1" applyFill="1" applyFont="1" applyNumberFormat="1"/>
    <xf borderId="1" fillId="2" fontId="59" numFmtId="168" xfId="0" applyAlignment="1" applyBorder="1" applyFill="1" applyFont="1" applyNumberFormat="1">
      <alignment horizontal="left" vertical="center"/>
    </xf>
    <xf borderId="1" fillId="13" fontId="1" numFmtId="0" xfId="0" applyBorder="1" applyFill="1" applyFont="1"/>
    <xf borderId="1" fillId="2" fontId="60" numFmtId="168" xfId="0" applyAlignment="1" applyBorder="1" applyFill="1" applyFont="1" applyNumberFormat="1">
      <alignment horizontal="left" vertical="center"/>
    </xf>
    <xf borderId="1" fillId="11" fontId="1" numFmtId="174" xfId="0" applyBorder="1" applyFill="1" applyFont="1" applyNumberFormat="1"/>
    <xf borderId="7" fillId="13" fontId="61" numFmtId="0" xfId="0" applyAlignment="1" applyBorder="1" applyFill="1" applyFont="1">
      <alignment horizontal="center" vertical="center"/>
    </xf>
    <xf borderId="1" fillId="2" fontId="19" numFmtId="0" xfId="0" applyAlignment="1" applyBorder="1" applyFill="1" applyFont="1">
      <alignment vertical="center"/>
    </xf>
    <xf borderId="1" fillId="2" fontId="62" numFmtId="0" xfId="0" applyAlignment="1" applyBorder="1" applyFill="1" applyFont="1">
      <alignment vertical="center"/>
    </xf>
    <xf borderId="1" fillId="2" fontId="63" numFmtId="0" xfId="0" applyAlignment="1" applyBorder="1" applyFill="1" applyFont="1">
      <alignment horizontal="left" vertical="center"/>
    </xf>
    <xf borderId="1" fillId="2" fontId="64" numFmtId="0" xfId="0" applyAlignment="1" applyBorder="1" applyFill="1" applyFont="1">
      <alignment horizontal="left" vertical="center"/>
    </xf>
    <xf borderId="56" fillId="8" fontId="58" numFmtId="176" xfId="0" applyAlignment="1" applyBorder="1" applyFill="1" applyFont="1" applyNumberFormat="1">
      <alignment horizontal="center" vertical="center"/>
    </xf>
    <xf borderId="57" fillId="3" fontId="17" numFmtId="165" xfId="0" applyAlignment="1" applyBorder="1" applyFill="1" applyFont="1" applyNumberFormat="1">
      <alignment horizontal="center" vertical="center"/>
    </xf>
    <xf borderId="1" fillId="2" fontId="58" numFmtId="176" xfId="0" applyAlignment="1" applyBorder="1" applyFill="1" applyFont="1" applyNumberFormat="1">
      <alignment vertical="center"/>
    </xf>
    <xf borderId="1" fillId="2" fontId="20" numFmtId="167" xfId="0" applyAlignment="1" applyBorder="1" applyFill="1" applyFont="1" applyNumberFormat="1">
      <alignment horizontal="left" vertical="center"/>
    </xf>
    <xf borderId="0" fillId="0" fontId="65" numFmtId="0" xfId="0" applyFont="1"/>
    <xf borderId="0" fillId="0" fontId="65" numFmtId="167" xfId="0" applyFont="1" applyNumberFormat="1"/>
    <xf borderId="7" fillId="2" fontId="5" numFmtId="164" xfId="0" applyAlignment="1" applyBorder="1" applyFill="1" applyFont="1" applyNumberFormat="1">
      <alignment horizontal="center" vertical="top"/>
    </xf>
    <xf borderId="1" fillId="2" fontId="66" numFmtId="0" xfId="0" applyAlignment="1" applyBorder="1" applyFill="1" applyFont="1">
      <alignment vertical="center"/>
    </xf>
    <xf borderId="1" fillId="2" fontId="67" numFmtId="0" xfId="0" applyBorder="1" applyFill="1" applyFont="1"/>
    <xf borderId="1" fillId="2" fontId="1" numFmtId="176" xfId="0" applyBorder="1" applyFill="1" applyFont="1" applyNumberFormat="1"/>
    <xf borderId="1" fillId="2" fontId="1" numFmtId="164" xfId="0" applyAlignment="1" applyBorder="1" applyFill="1" applyFont="1" applyNumberFormat="1">
      <alignment vertical="center"/>
    </xf>
    <xf borderId="1" fillId="2" fontId="36" numFmtId="164" xfId="0" applyAlignment="1" applyBorder="1" applyFill="1" applyFont="1" applyNumberFormat="1">
      <alignment vertical="center"/>
    </xf>
    <xf borderId="1" fillId="2" fontId="36" numFmtId="164" xfId="0" applyAlignment="1" applyBorder="1" applyFill="1" applyFont="1" applyNumberFormat="1">
      <alignment horizontal="center" vertical="center"/>
    </xf>
    <xf borderId="56" fillId="14" fontId="68" numFmtId="176" xfId="0" applyAlignment="1" applyBorder="1" applyFill="1" applyFont="1" applyNumberFormat="1">
      <alignment horizontal="center" vertical="center"/>
    </xf>
    <xf borderId="7" fillId="2" fontId="69" numFmtId="0" xfId="0" applyAlignment="1" applyBorder="1" applyFill="1" applyFont="1">
      <alignment horizontal="center" vertical="center"/>
    </xf>
    <xf borderId="0" fillId="0" fontId="65" numFmtId="174" xfId="0" applyFont="1" applyNumberFormat="1"/>
    <xf quotePrefix="1" borderId="1" fillId="2" fontId="67" numFmtId="0" xfId="0" applyAlignment="1" applyBorder="1" applyFill="1" applyFont="1">
      <alignment vertical="top"/>
    </xf>
    <xf borderId="58" fillId="4" fontId="21" numFmtId="0" xfId="0" applyAlignment="1" applyBorder="1" applyFill="1" applyFont="1">
      <alignment horizontal="right" vertical="center"/>
    </xf>
    <xf borderId="58" fillId="4" fontId="21" numFmtId="168" xfId="0" applyAlignment="1" applyBorder="1" applyFill="1" applyFont="1" applyNumberFormat="1">
      <alignment vertical="center"/>
    </xf>
    <xf borderId="59" fillId="4" fontId="21" numFmtId="168" xfId="0" applyAlignment="1" applyBorder="1" applyFill="1" applyFont="1" applyNumberFormat="1">
      <alignment vertical="center"/>
    </xf>
    <xf borderId="1" fillId="2" fontId="56" numFmtId="0" xfId="0" applyAlignment="1" applyBorder="1" applyFill="1" applyFont="1">
      <alignment horizontal="center" vertical="center"/>
    </xf>
    <xf borderId="39" fillId="2" fontId="56" numFmtId="0" xfId="0" applyAlignment="1" applyBorder="1" applyFill="1" applyFont="1">
      <alignment horizontal="center" vertical="center"/>
    </xf>
    <xf borderId="39" fillId="2" fontId="56" numFmtId="0" xfId="0" applyAlignment="1" applyBorder="1" applyFill="1" applyFont="1">
      <alignment vertical="center"/>
    </xf>
    <xf borderId="60" fillId="4" fontId="21" numFmtId="0" xfId="0" applyAlignment="1" applyBorder="1" applyFill="1" applyFont="1">
      <alignment horizontal="right" vertical="center"/>
    </xf>
    <xf borderId="61" fillId="4" fontId="21" numFmtId="0" xfId="0" applyAlignment="1" applyBorder="1" applyFill="1" applyFont="1">
      <alignment horizontal="center" vertical="center"/>
    </xf>
    <xf borderId="62" fillId="0" fontId="10" numFmtId="0" xfId="0" applyBorder="1" applyFont="1"/>
    <xf borderId="63" fillId="0" fontId="10" numFmtId="0" xfId="0" applyBorder="1" applyFont="1"/>
    <xf borderId="1" fillId="2" fontId="1" numFmtId="0" xfId="0" applyAlignment="1" applyBorder="1" applyFill="1" applyFont="1">
      <alignment horizontal="right" vertical="center"/>
    </xf>
    <xf borderId="0" fillId="0" fontId="65" numFmtId="166" xfId="0" applyFont="1" applyNumberFormat="1"/>
    <xf borderId="1" fillId="2" fontId="20" numFmtId="0" xfId="0" applyAlignment="1" applyBorder="1" applyFill="1" applyFont="1">
      <alignment vertical="center"/>
    </xf>
    <xf borderId="64" fillId="2" fontId="1" numFmtId="0" xfId="0" applyAlignment="1" applyBorder="1" applyFill="1" applyFont="1">
      <alignment vertical="center"/>
    </xf>
    <xf borderId="65" fillId="2" fontId="15" numFmtId="0" xfId="0" applyAlignment="1" applyBorder="1" applyFill="1" applyFont="1">
      <alignment vertical="center"/>
    </xf>
    <xf borderId="7" fillId="2" fontId="33" numFmtId="0" xfId="0" applyAlignment="1" applyBorder="1" applyFill="1" applyFont="1">
      <alignment horizontal="center" vertical="center"/>
    </xf>
    <xf borderId="66" fillId="2" fontId="1" numFmtId="0" xfId="0" applyAlignment="1" applyBorder="1" applyFill="1" applyFont="1">
      <alignment vertical="center"/>
    </xf>
    <xf borderId="50" fillId="2" fontId="1" numFmtId="166" xfId="0" applyAlignment="1" applyBorder="1" applyFill="1" applyFont="1" applyNumberFormat="1">
      <alignment vertical="center"/>
    </xf>
    <xf borderId="66" fillId="2" fontId="1" numFmtId="166" xfId="0" applyAlignment="1" applyBorder="1" applyFill="1" applyFont="1" applyNumberFormat="1">
      <alignment vertical="center"/>
    </xf>
    <xf borderId="67" fillId="2" fontId="1" numFmtId="0" xfId="0" applyAlignment="1" applyBorder="1" applyFill="1" applyFont="1">
      <alignment vertical="center"/>
    </xf>
    <xf borderId="57" fillId="3" fontId="17" numFmtId="166" xfId="0" applyBorder="1" applyFill="1" applyFont="1" applyNumberFormat="1"/>
    <xf borderId="68" fillId="2" fontId="1" numFmtId="0" xfId="0" applyAlignment="1" applyBorder="1" applyFill="1" applyFont="1">
      <alignment vertical="center"/>
    </xf>
    <xf borderId="68" fillId="2" fontId="15" numFmtId="0" xfId="0" applyAlignment="1" applyBorder="1" applyFill="1" applyFont="1">
      <alignment vertical="center"/>
    </xf>
    <xf borderId="1" fillId="2" fontId="1" numFmtId="170" xfId="0" applyAlignment="1" applyBorder="1" applyFill="1" applyFont="1" applyNumberFormat="1">
      <alignment vertical="center"/>
    </xf>
    <xf borderId="69" fillId="2" fontId="1" numFmtId="165" xfId="0" applyAlignment="1" applyBorder="1" applyFill="1" applyFont="1" applyNumberFormat="1">
      <alignment vertical="center"/>
    </xf>
    <xf borderId="1" fillId="2" fontId="70" numFmtId="169" xfId="0" applyAlignment="1" applyBorder="1" applyFill="1" applyFont="1" applyNumberFormat="1">
      <alignment horizontal="right" vertical="center"/>
    </xf>
    <xf borderId="1" fillId="2" fontId="15" numFmtId="169" xfId="0" applyAlignment="1" applyBorder="1" applyFill="1" applyFont="1" applyNumberFormat="1">
      <alignment vertical="center"/>
    </xf>
    <xf borderId="69" fillId="2" fontId="15" numFmtId="169" xfId="0" applyAlignment="1" applyBorder="1" applyFill="1" applyFont="1" applyNumberFormat="1">
      <alignment vertical="center"/>
    </xf>
    <xf borderId="0" fillId="0" fontId="1" numFmtId="174" xfId="0" applyFont="1" applyNumberFormat="1"/>
    <xf borderId="68" fillId="2" fontId="1" numFmtId="165" xfId="0" applyAlignment="1" applyBorder="1" applyFill="1" applyFont="1" applyNumberFormat="1">
      <alignment vertical="center"/>
    </xf>
    <xf borderId="1" fillId="2" fontId="70" numFmtId="169" xfId="0" applyAlignment="1" applyBorder="1" applyFill="1" applyFont="1" applyNumberFormat="1">
      <alignment vertical="center"/>
    </xf>
    <xf borderId="1" fillId="2" fontId="8" numFmtId="169" xfId="0" applyAlignment="1" applyBorder="1" applyFill="1" applyFont="1" applyNumberFormat="1">
      <alignment horizontal="center" vertical="center"/>
    </xf>
    <xf borderId="68" fillId="2" fontId="1" numFmtId="166" xfId="0" applyAlignment="1" applyBorder="1" applyFill="1" applyFont="1" applyNumberFormat="1">
      <alignment vertical="center"/>
    </xf>
    <xf borderId="67" fillId="2" fontId="32" numFmtId="169" xfId="0" applyAlignment="1" applyBorder="1" applyFill="1" applyFont="1" applyNumberFormat="1">
      <alignment horizontal="center" vertical="center"/>
    </xf>
    <xf borderId="1" fillId="2" fontId="29" numFmtId="167" xfId="0" applyAlignment="1" applyBorder="1" applyFill="1" applyFont="1" applyNumberFormat="1">
      <alignment vertical="center"/>
    </xf>
    <xf borderId="1" fillId="2" fontId="32" numFmtId="169" xfId="0" applyAlignment="1" applyBorder="1" applyFill="1" applyFont="1" applyNumberFormat="1">
      <alignment horizontal="left" vertical="center"/>
    </xf>
    <xf borderId="68" fillId="2" fontId="1" numFmtId="167" xfId="0" applyAlignment="1" applyBorder="1" applyFill="1" applyFont="1" applyNumberFormat="1">
      <alignment vertical="center"/>
    </xf>
    <xf borderId="1" fillId="2" fontId="71" numFmtId="167" xfId="0" applyAlignment="1" applyBorder="1" applyFill="1" applyFont="1" applyNumberFormat="1">
      <alignment vertical="center"/>
    </xf>
    <xf borderId="42" fillId="2" fontId="17" numFmtId="166" xfId="0" applyBorder="1" applyFill="1" applyFont="1" applyNumberFormat="1"/>
    <xf borderId="39" fillId="2" fontId="1" numFmtId="167" xfId="0" applyAlignment="1" applyBorder="1" applyFill="1" applyFont="1" applyNumberFormat="1">
      <alignment vertical="center"/>
    </xf>
    <xf borderId="0" fillId="0" fontId="1" numFmtId="169" xfId="0" applyFont="1" applyNumberFormat="1"/>
    <xf borderId="68" fillId="2" fontId="72" numFmtId="169" xfId="0" applyAlignment="1" applyBorder="1" applyFill="1" applyFont="1" applyNumberFormat="1">
      <alignment horizontal="left" vertical="center"/>
    </xf>
    <xf borderId="1" fillId="2" fontId="72" numFmtId="169" xfId="0" applyAlignment="1" applyBorder="1" applyFill="1" applyFont="1" applyNumberFormat="1">
      <alignment horizontal="left" vertical="center"/>
    </xf>
    <xf borderId="69" fillId="2" fontId="73" numFmtId="169" xfId="0" applyAlignment="1" applyBorder="1" applyFill="1" applyFont="1" applyNumberFormat="1">
      <alignment horizontal="left" vertical="center"/>
    </xf>
    <xf borderId="1" fillId="2" fontId="73" numFmtId="169" xfId="0" applyAlignment="1" applyBorder="1" applyFill="1" applyFont="1" applyNumberFormat="1">
      <alignment horizontal="left" vertical="center"/>
    </xf>
    <xf borderId="1" fillId="2" fontId="1" numFmtId="166" xfId="0" applyBorder="1" applyFill="1" applyFont="1" applyNumberFormat="1"/>
    <xf borderId="69" fillId="2" fontId="1" numFmtId="0" xfId="0" applyAlignment="1" applyBorder="1" applyFill="1" applyFont="1">
      <alignment vertical="center"/>
    </xf>
    <xf borderId="0" fillId="0" fontId="1" numFmtId="176" xfId="0" applyFont="1" applyNumberFormat="1"/>
    <xf borderId="68" fillId="2" fontId="15" numFmtId="167" xfId="0" applyAlignment="1" applyBorder="1" applyFill="1" applyFont="1" applyNumberFormat="1">
      <alignment vertical="center"/>
    </xf>
    <xf borderId="1" fillId="2" fontId="15" numFmtId="167" xfId="0" applyAlignment="1" applyBorder="1" applyFill="1" applyFont="1" applyNumberFormat="1">
      <alignment vertical="center"/>
    </xf>
    <xf borderId="69" fillId="2" fontId="1" numFmtId="167" xfId="0" applyAlignment="1" applyBorder="1" applyFill="1" applyFont="1" applyNumberFormat="1">
      <alignment vertical="center"/>
    </xf>
    <xf borderId="70" fillId="2" fontId="17" numFmtId="166" xfId="0" applyBorder="1" applyFill="1" applyFont="1" applyNumberFormat="1"/>
    <xf borderId="68" fillId="2" fontId="1" numFmtId="166" xfId="0" applyAlignment="1" applyBorder="1" applyFill="1" applyFont="1" applyNumberFormat="1">
      <alignment horizontal="left" vertical="center"/>
    </xf>
    <xf borderId="68" fillId="2" fontId="15" numFmtId="165" xfId="0" applyAlignment="1" applyBorder="1" applyFill="1" applyFont="1" applyNumberFormat="1">
      <alignment vertical="center"/>
    </xf>
    <xf borderId="1" fillId="2" fontId="70" numFmtId="0" xfId="0" applyAlignment="1" applyBorder="1" applyFill="1" applyFont="1">
      <alignment vertical="center"/>
    </xf>
    <xf borderId="68" fillId="2" fontId="1" numFmtId="0" xfId="0" applyBorder="1" applyFill="1" applyFont="1"/>
    <xf borderId="1" fillId="2" fontId="15" numFmtId="174" xfId="0" applyAlignment="1" applyBorder="1" applyFill="1" applyFont="1" applyNumberFormat="1">
      <alignment vertical="center"/>
    </xf>
    <xf borderId="69" fillId="2" fontId="15" numFmtId="167" xfId="0" applyAlignment="1" applyBorder="1" applyFill="1" applyFont="1" applyNumberFormat="1">
      <alignment vertical="center"/>
    </xf>
    <xf borderId="57" fillId="3" fontId="17" numFmtId="166" xfId="0" applyAlignment="1" applyBorder="1" applyFill="1" applyFont="1" applyNumberFormat="1">
      <alignment vertical="center"/>
    </xf>
    <xf borderId="39" fillId="2" fontId="1" numFmtId="0" xfId="0" applyBorder="1" applyFill="1" applyFont="1"/>
    <xf borderId="1" fillId="2" fontId="1" numFmtId="174" xfId="0" applyBorder="1" applyFill="1" applyFont="1" applyNumberFormat="1"/>
    <xf borderId="1" fillId="2" fontId="33" numFmtId="176" xfId="0" applyAlignment="1" applyBorder="1" applyFill="1" applyFont="1" applyNumberFormat="1">
      <alignment horizontal="right" vertical="center"/>
    </xf>
    <xf borderId="39" fillId="2" fontId="70" numFmtId="0" xfId="0" applyAlignment="1" applyBorder="1" applyFill="1" applyFont="1">
      <alignment vertical="center"/>
    </xf>
    <xf borderId="1" fillId="2" fontId="1" numFmtId="177" xfId="0" applyAlignment="1" applyBorder="1" applyFill="1" applyFont="1" applyNumberFormat="1">
      <alignment vertical="center"/>
    </xf>
    <xf borderId="57" fillId="10" fontId="17" numFmtId="166" xfId="0" applyAlignment="1" applyBorder="1" applyFill="1" applyFont="1" applyNumberFormat="1">
      <alignment vertical="center"/>
    </xf>
    <xf borderId="68" fillId="2" fontId="17" numFmtId="166" xfId="0" applyAlignment="1" applyBorder="1" applyFill="1" applyFont="1" applyNumberFormat="1">
      <alignment vertical="center"/>
    </xf>
    <xf borderId="68" fillId="2" fontId="74" numFmtId="167" xfId="0" applyAlignment="1" applyBorder="1" applyFill="1" applyFont="1" applyNumberFormat="1">
      <alignment vertical="center"/>
    </xf>
    <xf borderId="1" fillId="2" fontId="74" numFmtId="167" xfId="0" applyAlignment="1" applyBorder="1" applyFill="1" applyFont="1" applyNumberFormat="1">
      <alignment vertical="center"/>
    </xf>
    <xf borderId="1" fillId="2" fontId="75" numFmtId="174" xfId="0" applyAlignment="1" applyBorder="1" applyFill="1" applyFont="1" applyNumberFormat="1">
      <alignment vertical="center"/>
    </xf>
    <xf borderId="0" fillId="0" fontId="1" numFmtId="178" xfId="0" applyFont="1" applyNumberFormat="1"/>
    <xf borderId="1" fillId="2" fontId="17" numFmtId="166" xfId="0" applyBorder="1" applyFill="1" applyFont="1" applyNumberFormat="1"/>
    <xf borderId="1" fillId="2" fontId="33" numFmtId="166" xfId="0" applyAlignment="1" applyBorder="1" applyFill="1" applyFont="1" applyNumberFormat="1">
      <alignment vertical="center"/>
    </xf>
    <xf borderId="39" fillId="2" fontId="17" numFmtId="166" xfId="0" applyAlignment="1" applyBorder="1" applyFill="1" applyFont="1" applyNumberFormat="1">
      <alignment vertical="center"/>
    </xf>
    <xf borderId="39" fillId="2" fontId="70" numFmtId="169" xfId="0" applyAlignment="1" applyBorder="1" applyFill="1" applyFont="1" applyNumberFormat="1">
      <alignment vertical="center"/>
    </xf>
    <xf borderId="1" fillId="2" fontId="76" numFmtId="0" xfId="0" applyAlignment="1" applyBorder="1" applyFill="1" applyFont="1">
      <alignment vertical="center"/>
    </xf>
    <xf borderId="65" fillId="8" fontId="33" numFmtId="38" xfId="0" applyAlignment="1" applyBorder="1" applyFill="1" applyFont="1" applyNumberFormat="1">
      <alignment horizontal="center" vertical="center"/>
    </xf>
    <xf borderId="68" fillId="2" fontId="15" numFmtId="0" xfId="0" applyBorder="1" applyFill="1" applyFont="1"/>
    <xf borderId="71" fillId="8" fontId="77" numFmtId="0" xfId="0" applyAlignment="1" applyBorder="1" applyFill="1" applyFont="1">
      <alignment horizontal="center" vertical="center"/>
    </xf>
    <xf borderId="72" fillId="0" fontId="10" numFmtId="0" xfId="0" applyBorder="1" applyFont="1"/>
    <xf borderId="69" fillId="2" fontId="1" numFmtId="174" xfId="0" applyAlignment="1" applyBorder="1" applyFill="1" applyFont="1" applyNumberFormat="1">
      <alignment vertical="center"/>
    </xf>
    <xf borderId="68" fillId="2" fontId="15" numFmtId="174" xfId="0" applyAlignment="1" applyBorder="1" applyFill="1" applyFont="1" applyNumberFormat="1">
      <alignment vertical="center"/>
    </xf>
    <xf borderId="1" fillId="2" fontId="1" numFmtId="176" xfId="0" applyAlignment="1" applyBorder="1" applyFill="1" applyFont="1" applyNumberFormat="1">
      <alignment vertical="center"/>
    </xf>
    <xf borderId="1" fillId="2" fontId="15" numFmtId="165" xfId="0" applyAlignment="1" applyBorder="1" applyFill="1" applyFont="1" applyNumberFormat="1">
      <alignment vertical="center"/>
    </xf>
    <xf quotePrefix="1" borderId="1" fillId="2" fontId="33" numFmtId="176" xfId="0" applyAlignment="1" applyBorder="1" applyFill="1" applyFont="1" applyNumberFormat="1">
      <alignment horizontal="right" vertical="center"/>
    </xf>
    <xf borderId="1" fillId="2" fontId="78" numFmtId="0" xfId="0" applyBorder="1" applyFill="1" applyFont="1"/>
    <xf borderId="1" fillId="2" fontId="58" numFmtId="0" xfId="0" applyAlignment="1" applyBorder="1" applyFill="1" applyFont="1">
      <alignment vertical="center"/>
    </xf>
    <xf borderId="1" fillId="2" fontId="20" numFmtId="170" xfId="0" applyAlignment="1" applyBorder="1" applyFill="1" applyFont="1" applyNumberFormat="1">
      <alignment vertical="center"/>
    </xf>
    <xf borderId="1" fillId="2" fontId="20" numFmtId="165" xfId="0" applyAlignment="1" applyBorder="1" applyFill="1" applyFont="1" applyNumberFormat="1">
      <alignment vertical="center"/>
    </xf>
    <xf borderId="68" fillId="2" fontId="20" numFmtId="165" xfId="0" applyAlignment="1" applyBorder="1" applyFill="1" applyFont="1" applyNumberFormat="1">
      <alignment vertical="center"/>
    </xf>
    <xf borderId="1" fillId="2" fontId="20" numFmtId="174" xfId="0" applyAlignment="1" applyBorder="1" applyFill="1" applyFont="1" applyNumberFormat="1">
      <alignment vertical="center"/>
    </xf>
    <xf borderId="46" fillId="2" fontId="1" numFmtId="175" xfId="0" applyAlignment="1" applyBorder="1" applyFill="1" applyFont="1" applyNumberFormat="1">
      <alignment vertical="center"/>
    </xf>
    <xf borderId="46" fillId="2" fontId="15" numFmtId="165" xfId="0" applyAlignment="1" applyBorder="1" applyFill="1" applyFont="1" applyNumberFormat="1">
      <alignment vertical="center"/>
    </xf>
    <xf borderId="73" fillId="2" fontId="15" numFmtId="165" xfId="0" applyAlignment="1" applyBorder="1" applyFill="1" applyFont="1" applyNumberFormat="1">
      <alignment vertical="center"/>
    </xf>
    <xf borderId="73" fillId="2" fontId="15" numFmtId="174" xfId="0" applyAlignment="1" applyBorder="1" applyFill="1" applyFont="1" applyNumberFormat="1">
      <alignment vertical="center"/>
    </xf>
    <xf borderId="74" fillId="2" fontId="1" numFmtId="166" xfId="0" applyAlignment="1" applyBorder="1" applyFill="1" applyFont="1" applyNumberFormat="1">
      <alignment vertical="center"/>
    </xf>
    <xf borderId="1" fillId="2" fontId="1" numFmtId="179" xfId="0" applyAlignment="1" applyBorder="1" applyFill="1" applyFont="1" applyNumberFormat="1">
      <alignment vertical="center"/>
    </xf>
    <xf borderId="1" fillId="2" fontId="33" numFmtId="176" xfId="0" applyAlignment="1" applyBorder="1" applyFill="1" applyFont="1" applyNumberFormat="1">
      <alignment horizontal="left" vertical="center"/>
    </xf>
    <xf borderId="1" fillId="2" fontId="1" numFmtId="0" xfId="0" applyAlignment="1" applyBorder="1" applyFill="1" applyFont="1">
      <alignment horizontal="left" vertical="center"/>
    </xf>
    <xf borderId="1" fillId="2" fontId="73" numFmtId="167" xfId="0" applyAlignment="1" applyBorder="1" applyFill="1" applyFont="1" applyNumberFormat="1">
      <alignment horizontal="right" vertical="center"/>
    </xf>
    <xf borderId="1" fillId="2" fontId="73" numFmtId="0" xfId="0" applyAlignment="1" applyBorder="1" applyFill="1" applyFont="1">
      <alignment vertical="center"/>
    </xf>
    <xf borderId="1" fillId="2" fontId="73" numFmtId="167" xfId="0" applyAlignment="1" applyBorder="1" applyFill="1" applyFont="1" applyNumberFormat="1">
      <alignment vertical="center"/>
    </xf>
    <xf borderId="1" fillId="2" fontId="79" numFmtId="0" xfId="0" applyAlignment="1" applyBorder="1" applyFill="1" applyFont="1">
      <alignment vertical="center"/>
    </xf>
    <xf borderId="39" fillId="2" fontId="1" numFmtId="0" xfId="0" applyAlignment="1" applyBorder="1" applyFill="1" applyFont="1">
      <alignment vertical="center"/>
    </xf>
    <xf borderId="1" fillId="2" fontId="1" numFmtId="180" xfId="0" applyAlignment="1" applyBorder="1" applyFill="1" applyFont="1" applyNumberFormat="1">
      <alignment vertical="center"/>
    </xf>
    <xf borderId="75" fillId="2" fontId="75" numFmtId="170" xfId="0" applyBorder="1" applyFill="1" applyFont="1" applyNumberFormat="1"/>
    <xf borderId="68" fillId="2" fontId="1" numFmtId="177" xfId="0" applyAlignment="1" applyBorder="1" applyFill="1" applyFont="1" applyNumberFormat="1">
      <alignment vertical="center"/>
    </xf>
    <xf borderId="1" fillId="2" fontId="57" numFmtId="0" xfId="0" applyAlignment="1" applyBorder="1" applyFill="1" applyFont="1">
      <alignment vertical="center"/>
    </xf>
    <xf borderId="39" fillId="2" fontId="1" numFmtId="165" xfId="0" applyAlignment="1" applyBorder="1" applyFill="1" applyFont="1" applyNumberFormat="1">
      <alignment vertical="center"/>
    </xf>
    <xf borderId="73" fillId="2" fontId="1" numFmtId="165" xfId="0" applyAlignment="1" applyBorder="1" applyFill="1" applyFont="1" applyNumberFormat="1">
      <alignment vertical="center"/>
    </xf>
    <xf borderId="73" fillId="2" fontId="15" numFmtId="0" xfId="0" applyAlignment="1" applyBorder="1" applyFill="1" applyFont="1">
      <alignment vertical="center"/>
    </xf>
    <xf borderId="39" fillId="2" fontId="15" numFmtId="0" xfId="0" applyAlignment="1" applyBorder="1" applyFill="1" applyFont="1">
      <alignment vertical="center"/>
    </xf>
    <xf borderId="76" fillId="2" fontId="1" numFmtId="167" xfId="0" applyAlignment="1" applyBorder="1" applyFill="1" applyFont="1" applyNumberFormat="1">
      <alignment vertical="center"/>
    </xf>
    <xf borderId="73" fillId="2" fontId="1" numFmtId="0" xfId="0" applyAlignment="1" applyBorder="1" applyFill="1" applyFont="1">
      <alignment vertical="center"/>
    </xf>
    <xf borderId="50" fillId="2" fontId="15" numFmtId="0" xfId="0" applyAlignment="1" applyBorder="1" applyFill="1" applyFont="1">
      <alignment vertical="center"/>
    </xf>
    <xf borderId="65" fillId="2" fontId="15" numFmtId="165" xfId="0" applyAlignment="1" applyBorder="1" applyFill="1" applyFont="1" applyNumberFormat="1">
      <alignment vertical="center"/>
    </xf>
    <xf borderId="50" fillId="2" fontId="15" numFmtId="0" xfId="0" applyBorder="1" applyFill="1" applyFont="1"/>
    <xf borderId="50" fillId="2" fontId="1" numFmtId="0" xfId="0" applyBorder="1" applyFill="1" applyFont="1"/>
    <xf borderId="66" fillId="2" fontId="15" numFmtId="165" xfId="0" applyAlignment="1" applyBorder="1" applyFill="1" applyFont="1" applyNumberFormat="1">
      <alignment vertical="center"/>
    </xf>
    <xf borderId="50" fillId="2" fontId="1" numFmtId="0" xfId="0" applyAlignment="1" applyBorder="1" applyFill="1" applyFont="1">
      <alignment vertical="center"/>
    </xf>
    <xf borderId="50" fillId="2" fontId="70" numFmtId="0" xfId="0" applyAlignment="1" applyBorder="1" applyFill="1" applyFont="1">
      <alignment vertical="center"/>
    </xf>
    <xf borderId="65" fillId="2" fontId="1" numFmtId="0" xfId="0" applyAlignment="1" applyBorder="1" applyFill="1" applyFont="1">
      <alignment vertical="center"/>
    </xf>
    <xf borderId="69" fillId="2" fontId="15" numFmtId="165" xfId="0" applyAlignment="1" applyBorder="1" applyFill="1" applyFont="1" applyNumberFormat="1">
      <alignment vertical="center"/>
    </xf>
    <xf borderId="1" fillId="2" fontId="80" numFmtId="49" xfId="0" applyBorder="1" applyFill="1" applyFont="1" applyNumberFormat="1"/>
    <xf borderId="1" fillId="2" fontId="59" numFmtId="0" xfId="0" applyBorder="1" applyFill="1" applyFont="1"/>
    <xf borderId="1" fillId="2" fontId="81" numFmtId="49" xfId="0" applyBorder="1" applyFill="1" applyFont="1" applyNumberFormat="1"/>
    <xf borderId="1" fillId="2" fontId="32" numFmtId="181" xfId="0" applyAlignment="1" applyBorder="1" applyFill="1" applyFont="1" applyNumberFormat="1">
      <alignment horizontal="center" vertical="center"/>
    </xf>
    <xf borderId="1" fillId="2" fontId="82" numFmtId="164" xfId="0" applyAlignment="1" applyBorder="1" applyFill="1" applyFont="1" applyNumberFormat="1">
      <alignment horizontal="center"/>
    </xf>
    <xf borderId="68" fillId="2" fontId="15" numFmtId="169" xfId="0" applyAlignment="1" applyBorder="1" applyFill="1" applyFont="1" applyNumberFormat="1">
      <alignment vertical="center"/>
    </xf>
    <xf borderId="39" fillId="2" fontId="70" numFmtId="169" xfId="0" applyAlignment="1" applyBorder="1" applyFill="1" applyFont="1" applyNumberFormat="1">
      <alignment horizontal="right" vertical="center"/>
    </xf>
    <xf borderId="1" fillId="2" fontId="63" numFmtId="0" xfId="0" applyBorder="1" applyFill="1" applyFont="1"/>
    <xf borderId="1" fillId="2" fontId="72" numFmtId="169" xfId="0" applyAlignment="1" applyBorder="1" applyFill="1" applyFont="1" applyNumberFormat="1">
      <alignment vertical="center"/>
    </xf>
    <xf borderId="1" fillId="2" fontId="83" numFmtId="0" xfId="0" applyAlignment="1" applyBorder="1" applyFill="1" applyFont="1">
      <alignment horizontal="left" vertical="center"/>
    </xf>
    <xf borderId="46" fillId="2" fontId="1" numFmtId="170" xfId="0" applyAlignment="1" applyBorder="1" applyFill="1" applyFont="1" applyNumberFormat="1">
      <alignment vertical="center"/>
    </xf>
    <xf borderId="7" fillId="2" fontId="15" numFmtId="0" xfId="0" applyAlignment="1" applyBorder="1" applyFill="1" applyFont="1">
      <alignment horizontal="center" vertical="top"/>
    </xf>
    <xf borderId="46" fillId="2" fontId="1" numFmtId="166" xfId="0" applyAlignment="1" applyBorder="1" applyFill="1" applyFont="1" applyNumberFormat="1">
      <alignment vertical="center"/>
    </xf>
    <xf borderId="46" fillId="2" fontId="70" numFmtId="169" xfId="0" applyAlignment="1" applyBorder="1" applyFill="1" applyFont="1" applyNumberFormat="1">
      <alignment vertical="center"/>
    </xf>
    <xf borderId="39" fillId="2" fontId="72" numFmtId="0" xfId="0" applyAlignment="1" applyBorder="1" applyFill="1" applyFont="1">
      <alignment vertical="center"/>
    </xf>
    <xf borderId="69" fillId="2" fontId="1" numFmtId="0" xfId="0" applyBorder="1" applyFill="1" applyFont="1"/>
    <xf borderId="54" fillId="2" fontId="63" numFmtId="0" xfId="0" applyAlignment="1" applyBorder="1" applyFill="1" applyFont="1">
      <alignment horizontal="left" vertical="top"/>
    </xf>
    <xf borderId="1" fillId="2" fontId="20" numFmtId="0" xfId="0" applyAlignment="1" applyBorder="1" applyFill="1" applyFont="1">
      <alignment horizontal="center"/>
    </xf>
    <xf borderId="1" fillId="2" fontId="70" numFmtId="0" xfId="0" applyAlignment="1" applyBorder="1" applyFill="1" applyFont="1">
      <alignment horizontal="center"/>
    </xf>
    <xf borderId="1" fillId="2" fontId="1" numFmtId="170" xfId="0" applyBorder="1" applyFill="1" applyFont="1" applyNumberFormat="1"/>
    <xf borderId="1" fillId="2" fontId="84" numFmtId="166" xfId="0" applyAlignment="1" applyBorder="1" applyFill="1" applyFont="1" applyNumberFormat="1">
      <alignment horizontal="right"/>
    </xf>
    <xf borderId="68" fillId="2" fontId="1" numFmtId="170" xfId="0" applyBorder="1" applyFill="1" applyFont="1" applyNumberFormat="1"/>
    <xf borderId="68" fillId="2" fontId="1" numFmtId="170" xfId="0" applyAlignment="1" applyBorder="1" applyFill="1" applyFont="1" applyNumberFormat="1">
      <alignment vertical="center"/>
    </xf>
    <xf borderId="61" fillId="4" fontId="85" numFmtId="0" xfId="0" applyAlignment="1" applyBorder="1" applyFill="1" applyFont="1">
      <alignment horizontal="center" vertical="center"/>
    </xf>
    <xf borderId="1" fillId="2" fontId="8" numFmtId="0" xfId="0" applyAlignment="1" applyBorder="1" applyFill="1" applyFont="1">
      <alignment horizontal="center" vertical="center"/>
    </xf>
    <xf borderId="1" fillId="2" fontId="86" numFmtId="0" xfId="0" applyAlignment="1" applyBorder="1" applyFill="1" applyFont="1">
      <alignment horizontal="right" vertical="center"/>
    </xf>
    <xf borderId="3" fillId="8" fontId="87" numFmtId="0" xfId="0" applyAlignment="1" applyBorder="1" applyFill="1" applyFont="1">
      <alignment horizontal="center" vertical="center"/>
    </xf>
    <xf borderId="1" fillId="2" fontId="17" numFmtId="167" xfId="0" applyAlignment="1" applyBorder="1" applyFill="1" applyFont="1" applyNumberFormat="1">
      <alignment horizontal="right"/>
    </xf>
    <xf borderId="77" fillId="4" fontId="21" numFmtId="0" xfId="0" applyAlignment="1" applyBorder="1" applyFill="1" applyFont="1">
      <alignment horizontal="right" vertical="center"/>
    </xf>
    <xf borderId="1" fillId="2" fontId="88" numFmtId="0" xfId="0" applyAlignment="1" applyBorder="1" applyFill="1" applyFont="1">
      <alignment horizontal="center"/>
    </xf>
    <xf borderId="77" fillId="4" fontId="21" numFmtId="168" xfId="0" applyAlignment="1" applyBorder="1" applyFill="1" applyFont="1" applyNumberFormat="1">
      <alignment vertical="center"/>
    </xf>
    <xf borderId="1" fillId="2" fontId="70" numFmtId="166" xfId="0" applyAlignment="1" applyBorder="1" applyFill="1" applyFont="1" applyNumberFormat="1">
      <alignment horizontal="center"/>
    </xf>
    <xf borderId="1" fillId="2" fontId="89" numFmtId="166" xfId="0" applyAlignment="1" applyBorder="1" applyFill="1" applyFont="1" applyNumberFormat="1">
      <alignment horizontal="right"/>
    </xf>
    <xf borderId="1" fillId="2" fontId="17" numFmtId="166" xfId="0" applyAlignment="1" applyBorder="1" applyFill="1" applyFont="1" applyNumberFormat="1">
      <alignment horizontal="right"/>
    </xf>
    <xf borderId="78" fillId="4" fontId="21" numFmtId="168" xfId="0" applyAlignment="1" applyBorder="1" applyFill="1" applyFont="1" applyNumberFormat="1">
      <alignment vertical="center"/>
    </xf>
    <xf borderId="79" fillId="2" fontId="56" numFmtId="0" xfId="0" applyAlignment="1" applyBorder="1" applyFill="1" applyFont="1">
      <alignment horizontal="center" vertical="center"/>
    </xf>
    <xf borderId="79" fillId="4" fontId="21" numFmtId="0" xfId="0" applyAlignment="1" applyBorder="1" applyFill="1" applyFont="1">
      <alignment horizontal="right" vertical="center"/>
    </xf>
    <xf borderId="80" fillId="4" fontId="21" numFmtId="0" xfId="0" applyAlignment="1" applyBorder="1" applyFill="1" applyFont="1">
      <alignment horizontal="center" vertical="center"/>
    </xf>
    <xf borderId="81" fillId="0" fontId="10" numFmtId="0" xfId="0" applyBorder="1" applyFont="1"/>
    <xf borderId="82" fillId="0" fontId="10" numFmtId="0" xfId="0" applyBorder="1" applyFont="1"/>
    <xf borderId="57" fillId="3" fontId="17" numFmtId="167" xfId="0" applyBorder="1" applyFill="1" applyFont="1" applyNumberFormat="1"/>
    <xf borderId="83" fillId="4" fontId="21" numFmtId="167" xfId="0" applyAlignment="1" applyBorder="1" applyFill="1" applyFont="1" applyNumberFormat="1">
      <alignment horizontal="center"/>
    </xf>
    <xf borderId="74" fillId="2" fontId="1" numFmtId="0" xfId="0" applyAlignment="1" applyBorder="1" applyFill="1" applyFont="1">
      <alignment vertical="center"/>
    </xf>
    <xf borderId="1" fillId="2" fontId="90" numFmtId="167" xfId="0" applyBorder="1" applyFill="1" applyFont="1" applyNumberFormat="1"/>
    <xf borderId="1" fillId="2" fontId="91" numFmtId="166" xfId="0" applyAlignment="1" applyBorder="1" applyFill="1" applyFont="1" applyNumberFormat="1">
      <alignment vertical="center"/>
    </xf>
    <xf borderId="1" fillId="2" fontId="92" numFmtId="169" xfId="0" applyAlignment="1" applyBorder="1" applyFill="1" applyFont="1" applyNumberFormat="1">
      <alignment horizontal="right" vertical="center"/>
    </xf>
    <xf borderId="1" fillId="2" fontId="8" numFmtId="0" xfId="0" applyAlignment="1" applyBorder="1" applyFill="1" applyFont="1">
      <alignment horizontal="left" shrinkToFit="0" vertical="center" wrapText="1"/>
    </xf>
    <xf borderId="1" fillId="2" fontId="89" numFmtId="0" xfId="0" applyAlignment="1" applyBorder="1" applyFill="1" applyFont="1">
      <alignment horizontal="right" vertical="center"/>
    </xf>
    <xf borderId="39" fillId="2" fontId="1" numFmtId="167" xfId="0" applyBorder="1" applyFill="1" applyFont="1" applyNumberFormat="1"/>
    <xf borderId="39" fillId="2" fontId="55" numFmtId="0" xfId="0" applyBorder="1" applyFill="1" applyFont="1"/>
    <xf borderId="76" fillId="2" fontId="15" numFmtId="165" xfId="0" applyAlignment="1" applyBorder="1" applyFill="1" applyFont="1" applyNumberFormat="1">
      <alignment vertical="center"/>
    </xf>
    <xf borderId="76" fillId="2" fontId="1" numFmtId="0" xfId="0" applyBorder="1" applyFill="1" applyFont="1"/>
    <xf borderId="84" fillId="2" fontId="14" numFmtId="0" xfId="0" applyAlignment="1" applyBorder="1" applyFill="1" applyFont="1">
      <alignment horizontal="center" vertical="center"/>
    </xf>
    <xf borderId="50" fillId="2" fontId="14" numFmtId="0" xfId="0" applyAlignment="1" applyBorder="1" applyFill="1" applyFont="1">
      <alignment horizontal="center"/>
    </xf>
    <xf borderId="50" fillId="2" fontId="93" numFmtId="0" xfId="0" applyAlignment="1" applyBorder="1" applyFill="1" applyFont="1">
      <alignment horizontal="center"/>
    </xf>
    <xf borderId="50" fillId="2" fontId="1" numFmtId="0" xfId="0" applyAlignment="1" applyBorder="1" applyFill="1" applyFont="1">
      <alignment horizontal="center"/>
    </xf>
    <xf borderId="50" fillId="2" fontId="17" numFmtId="0" xfId="0" applyBorder="1" applyFill="1" applyFont="1"/>
    <xf borderId="50" fillId="2" fontId="94" numFmtId="0" xfId="0" applyAlignment="1" applyBorder="1" applyFill="1" applyFont="1">
      <alignment horizontal="center"/>
    </xf>
    <xf borderId="1" fillId="2" fontId="95" numFmtId="0" xfId="0" applyAlignment="1" applyBorder="1" applyFill="1" applyFont="1">
      <alignment horizontal="right"/>
    </xf>
    <xf borderId="65" fillId="2" fontId="1" numFmtId="0" xfId="0" applyBorder="1" applyFill="1" applyFont="1"/>
    <xf borderId="85" fillId="0" fontId="10" numFmtId="0" xfId="0" applyBorder="1" applyFont="1"/>
    <xf borderId="1" fillId="2" fontId="17" numFmtId="0" xfId="0" applyBorder="1" applyFill="1" applyFont="1"/>
    <xf borderId="1" fillId="2" fontId="96" numFmtId="0" xfId="0" applyAlignment="1" applyBorder="1" applyFill="1" applyFont="1">
      <alignment horizontal="center"/>
    </xf>
    <xf borderId="7" fillId="2" fontId="97" numFmtId="0" xfId="0" applyAlignment="1" applyBorder="1" applyFill="1" applyFont="1">
      <alignment horizontal="right" vertical="center"/>
    </xf>
    <xf borderId="1" fillId="2" fontId="98" numFmtId="49" xfId="0" applyBorder="1" applyFill="1" applyFont="1" applyNumberFormat="1"/>
    <xf borderId="1" fillId="2" fontId="99" numFmtId="166" xfId="0" applyAlignment="1" applyBorder="1" applyFill="1" applyFont="1" applyNumberFormat="1">
      <alignment vertical="center"/>
    </xf>
    <xf borderId="1" fillId="2" fontId="100" numFmtId="166" xfId="0" applyAlignment="1" applyBorder="1" applyFill="1" applyFont="1" applyNumberFormat="1">
      <alignment horizontal="right"/>
    </xf>
    <xf borderId="1" fillId="2" fontId="99" numFmtId="166" xfId="0" applyAlignment="1" applyBorder="1" applyFill="1" applyFont="1" applyNumberFormat="1">
      <alignment horizontal="right"/>
    </xf>
    <xf borderId="1" fillId="2" fontId="101" numFmtId="166" xfId="0" applyAlignment="1" applyBorder="1" applyFill="1" applyFont="1" applyNumberFormat="1">
      <alignment horizontal="right"/>
    </xf>
    <xf borderId="1" fillId="2" fontId="57" numFmtId="0" xfId="0" applyBorder="1" applyFill="1" applyFont="1"/>
    <xf borderId="67" fillId="2" fontId="1" numFmtId="0" xfId="0" applyAlignment="1" applyBorder="1" applyFill="1" applyFont="1">
      <alignment horizontal="right"/>
    </xf>
    <xf borderId="2" fillId="3" fontId="17" numFmtId="166" xfId="0" applyAlignment="1" applyBorder="1" applyFill="1" applyFont="1" applyNumberFormat="1">
      <alignment horizontal="center"/>
    </xf>
    <xf borderId="2" fillId="3" fontId="17" numFmtId="167" xfId="0" applyAlignment="1" applyBorder="1" applyFill="1" applyFont="1" applyNumberFormat="1">
      <alignment horizontal="right"/>
    </xf>
    <xf borderId="7" fillId="2" fontId="5" numFmtId="164" xfId="0" applyAlignment="1" applyBorder="1" applyFill="1" applyFont="1" applyNumberFormat="1">
      <alignment horizontal="left"/>
    </xf>
    <xf borderId="1" fillId="3" fontId="17" numFmtId="166" xfId="0" applyAlignment="1" applyBorder="1" applyFill="1" applyFont="1" applyNumberFormat="1">
      <alignment horizontal="center"/>
    </xf>
    <xf borderId="1" fillId="2" fontId="5" numFmtId="164" xfId="0" applyAlignment="1" applyBorder="1" applyFill="1" applyFont="1" applyNumberFormat="1">
      <alignment horizontal="left"/>
    </xf>
    <xf borderId="1" fillId="2" fontId="45" numFmtId="0" xfId="0" applyAlignment="1" applyBorder="1" applyFill="1" applyFont="1">
      <alignment horizontal="right"/>
    </xf>
    <xf borderId="1" fillId="2" fontId="45" numFmtId="0" xfId="0" applyAlignment="1" applyBorder="1" applyFill="1" applyFont="1">
      <alignment horizontal="left"/>
    </xf>
    <xf borderId="1" fillId="2" fontId="102" numFmtId="0" xfId="0" applyAlignment="1" applyBorder="1" applyFill="1" applyFont="1">
      <alignment horizontal="center"/>
    </xf>
    <xf borderId="1" fillId="2" fontId="59" numFmtId="2" xfId="0" applyAlignment="1" applyBorder="1" applyFill="1" applyFont="1" applyNumberFormat="1">
      <alignment vertical="center"/>
    </xf>
    <xf borderId="1" fillId="2" fontId="8" numFmtId="169" xfId="0" applyBorder="1" applyFill="1" applyFont="1" applyNumberFormat="1"/>
    <xf borderId="1" fillId="2" fontId="15" numFmtId="167" xfId="0" applyBorder="1" applyFill="1" applyFont="1" applyNumberFormat="1"/>
    <xf borderId="1" fillId="2" fontId="15" numFmtId="182" xfId="0" applyBorder="1" applyFill="1" applyFont="1" applyNumberFormat="1"/>
    <xf borderId="1" fillId="2" fontId="29" numFmtId="167" xfId="0" applyAlignment="1" applyBorder="1" applyFill="1" applyFont="1" applyNumberFormat="1">
      <alignment horizontal="right"/>
    </xf>
    <xf borderId="1" fillId="2" fontId="103" numFmtId="0" xfId="0" applyAlignment="1" applyBorder="1" applyFill="1" applyFont="1">
      <alignment horizontal="right" vertical="center"/>
    </xf>
    <xf borderId="1" fillId="2" fontId="1" numFmtId="183" xfId="0" applyBorder="1" applyFill="1" applyFont="1" applyNumberFormat="1"/>
    <xf borderId="1" fillId="2" fontId="75" numFmtId="166" xfId="0" applyAlignment="1" applyBorder="1" applyFill="1" applyFont="1" applyNumberFormat="1">
      <alignment horizontal="right"/>
    </xf>
    <xf borderId="1" fillId="2" fontId="75" numFmtId="0" xfId="0" applyBorder="1" applyFill="1" applyFont="1"/>
    <xf borderId="66" fillId="15" fontId="103" numFmtId="169" xfId="0" applyAlignment="1" applyBorder="1" applyFill="1" applyFont="1" applyNumberFormat="1">
      <alignment horizontal="center" vertical="center"/>
    </xf>
    <xf borderId="1" fillId="2" fontId="15" numFmtId="0" xfId="0" applyBorder="1" applyFill="1" applyFont="1"/>
    <xf borderId="2" fillId="3" fontId="17" numFmtId="10" xfId="0" applyAlignment="1" applyBorder="1" applyFill="1" applyFont="1" applyNumberFormat="1">
      <alignment horizontal="center"/>
    </xf>
    <xf borderId="1" fillId="2" fontId="104" numFmtId="10" xfId="0" applyAlignment="1" applyBorder="1" applyFill="1" applyFont="1" applyNumberFormat="1">
      <alignment horizontal="center"/>
    </xf>
    <xf borderId="69" fillId="15" fontId="103" numFmtId="169" xfId="0" applyAlignment="1" applyBorder="1" applyFill="1" applyFont="1" applyNumberFormat="1">
      <alignment horizontal="center" vertical="center"/>
    </xf>
    <xf borderId="1" fillId="2" fontId="17" numFmtId="169" xfId="0" applyAlignment="1" applyBorder="1" applyFill="1" applyFont="1" applyNumberFormat="1">
      <alignment horizontal="center"/>
    </xf>
    <xf borderId="1" fillId="2" fontId="104" numFmtId="169" xfId="0" applyAlignment="1" applyBorder="1" applyFill="1" applyFont="1" applyNumberFormat="1">
      <alignment horizontal="center"/>
    </xf>
    <xf borderId="1" fillId="2" fontId="29" numFmtId="166" xfId="0" applyAlignment="1" applyBorder="1" applyFill="1" applyFont="1" applyNumberFormat="1">
      <alignment horizontal="right"/>
    </xf>
    <xf borderId="69" fillId="15" fontId="103" numFmtId="0" xfId="0" applyAlignment="1" applyBorder="1" applyFill="1" applyFont="1">
      <alignment horizontal="right" vertical="center"/>
    </xf>
    <xf borderId="76" fillId="15" fontId="103" numFmtId="169" xfId="0" applyAlignment="1" applyBorder="1" applyFill="1" applyFont="1" applyNumberFormat="1">
      <alignment horizontal="center" vertical="center"/>
    </xf>
    <xf borderId="2" fillId="3" fontId="17" numFmtId="169" xfId="0" applyAlignment="1" applyBorder="1" applyFill="1" applyFont="1" applyNumberFormat="1">
      <alignment horizontal="center"/>
    </xf>
    <xf borderId="2" fillId="3" fontId="17" numFmtId="177" xfId="0" applyAlignment="1" applyBorder="1" applyFill="1" applyFont="1" applyNumberFormat="1">
      <alignment horizontal="center" vertical="center"/>
    </xf>
    <xf borderId="2" fillId="3" fontId="17" numFmtId="179" xfId="0" applyAlignment="1" applyBorder="1" applyFill="1" applyFont="1" applyNumberFormat="1">
      <alignment horizontal="center"/>
    </xf>
    <xf borderId="67" fillId="2" fontId="105" numFmtId="0" xfId="0" applyAlignment="1" applyBorder="1" applyFill="1" applyFont="1">
      <alignment horizontal="right"/>
    </xf>
    <xf borderId="1" fillId="2" fontId="106" numFmtId="0" xfId="0" applyAlignment="1" applyBorder="1" applyFill="1" applyFont="1">
      <alignment horizontal="right"/>
    </xf>
    <xf borderId="1" fillId="2" fontId="107" numFmtId="166" xfId="0" applyAlignment="1" applyBorder="1" applyFill="1" applyFont="1" applyNumberFormat="1">
      <alignment horizontal="right"/>
    </xf>
    <xf borderId="67" fillId="2" fontId="14" numFmtId="0" xfId="0" applyAlignment="1" applyBorder="1" applyFill="1" applyFont="1">
      <alignment horizontal="right"/>
    </xf>
    <xf borderId="1" fillId="2" fontId="14" numFmtId="0" xfId="0" applyAlignment="1" applyBorder="1" applyFill="1" applyFont="1">
      <alignment horizontal="right"/>
    </xf>
    <xf borderId="1" fillId="2" fontId="103" numFmtId="177" xfId="0" applyAlignment="1" applyBorder="1" applyFill="1" applyFont="1" applyNumberFormat="1">
      <alignment horizontal="center"/>
    </xf>
    <xf borderId="1" fillId="2" fontId="108" numFmtId="166" xfId="0" applyAlignment="1" applyBorder="1" applyFill="1" applyFont="1" applyNumberFormat="1">
      <alignment horizontal="right"/>
    </xf>
    <xf borderId="1" fillId="2" fontId="109" numFmtId="166" xfId="0" applyAlignment="1" applyBorder="1" applyFill="1" applyFont="1" applyNumberFormat="1">
      <alignment horizontal="center"/>
    </xf>
    <xf borderId="1" fillId="2" fontId="110" numFmtId="166" xfId="0" applyAlignment="1" applyBorder="1" applyFill="1" applyFont="1" applyNumberFormat="1">
      <alignment horizontal="right"/>
    </xf>
    <xf borderId="67" fillId="2" fontId="1" numFmtId="0" xfId="0" applyBorder="1" applyFill="1" applyFont="1"/>
    <xf borderId="1" fillId="2" fontId="72" numFmtId="0" xfId="0" applyBorder="1" applyFill="1" applyFont="1"/>
    <xf borderId="1" fillId="2" fontId="72" numFmtId="0" xfId="0" applyAlignment="1" applyBorder="1" applyFill="1" applyFont="1">
      <alignment horizontal="center"/>
    </xf>
    <xf borderId="1" fillId="2" fontId="111" numFmtId="166" xfId="0" applyAlignment="1" applyBorder="1" applyFill="1" applyFont="1" applyNumberFormat="1">
      <alignment horizontal="right"/>
    </xf>
    <xf borderId="1" fillId="2" fontId="29" numFmtId="0" xfId="0" applyBorder="1" applyFill="1" applyFont="1"/>
    <xf borderId="67" fillId="2" fontId="14" numFmtId="0" xfId="0" applyAlignment="1" applyBorder="1" applyFill="1" applyFont="1">
      <alignment horizontal="center"/>
    </xf>
    <xf borderId="1" fillId="2" fontId="73" numFmtId="0" xfId="0" applyAlignment="1" applyBorder="1" applyFill="1" applyFont="1">
      <alignment horizontal="left"/>
    </xf>
    <xf borderId="7" fillId="2" fontId="112" numFmtId="0" xfId="0" applyAlignment="1" applyBorder="1" applyFill="1" applyFont="1">
      <alignment horizontal="right" vertical="center"/>
    </xf>
    <xf borderId="1" fillId="2" fontId="99" numFmtId="166" xfId="0" applyAlignment="1" applyBorder="1" applyFill="1" applyFont="1" applyNumberFormat="1">
      <alignment horizontal="right" vertical="center"/>
    </xf>
    <xf borderId="1" fillId="2" fontId="103" numFmtId="169" xfId="0" applyAlignment="1" applyBorder="1" applyFill="1" applyFont="1" applyNumberFormat="1">
      <alignment horizontal="center"/>
    </xf>
    <xf borderId="1" fillId="2" fontId="33" numFmtId="0" xfId="0" applyAlignment="1" applyBorder="1" applyFill="1" applyFont="1">
      <alignment horizontal="left"/>
    </xf>
    <xf borderId="1" fillId="2" fontId="72" numFmtId="184" xfId="0" applyBorder="1" applyFill="1" applyFont="1" applyNumberFormat="1"/>
    <xf borderId="1" fillId="2" fontId="113" numFmtId="168" xfId="0" applyAlignment="1" applyBorder="1" applyFill="1" applyFont="1" applyNumberFormat="1">
      <alignment horizontal="left"/>
    </xf>
    <xf borderId="1" fillId="2" fontId="17" numFmtId="166" xfId="0" applyAlignment="1" applyBorder="1" applyFill="1" applyFont="1" applyNumberFormat="1">
      <alignment horizontal="center"/>
    </xf>
    <xf borderId="1" fillId="2" fontId="114" numFmtId="168" xfId="0" applyAlignment="1" applyBorder="1" applyFill="1" applyFont="1" applyNumberFormat="1">
      <alignment horizontal="right"/>
    </xf>
    <xf borderId="2" fillId="3" fontId="17" numFmtId="167" xfId="0" applyAlignment="1" applyBorder="1" applyFill="1" applyFont="1" applyNumberFormat="1">
      <alignment horizontal="right" vertical="center"/>
    </xf>
    <xf borderId="1" fillId="2" fontId="115" numFmtId="0" xfId="0" applyAlignment="1" applyBorder="1" applyFill="1" applyFont="1">
      <alignment horizontal="center" vertical="center"/>
    </xf>
    <xf borderId="1" fillId="2" fontId="17" numFmtId="166" xfId="0" applyAlignment="1" applyBorder="1" applyFill="1" applyFont="1" applyNumberFormat="1">
      <alignment horizontal="right" vertical="center"/>
    </xf>
    <xf borderId="1" fillId="2" fontId="116" numFmtId="0" xfId="0" applyAlignment="1" applyBorder="1" applyFill="1" applyFont="1">
      <alignment horizontal="right" vertical="center"/>
    </xf>
    <xf borderId="1" fillId="2" fontId="70" numFmtId="0" xfId="0" applyAlignment="1" applyBorder="1" applyFill="1" applyFont="1">
      <alignment horizontal="center" vertical="center"/>
    </xf>
    <xf borderId="1" fillId="2" fontId="117" numFmtId="166" xfId="0" applyAlignment="1" applyBorder="1" applyFill="1" applyFont="1" applyNumberFormat="1">
      <alignment horizontal="center" vertical="center"/>
    </xf>
    <xf borderId="1" fillId="2" fontId="33" numFmtId="169" xfId="0" applyAlignment="1" applyBorder="1" applyFill="1" applyFont="1" applyNumberFormat="1">
      <alignment horizontal="center" vertical="center"/>
    </xf>
    <xf borderId="1" fillId="2" fontId="89" numFmtId="166" xfId="0" applyAlignment="1" applyBorder="1" applyFill="1" applyFont="1" applyNumberFormat="1">
      <alignment horizontal="right" vertical="center"/>
    </xf>
    <xf borderId="1" fillId="2" fontId="72" numFmtId="174" xfId="0" applyBorder="1" applyFill="1" applyFont="1" applyNumberFormat="1"/>
    <xf borderId="1" fillId="2" fontId="45" numFmtId="168" xfId="0" applyBorder="1" applyFill="1" applyFont="1" applyNumberFormat="1"/>
    <xf borderId="1" fillId="2" fontId="36" numFmtId="168" xfId="0" applyBorder="1" applyFill="1" applyFont="1" applyNumberFormat="1"/>
    <xf borderId="1" fillId="2" fontId="118" numFmtId="0" xfId="0" applyAlignment="1" applyBorder="1" applyFill="1" applyFont="1">
      <alignment horizontal="center"/>
    </xf>
    <xf borderId="1" fillId="2" fontId="75" numFmtId="174" xfId="0" applyAlignment="1" applyBorder="1" applyFill="1" applyFont="1" applyNumberFormat="1">
      <alignment horizontal="right"/>
    </xf>
    <xf borderId="1" fillId="2" fontId="8" numFmtId="169" xfId="0" applyAlignment="1" applyBorder="1" applyFill="1" applyFont="1" applyNumberFormat="1">
      <alignment horizontal="right"/>
    </xf>
    <xf borderId="86" fillId="4" fontId="21" numFmtId="0" xfId="0" applyAlignment="1" applyBorder="1" applyFill="1" applyFont="1">
      <alignment horizontal="center"/>
    </xf>
    <xf borderId="1" fillId="4" fontId="21" numFmtId="0" xfId="0" applyAlignment="1" applyBorder="1" applyFill="1" applyFont="1">
      <alignment horizontal="center"/>
    </xf>
    <xf borderId="86" fillId="4" fontId="21" numFmtId="168" xfId="0" applyAlignment="1" applyBorder="1" applyFill="1" applyFont="1" applyNumberFormat="1">
      <alignment horizontal="center"/>
    </xf>
    <xf borderId="1" fillId="2" fontId="75" numFmtId="174" xfId="0" applyAlignment="1" applyBorder="1" applyFill="1" applyFont="1" applyNumberFormat="1">
      <alignment horizontal="right" vertical="top"/>
    </xf>
    <xf borderId="1" fillId="2" fontId="119" numFmtId="169" xfId="0" applyAlignment="1" applyBorder="1" applyFill="1" applyFont="1" applyNumberFormat="1">
      <alignment horizontal="left"/>
    </xf>
    <xf borderId="1" fillId="2" fontId="17" numFmtId="166" xfId="0" applyAlignment="1" applyBorder="1" applyFill="1" applyFont="1" applyNumberFormat="1">
      <alignment horizontal="center" vertical="center"/>
    </xf>
    <xf borderId="1" fillId="2" fontId="101" numFmtId="174" xfId="0" applyAlignment="1" applyBorder="1" applyFill="1" applyFont="1" applyNumberFormat="1">
      <alignment horizontal="right"/>
    </xf>
    <xf borderId="1" fillId="2" fontId="1" numFmtId="167" xfId="0" applyAlignment="1" applyBorder="1" applyFill="1" applyFont="1" applyNumberFormat="1">
      <alignment horizontal="center" vertical="center"/>
    </xf>
    <xf borderId="1" fillId="2" fontId="112" numFmtId="169" xfId="0" applyAlignment="1" applyBorder="1" applyFill="1" applyFont="1" applyNumberFormat="1">
      <alignment horizontal="right"/>
    </xf>
    <xf borderId="1" fillId="2" fontId="120" numFmtId="10" xfId="0" applyBorder="1" applyFill="1" applyFont="1" applyNumberFormat="1"/>
    <xf borderId="1" fillId="2" fontId="23" numFmtId="0" xfId="0" applyAlignment="1" applyBorder="1" applyFill="1" applyFont="1">
      <alignment textRotation="45" vertical="center"/>
    </xf>
    <xf borderId="1" fillId="2" fontId="1" numFmtId="174" xfId="0" applyAlignment="1" applyBorder="1" applyFill="1" applyFont="1" applyNumberFormat="1">
      <alignment horizontal="center" vertical="center"/>
    </xf>
    <xf borderId="1" fillId="2" fontId="121" numFmtId="174" xfId="0" applyAlignment="1" applyBorder="1" applyFill="1" applyFont="1" applyNumberFormat="1">
      <alignment horizontal="right"/>
    </xf>
    <xf borderId="1" fillId="2" fontId="122" numFmtId="169" xfId="0" applyAlignment="1" applyBorder="1" applyFill="1" applyFont="1" applyNumberFormat="1">
      <alignment horizontal="right"/>
    </xf>
    <xf borderId="1" fillId="2" fontId="1" numFmtId="0" xfId="0" applyAlignment="1" applyBorder="1" applyFill="1" applyFont="1">
      <alignment horizontal="left"/>
    </xf>
    <xf borderId="1" fillId="2" fontId="33" numFmtId="0" xfId="0" applyAlignment="1" applyBorder="1" applyFill="1" applyFont="1">
      <alignment horizontal="right"/>
    </xf>
    <xf borderId="66" fillId="16" fontId="33" numFmtId="168" xfId="0" applyAlignment="1" applyBorder="1" applyFill="1" applyFont="1" applyNumberFormat="1">
      <alignment horizontal="center" vertical="center"/>
    </xf>
    <xf borderId="1" fillId="2" fontId="75" numFmtId="166" xfId="0" applyAlignment="1" applyBorder="1" applyFill="1" applyFont="1" applyNumberFormat="1">
      <alignment horizontal="right" vertical="center"/>
    </xf>
    <xf borderId="2" fillId="3" fontId="17" numFmtId="166" xfId="0" applyAlignment="1" applyBorder="1" applyFill="1" applyFont="1" applyNumberFormat="1">
      <alignment horizontal="right" vertical="center"/>
    </xf>
    <xf borderId="1" fillId="2" fontId="123" numFmtId="0" xfId="0" applyAlignment="1" applyBorder="1" applyFill="1" applyFont="1">
      <alignment horizontal="center" vertical="center"/>
    </xf>
    <xf borderId="76" fillId="16" fontId="1" numFmtId="38" xfId="0" applyAlignment="1" applyBorder="1" applyFill="1" applyFont="1" applyNumberFormat="1">
      <alignment horizontal="center" vertical="center"/>
    </xf>
    <xf borderId="1" fillId="2" fontId="8" numFmtId="169" xfId="0" applyAlignment="1" applyBorder="1" applyFill="1" applyFont="1" applyNumberFormat="1">
      <alignment horizontal="right" vertical="top"/>
    </xf>
    <xf borderId="1" fillId="2" fontId="101" numFmtId="174" xfId="0" applyAlignment="1" applyBorder="1" applyFill="1" applyFont="1" applyNumberFormat="1">
      <alignment horizontal="right" vertical="top"/>
    </xf>
    <xf borderId="1" fillId="2" fontId="112" numFmtId="169" xfId="0" applyAlignment="1" applyBorder="1" applyFill="1" applyFont="1" applyNumberFormat="1">
      <alignment horizontal="right" vertical="top"/>
    </xf>
    <xf borderId="67" fillId="2" fontId="124" numFmtId="0" xfId="0" applyAlignment="1" applyBorder="1" applyFill="1" applyFont="1">
      <alignment horizontal="right"/>
    </xf>
    <xf borderId="1" fillId="2" fontId="33" numFmtId="0" xfId="0" applyAlignment="1" applyBorder="1" applyFill="1" applyFont="1">
      <alignment vertical="top"/>
    </xf>
    <xf borderId="1" fillId="2" fontId="125" numFmtId="169" xfId="0" applyAlignment="1" applyBorder="1" applyFill="1" applyFont="1" applyNumberFormat="1">
      <alignment horizontal="right" vertical="top"/>
    </xf>
    <xf borderId="1" fillId="2" fontId="126" numFmtId="166" xfId="0" applyAlignment="1" applyBorder="1" applyFill="1" applyFont="1" applyNumberFormat="1">
      <alignment horizontal="right" vertical="center"/>
    </xf>
    <xf borderId="74" fillId="2" fontId="1" numFmtId="0" xfId="0" applyAlignment="1" applyBorder="1" applyFill="1" applyFont="1">
      <alignment horizontal="right" vertical="center"/>
    </xf>
    <xf borderId="39" fillId="2" fontId="1" numFmtId="0" xfId="0" applyAlignment="1" applyBorder="1" applyFill="1" applyFont="1">
      <alignment horizontal="right" vertical="center"/>
    </xf>
    <xf borderId="39" fillId="2" fontId="75" numFmtId="174" xfId="0" applyAlignment="1" applyBorder="1" applyFill="1" applyFont="1" applyNumberFormat="1">
      <alignment horizontal="right" vertical="center"/>
    </xf>
    <xf borderId="39" fillId="2" fontId="8" numFmtId="169" xfId="0" applyAlignment="1" applyBorder="1" applyFill="1" applyFont="1" applyNumberFormat="1">
      <alignment horizontal="right" vertical="center"/>
    </xf>
    <xf borderId="39" fillId="2" fontId="127" numFmtId="175" xfId="0" applyAlignment="1" applyBorder="1" applyFill="1" applyFont="1" applyNumberFormat="1">
      <alignment horizontal="right" vertical="center"/>
    </xf>
    <xf borderId="39" fillId="2" fontId="127" numFmtId="174" xfId="0" applyAlignment="1" applyBorder="1" applyFill="1" applyFont="1" applyNumberFormat="1">
      <alignment horizontal="right" vertical="center"/>
    </xf>
    <xf borderId="39" fillId="2" fontId="101" numFmtId="175" xfId="0" applyAlignment="1" applyBorder="1" applyFill="1" applyFont="1" applyNumberFormat="1">
      <alignment horizontal="right" vertical="center"/>
    </xf>
    <xf borderId="39" fillId="2" fontId="89" numFmtId="166" xfId="0" applyAlignment="1" applyBorder="1" applyFill="1" applyFont="1" applyNumberFormat="1">
      <alignment horizontal="right" vertical="center"/>
    </xf>
    <xf borderId="39" fillId="2" fontId="112" numFmtId="169" xfId="0" applyAlignment="1" applyBorder="1" applyFill="1" applyFont="1" applyNumberFormat="1">
      <alignment horizontal="right" vertical="center"/>
    </xf>
    <xf borderId="73" fillId="2" fontId="1" numFmtId="0" xfId="0" applyBorder="1" applyFill="1" applyFont="1"/>
    <xf borderId="50" fillId="2" fontId="1" numFmtId="0" xfId="0" applyAlignment="1" applyBorder="1" applyFill="1" applyFont="1">
      <alignment horizontal="right"/>
    </xf>
    <xf borderId="50" fillId="2" fontId="8" numFmtId="169" xfId="0" applyAlignment="1" applyBorder="1" applyFill="1" applyFont="1" applyNumberFormat="1">
      <alignment horizontal="right" vertical="top"/>
    </xf>
    <xf borderId="87" fillId="2" fontId="83" numFmtId="169" xfId="0" applyAlignment="1" applyBorder="1" applyFill="1" applyFont="1" applyNumberFormat="1">
      <alignment horizontal="center"/>
    </xf>
    <xf borderId="88" fillId="0" fontId="10" numFmtId="0" xfId="0" applyBorder="1" applyFont="1"/>
    <xf borderId="89" fillId="0" fontId="10" numFmtId="0" xfId="0" applyBorder="1" applyFont="1"/>
    <xf borderId="50" fillId="2" fontId="8" numFmtId="169" xfId="0" applyBorder="1" applyFill="1" applyFont="1" applyNumberFormat="1"/>
    <xf borderId="50" fillId="2" fontId="100" numFmtId="166" xfId="0" applyAlignment="1" applyBorder="1" applyFill="1" applyFont="1" applyNumberFormat="1">
      <alignment horizontal="right"/>
    </xf>
    <xf borderId="1" fillId="2" fontId="1" numFmtId="166" xfId="0" applyAlignment="1" applyBorder="1" applyFill="1" applyFont="1" applyNumberFormat="1">
      <alignment horizontal="right"/>
    </xf>
    <xf borderId="1" fillId="2" fontId="1" numFmtId="166" xfId="0" applyAlignment="1" applyBorder="1" applyFill="1" applyFont="1" applyNumberFormat="1">
      <alignment horizontal="center"/>
    </xf>
    <xf borderId="1" fillId="2" fontId="128" numFmtId="166" xfId="0" applyAlignment="1" applyBorder="1" applyFill="1" applyFont="1" applyNumberFormat="1">
      <alignment horizontal="center"/>
    </xf>
    <xf borderId="1" fillId="2" fontId="129" numFmtId="0" xfId="0" applyAlignment="1" applyBorder="1" applyFill="1" applyFont="1">
      <alignment horizontal="right"/>
    </xf>
    <xf borderId="39" fillId="2" fontId="1" numFmtId="0" xfId="0" applyAlignment="1" applyBorder="1" applyFill="1" applyFont="1">
      <alignment horizontal="left" vertical="center"/>
    </xf>
    <xf borderId="1" fillId="2" fontId="130" numFmtId="0" xfId="0" applyAlignment="1" applyBorder="1" applyFill="1" applyFont="1">
      <alignment horizontal="right"/>
    </xf>
    <xf borderId="1" fillId="2" fontId="131" numFmtId="167" xfId="0" applyAlignment="1" applyBorder="1" applyFill="1" applyFont="1" applyNumberFormat="1">
      <alignment horizontal="right"/>
    </xf>
    <xf borderId="39" fillId="2" fontId="132" numFmtId="166" xfId="0" applyAlignment="1" applyBorder="1" applyFill="1" applyFont="1" applyNumberFormat="1">
      <alignment horizontal="right" vertical="center"/>
    </xf>
    <xf borderId="1" fillId="2" fontId="133" numFmtId="166" xfId="0" applyAlignment="1" applyBorder="1" applyFill="1" applyFont="1" applyNumberFormat="1">
      <alignment horizontal="right"/>
    </xf>
    <xf borderId="1" fillId="2" fontId="134" numFmtId="174" xfId="0" applyAlignment="1" applyBorder="1" applyFill="1" applyFont="1" applyNumberFormat="1">
      <alignment horizontal="right"/>
    </xf>
    <xf borderId="1" fillId="2" fontId="73" numFmtId="166" xfId="0" applyAlignment="1" applyBorder="1" applyFill="1" applyFont="1" applyNumberFormat="1">
      <alignment horizontal="right"/>
    </xf>
    <xf borderId="1" fillId="2" fontId="116" numFmtId="0" xfId="0" applyAlignment="1" applyBorder="1" applyFill="1" applyFont="1">
      <alignment horizontal="center" vertical="center"/>
    </xf>
    <xf borderId="90" fillId="4" fontId="21" numFmtId="167" xfId="0" applyAlignment="1" applyBorder="1" applyFill="1" applyFont="1" applyNumberFormat="1">
      <alignment horizontal="center" vertical="center"/>
    </xf>
    <xf borderId="1" fillId="2" fontId="75" numFmtId="0" xfId="0" applyAlignment="1" applyBorder="1" applyFill="1" applyFont="1">
      <alignment horizontal="right" vertical="center"/>
    </xf>
    <xf borderId="39" fillId="2" fontId="1" numFmtId="0" xfId="0" applyAlignment="1" applyBorder="1" applyFill="1" applyFont="1">
      <alignment horizontal="left"/>
    </xf>
    <xf borderId="1" fillId="2" fontId="1" numFmtId="169" xfId="0" applyAlignment="1" applyBorder="1" applyFill="1" applyFont="1" applyNumberFormat="1">
      <alignment horizontal="center"/>
    </xf>
    <xf borderId="1" fillId="2" fontId="69" numFmtId="174" xfId="0" applyAlignment="1" applyBorder="1" applyFill="1" applyFont="1" applyNumberFormat="1">
      <alignment horizontal="right"/>
    </xf>
    <xf borderId="91" fillId="8" fontId="36" numFmtId="169" xfId="0" applyAlignment="1" applyBorder="1" applyFill="1" applyFont="1" applyNumberFormat="1">
      <alignment horizontal="center" vertical="center"/>
    </xf>
    <xf borderId="1" fillId="2" fontId="33" numFmtId="166" xfId="0" applyAlignment="1" applyBorder="1" applyFill="1" applyFont="1" applyNumberFormat="1">
      <alignment horizontal="right"/>
    </xf>
    <xf borderId="1" fillId="2" fontId="56" numFmtId="169" xfId="0" applyAlignment="1" applyBorder="1" applyFill="1" applyFont="1" applyNumberFormat="1">
      <alignment horizontal="center"/>
    </xf>
    <xf borderId="1" fillId="2" fontId="1" numFmtId="38" xfId="0" applyAlignment="1" applyBorder="1" applyFill="1" applyFont="1" applyNumberFormat="1">
      <alignment horizontal="center"/>
    </xf>
    <xf borderId="1" fillId="2" fontId="33" numFmtId="0" xfId="0" applyBorder="1" applyFill="1" applyFont="1"/>
    <xf borderId="1" fillId="2" fontId="71" numFmtId="0" xfId="0" applyAlignment="1" applyBorder="1" applyFill="1" applyFont="1">
      <alignment vertical="center"/>
    </xf>
    <xf borderId="2" fillId="3" fontId="71" numFmtId="166" xfId="0" applyAlignment="1" applyBorder="1" applyFill="1" applyFont="1" applyNumberFormat="1">
      <alignment horizontal="right" vertical="center"/>
    </xf>
    <xf borderId="1" fillId="2" fontId="1" numFmtId="38" xfId="0" applyBorder="1" applyFill="1" applyFont="1" applyNumberFormat="1"/>
    <xf borderId="92" fillId="17" fontId="33" numFmtId="0" xfId="0" applyAlignment="1" applyBorder="1" applyFill="1" applyFont="1">
      <alignment horizontal="left" vertical="center"/>
    </xf>
    <xf borderId="50" fillId="17" fontId="33" numFmtId="0" xfId="0" applyAlignment="1" applyBorder="1" applyFill="1" applyFont="1">
      <alignment horizontal="center" vertical="center"/>
    </xf>
    <xf borderId="87" fillId="17" fontId="33" numFmtId="0" xfId="0" applyAlignment="1" applyBorder="1" applyFill="1" applyFont="1">
      <alignment horizontal="center" vertical="center"/>
    </xf>
    <xf borderId="93" fillId="0" fontId="10" numFmtId="0" xfId="0" applyBorder="1" applyFont="1"/>
    <xf borderId="1" fillId="2" fontId="36" numFmtId="37" xfId="0" applyBorder="1" applyFill="1" applyFont="1" applyNumberFormat="1"/>
    <xf borderId="1" fillId="2" fontId="1" numFmtId="174" xfId="0" applyAlignment="1" applyBorder="1" applyFill="1" applyFont="1" applyNumberFormat="1">
      <alignment horizontal="right"/>
    </xf>
    <xf borderId="1" fillId="2" fontId="1" numFmtId="9" xfId="0" applyAlignment="1" applyBorder="1" applyFill="1" applyFont="1" applyNumberFormat="1">
      <alignment horizontal="right"/>
    </xf>
    <xf borderId="1" fillId="2" fontId="33" numFmtId="0" xfId="0" applyAlignment="1" applyBorder="1" applyFill="1" applyFont="1">
      <alignment horizontal="center" vertical="center"/>
    </xf>
    <xf borderId="54" fillId="2" fontId="33" numFmtId="0" xfId="0" applyAlignment="1" applyBorder="1" applyFill="1" applyFont="1">
      <alignment horizontal="right" vertical="top"/>
    </xf>
    <xf borderId="94" fillId="0" fontId="10" numFmtId="0" xfId="0" applyBorder="1" applyFont="1"/>
    <xf borderId="1" fillId="2" fontId="1" numFmtId="37" xfId="0" applyAlignment="1" applyBorder="1" applyFill="1" applyFont="1" applyNumberFormat="1">
      <alignment horizontal="center"/>
    </xf>
    <xf borderId="1" fillId="2" fontId="135" numFmtId="0" xfId="0" applyBorder="1" applyFill="1" applyFont="1"/>
    <xf borderId="95" fillId="2" fontId="14" numFmtId="0" xfId="0" applyAlignment="1" applyBorder="1" applyFill="1" applyFont="1">
      <alignment horizontal="right"/>
    </xf>
    <xf borderId="96" fillId="17" fontId="33" numFmtId="0" xfId="0" applyAlignment="1" applyBorder="1" applyFill="1" applyFont="1">
      <alignment horizontal="left" vertical="center"/>
    </xf>
    <xf borderId="97" fillId="2" fontId="14" numFmtId="0" xfId="0" applyAlignment="1" applyBorder="1" applyFill="1" applyFont="1">
      <alignment horizontal="right"/>
    </xf>
    <xf borderId="1" fillId="17" fontId="1" numFmtId="38" xfId="0" applyAlignment="1" applyBorder="1" applyFill="1" applyFont="1" applyNumberFormat="1">
      <alignment horizontal="center" vertical="center"/>
    </xf>
    <xf borderId="97" fillId="2" fontId="14" numFmtId="166" xfId="0" applyAlignment="1" applyBorder="1" applyFill="1" applyFont="1" applyNumberFormat="1">
      <alignment horizontal="right"/>
    </xf>
    <xf borderId="97" fillId="2" fontId="136" numFmtId="0" xfId="0" applyAlignment="1" applyBorder="1" applyFill="1" applyFont="1">
      <alignment horizontal="center"/>
    </xf>
    <xf borderId="7" fillId="17" fontId="1" numFmtId="38" xfId="0" applyAlignment="1" applyBorder="1" applyFill="1" applyFont="1" applyNumberFormat="1">
      <alignment horizontal="center" vertical="top"/>
    </xf>
    <xf borderId="98" fillId="0" fontId="10" numFmtId="0" xfId="0" applyBorder="1" applyFont="1"/>
    <xf borderId="1" fillId="2" fontId="1" numFmtId="37" xfId="0" applyAlignment="1" applyBorder="1" applyFill="1" applyFont="1" applyNumberFormat="1">
      <alignment horizontal="right"/>
    </xf>
    <xf borderId="97" fillId="2" fontId="101" numFmtId="166" xfId="0" applyAlignment="1" applyBorder="1" applyFill="1" applyFont="1" applyNumberFormat="1">
      <alignment horizontal="right"/>
    </xf>
    <xf borderId="97" fillId="2" fontId="137" numFmtId="166" xfId="0" applyAlignment="1" applyBorder="1" applyFill="1" applyFont="1" applyNumberFormat="1">
      <alignment horizontal="right"/>
    </xf>
    <xf borderId="99" fillId="17" fontId="33" numFmtId="0" xfId="0" applyAlignment="1" applyBorder="1" applyFill="1" applyFont="1">
      <alignment horizontal="center" vertical="center"/>
    </xf>
    <xf borderId="54" fillId="17" fontId="75" numFmtId="169" xfId="0" applyAlignment="1" applyBorder="1" applyFill="1" applyFont="1" applyNumberFormat="1">
      <alignment horizontal="center" vertical="center"/>
    </xf>
    <xf borderId="12" fillId="17" fontId="1" numFmtId="169" xfId="0" applyAlignment="1" applyBorder="1" applyFill="1" applyFont="1" applyNumberFormat="1">
      <alignment horizontal="center" vertical="center"/>
    </xf>
    <xf borderId="100" fillId="0" fontId="10" numFmtId="0" xfId="0" applyBorder="1" applyFont="1"/>
    <xf borderId="1" fillId="2" fontId="138" numFmtId="37" xfId="0" applyBorder="1" applyFill="1" applyFont="1" applyNumberFormat="1"/>
    <xf borderId="67" fillId="2" fontId="124" numFmtId="0" xfId="0" applyAlignment="1" applyBorder="1" applyFill="1" applyFont="1">
      <alignment horizontal="right" vertical="center"/>
    </xf>
    <xf borderId="1" fillId="2" fontId="36" numFmtId="0" xfId="0" applyAlignment="1" applyBorder="1" applyFill="1" applyFont="1">
      <alignment horizontal="right" vertical="center"/>
    </xf>
    <xf borderId="1" fillId="2" fontId="124" numFmtId="169" xfId="0" applyAlignment="1" applyBorder="1" applyFill="1" applyFont="1" applyNumberFormat="1">
      <alignment horizontal="right" vertical="center"/>
    </xf>
    <xf borderId="101" fillId="0" fontId="10" numFmtId="0" xfId="0" applyBorder="1" applyFont="1"/>
    <xf borderId="102" fillId="0" fontId="10" numFmtId="0" xfId="0" applyBorder="1" applyFont="1"/>
    <xf borderId="103" fillId="0" fontId="10" numFmtId="0" xfId="0" applyBorder="1" applyFont="1"/>
    <xf borderId="104" fillId="0" fontId="10" numFmtId="0" xfId="0" applyBorder="1" applyFont="1"/>
    <xf borderId="105" fillId="0" fontId="10" numFmtId="0" xfId="0" applyBorder="1" applyFont="1"/>
    <xf borderId="106" fillId="0" fontId="10" numFmtId="0" xfId="0" applyBorder="1" applyFont="1"/>
    <xf borderId="1" fillId="2" fontId="36" numFmtId="166" xfId="0" applyAlignment="1" applyBorder="1" applyFill="1" applyFont="1" applyNumberFormat="1">
      <alignment horizontal="right" vertical="center"/>
    </xf>
    <xf borderId="46" fillId="2" fontId="36" numFmtId="37" xfId="0" applyAlignment="1" applyBorder="1" applyFill="1" applyFont="1" applyNumberFormat="1">
      <alignment vertical="center"/>
    </xf>
    <xf borderId="1" fillId="2" fontId="139" numFmtId="169" xfId="0" applyAlignment="1" applyBorder="1" applyFill="1" applyFont="1" applyNumberFormat="1">
      <alignment horizontal="right" vertical="center"/>
    </xf>
    <xf borderId="1" fillId="2" fontId="35" numFmtId="169" xfId="0" applyAlignment="1" applyBorder="1" applyFill="1" applyFont="1" applyNumberFormat="1">
      <alignment horizontal="right" vertical="center"/>
    </xf>
    <xf borderId="1" fillId="2" fontId="125" numFmtId="169" xfId="0" applyAlignment="1" applyBorder="1" applyFill="1" applyFont="1" applyNumberFormat="1">
      <alignment horizontal="right" vertical="center"/>
    </xf>
    <xf borderId="1" fillId="2" fontId="140" numFmtId="169" xfId="0" applyAlignment="1" applyBorder="1" applyFill="1" applyFont="1" applyNumberFormat="1">
      <alignment horizontal="right" vertical="center"/>
    </xf>
    <xf borderId="1" fillId="2" fontId="101" numFmtId="166" xfId="0" applyAlignment="1" applyBorder="1" applyFill="1" applyFont="1" applyNumberFormat="1">
      <alignment horizontal="right" vertical="center"/>
    </xf>
    <xf borderId="1" fillId="2" fontId="1" numFmtId="38" xfId="0" applyAlignment="1" applyBorder="1" applyFill="1" applyFont="1" applyNumberFormat="1">
      <alignment horizontal="right"/>
    </xf>
    <xf borderId="67" fillId="2" fontId="1" numFmtId="0" xfId="0" applyAlignment="1" applyBorder="1" applyFill="1" applyFont="1">
      <alignment horizontal="right" vertical="center"/>
    </xf>
    <xf borderId="1" fillId="2" fontId="141" numFmtId="0" xfId="0" applyAlignment="1" applyBorder="1" applyFill="1" applyFont="1">
      <alignment horizontal="right"/>
    </xf>
    <xf borderId="1" fillId="2" fontId="124" numFmtId="0" xfId="0" applyBorder="1" applyFill="1" applyFont="1"/>
    <xf borderId="91" fillId="8" fontId="142" numFmtId="175" xfId="0" applyAlignment="1" applyBorder="1" applyFill="1" applyFont="1" applyNumberFormat="1">
      <alignment horizontal="center" vertical="center"/>
    </xf>
    <xf borderId="1" fillId="2" fontId="140" numFmtId="169" xfId="0" applyAlignment="1" applyBorder="1" applyFill="1" applyFont="1" applyNumberFormat="1">
      <alignment horizontal="right"/>
    </xf>
    <xf borderId="1" fillId="2" fontId="95" numFmtId="0" xfId="0" applyAlignment="1" applyBorder="1" applyFill="1" applyFont="1">
      <alignment horizontal="left"/>
    </xf>
    <xf borderId="1" fillId="2" fontId="55" numFmtId="166" xfId="0" applyAlignment="1" applyBorder="1" applyFill="1" applyFont="1" applyNumberFormat="1">
      <alignment horizontal="right"/>
    </xf>
    <xf borderId="1" fillId="2" fontId="36" numFmtId="0" xfId="0" applyAlignment="1" applyBorder="1" applyFill="1" applyFont="1">
      <alignment horizontal="right"/>
    </xf>
    <xf borderId="1" fillId="2" fontId="124" numFmtId="169" xfId="0" applyAlignment="1" applyBorder="1" applyFill="1" applyFont="1" applyNumberFormat="1">
      <alignment horizontal="right"/>
    </xf>
    <xf borderId="1" fillId="2" fontId="143" numFmtId="0" xfId="0" applyAlignment="1" applyBorder="1" applyFill="1" applyFont="1">
      <alignment horizontal="center"/>
    </xf>
    <xf borderId="1" fillId="2" fontId="1" numFmtId="166" xfId="0" applyAlignment="1" applyBorder="1" applyFill="1" applyFont="1" applyNumberFormat="1">
      <alignment horizontal="center" vertical="center"/>
    </xf>
    <xf borderId="1" fillId="2" fontId="139" numFmtId="169" xfId="0" applyAlignment="1" applyBorder="1" applyFill="1" applyFont="1" applyNumberFormat="1">
      <alignment horizontal="right"/>
    </xf>
    <xf borderId="1" fillId="2" fontId="35" numFmtId="169" xfId="0" applyAlignment="1" applyBorder="1" applyFill="1" applyFont="1" applyNumberFormat="1">
      <alignment horizontal="right"/>
    </xf>
    <xf borderId="1" fillId="2" fontId="125" numFmtId="169" xfId="0" applyAlignment="1" applyBorder="1" applyFill="1" applyFont="1" applyNumberFormat="1">
      <alignment horizontal="right"/>
    </xf>
    <xf borderId="1" fillId="2" fontId="120" numFmtId="169" xfId="0" applyAlignment="1" applyBorder="1" applyFill="1" applyFont="1" applyNumberFormat="1">
      <alignment horizontal="right" vertical="center"/>
    </xf>
    <xf borderId="1" fillId="2" fontId="144" numFmtId="166" xfId="0" applyAlignment="1" applyBorder="1" applyFill="1" applyFont="1" applyNumberFormat="1">
      <alignment horizontal="right"/>
    </xf>
    <xf borderId="1" fillId="2" fontId="1" numFmtId="1" xfId="0" applyAlignment="1" applyBorder="1" applyFill="1" applyFont="1" applyNumberFormat="1">
      <alignment horizontal="center" vertical="center"/>
    </xf>
    <xf borderId="74" fillId="2" fontId="124" numFmtId="0" xfId="0" applyAlignment="1" applyBorder="1" applyFill="1" applyFont="1">
      <alignment horizontal="right" vertical="center"/>
    </xf>
    <xf borderId="39" fillId="2" fontId="36" numFmtId="0" xfId="0" applyAlignment="1" applyBorder="1" applyFill="1" applyFont="1">
      <alignment horizontal="right" vertical="center"/>
    </xf>
    <xf borderId="39" fillId="2" fontId="124" numFmtId="169" xfId="0" applyAlignment="1" applyBorder="1" applyFill="1" applyFont="1" applyNumberFormat="1">
      <alignment horizontal="right" vertical="center"/>
    </xf>
    <xf borderId="39" fillId="2" fontId="145" numFmtId="0" xfId="0" applyAlignment="1" applyBorder="1" applyFill="1" applyFont="1">
      <alignment horizontal="center"/>
    </xf>
    <xf borderId="39" fillId="2" fontId="139" numFmtId="169" xfId="0" applyAlignment="1" applyBorder="1" applyFill="1" applyFont="1" applyNumberFormat="1">
      <alignment horizontal="right" vertical="center"/>
    </xf>
    <xf borderId="39" fillId="2" fontId="35" numFmtId="169" xfId="0" applyAlignment="1" applyBorder="1" applyFill="1" applyFont="1" applyNumberFormat="1">
      <alignment horizontal="right" vertical="center"/>
    </xf>
    <xf borderId="39" fillId="2" fontId="125" numFmtId="169" xfId="0" applyAlignment="1" applyBorder="1" applyFill="1" applyFont="1" applyNumberFormat="1">
      <alignment horizontal="right" vertical="center"/>
    </xf>
    <xf borderId="1" fillId="2" fontId="75" numFmtId="167" xfId="0" applyBorder="1" applyFill="1" applyFont="1" applyNumberFormat="1"/>
    <xf borderId="39" fillId="2" fontId="140" numFmtId="169" xfId="0" applyAlignment="1" applyBorder="1" applyFill="1" applyFont="1" applyNumberFormat="1">
      <alignment horizontal="right"/>
    </xf>
    <xf borderId="39" fillId="2" fontId="120" numFmtId="169" xfId="0" applyAlignment="1" applyBorder="1" applyFill="1" applyFont="1" applyNumberFormat="1">
      <alignment horizontal="right" vertical="center"/>
    </xf>
    <xf borderId="39" fillId="2" fontId="146" numFmtId="166" xfId="0" applyAlignment="1" applyBorder="1" applyFill="1" applyFont="1" applyNumberFormat="1">
      <alignment horizontal="right"/>
    </xf>
    <xf borderId="1" fillId="2" fontId="147" numFmtId="168" xfId="0" applyBorder="1" applyFill="1" applyFont="1" applyNumberFormat="1"/>
    <xf borderId="1" fillId="2" fontId="59" numFmtId="168" xfId="0" applyBorder="1" applyFill="1" applyFont="1" applyNumberFormat="1"/>
    <xf borderId="1" fillId="2" fontId="72" numFmtId="181" xfId="0" applyAlignment="1" applyBorder="1" applyFill="1" applyFont="1" applyNumberFormat="1">
      <alignment horizontal="center" vertical="center"/>
    </xf>
    <xf borderId="12" fillId="2" fontId="15" numFmtId="0" xfId="0" applyAlignment="1" applyBorder="1" applyFill="1" applyFont="1">
      <alignment horizontal="left" shrinkToFit="0" vertical="center" wrapText="1"/>
    </xf>
    <xf borderId="64" fillId="8" fontId="20" numFmtId="0" xfId="0" applyBorder="1" applyFill="1" applyFont="1"/>
    <xf borderId="50" fillId="8" fontId="36" numFmtId="0" xfId="0" applyAlignment="1" applyBorder="1" applyFill="1" applyFont="1">
      <alignment vertical="top"/>
    </xf>
    <xf borderId="50" fillId="8" fontId="70" numFmtId="0" xfId="0" applyAlignment="1" applyBorder="1" applyFill="1" applyFont="1">
      <alignment horizontal="center"/>
    </xf>
    <xf borderId="50" fillId="8" fontId="15" numFmtId="0" xfId="0" applyBorder="1" applyFill="1" applyFont="1"/>
    <xf borderId="65" fillId="8" fontId="1" numFmtId="0" xfId="0" applyBorder="1" applyFill="1" applyFont="1"/>
    <xf borderId="107" fillId="0" fontId="10" numFmtId="0" xfId="0" applyBorder="1" applyFont="1"/>
    <xf borderId="67" fillId="8" fontId="20" numFmtId="0" xfId="0" applyBorder="1" applyFill="1" applyFont="1"/>
    <xf borderId="12" fillId="8" fontId="15" numFmtId="0" xfId="0" applyAlignment="1" applyBorder="1" applyFill="1" applyFont="1">
      <alignment horizontal="left" shrinkToFit="0" wrapText="1"/>
    </xf>
    <xf borderId="7" fillId="8" fontId="103" numFmtId="166" xfId="0" applyAlignment="1" applyBorder="1" applyFill="1" applyFont="1" applyNumberFormat="1">
      <alignment horizontal="center" shrinkToFit="0" wrapText="1"/>
    </xf>
    <xf borderId="1" fillId="8" fontId="103" numFmtId="0" xfId="0" applyAlignment="1" applyBorder="1" applyFill="1" applyFont="1">
      <alignment horizontal="center"/>
    </xf>
    <xf borderId="1" fillId="8" fontId="103" numFmtId="0" xfId="0" applyAlignment="1" applyBorder="1" applyFill="1" applyFont="1">
      <alignment horizontal="center" shrinkToFit="0" wrapText="1"/>
    </xf>
    <xf borderId="1" fillId="8" fontId="15" numFmtId="0" xfId="0" applyAlignment="1" applyBorder="1" applyFill="1" applyFont="1">
      <alignment horizontal="center"/>
    </xf>
    <xf borderId="1" fillId="8" fontId="15" numFmtId="0" xfId="0" applyBorder="1" applyFill="1" applyFont="1"/>
    <xf borderId="68" fillId="8" fontId="1" numFmtId="0" xfId="0" applyBorder="1" applyFill="1" applyFont="1"/>
    <xf borderId="1" fillId="2" fontId="148" numFmtId="167" xfId="0" applyBorder="1" applyFill="1" applyFont="1" applyNumberFormat="1"/>
    <xf borderId="108" fillId="12" fontId="149" numFmtId="0" xfId="0" applyAlignment="1" applyBorder="1" applyFill="1" applyFont="1">
      <alignment horizontal="left" shrinkToFit="0" vertical="top" wrapText="1"/>
    </xf>
    <xf borderId="109" fillId="0" fontId="10" numFmtId="0" xfId="0" applyBorder="1" applyFont="1"/>
    <xf borderId="110" fillId="0" fontId="10" numFmtId="0" xfId="0" applyBorder="1" applyFont="1"/>
    <xf borderId="1" fillId="2" fontId="150" numFmtId="167" xfId="0" applyAlignment="1" applyBorder="1" applyFill="1" applyFont="1" applyNumberFormat="1">
      <alignment horizontal="right"/>
    </xf>
    <xf borderId="68" fillId="2" fontId="32" numFmtId="0" xfId="0" applyAlignment="1" applyBorder="1" applyFill="1" applyFont="1">
      <alignment shrinkToFit="0" vertical="top" wrapText="1"/>
    </xf>
    <xf borderId="67" fillId="8" fontId="20" numFmtId="0" xfId="0" applyAlignment="1" applyBorder="1" applyFill="1" applyFont="1">
      <alignment horizontal="center"/>
    </xf>
    <xf borderId="2" fillId="3" fontId="74" numFmtId="167" xfId="0" applyAlignment="1" applyBorder="1" applyFill="1" applyFont="1" applyNumberFormat="1">
      <alignment horizontal="center" vertical="center"/>
    </xf>
    <xf borderId="1" fillId="8" fontId="74" numFmtId="166" xfId="0" applyAlignment="1" applyBorder="1" applyFill="1" applyFont="1" applyNumberFormat="1">
      <alignment horizontal="right" vertical="center"/>
    </xf>
    <xf borderId="2" fillId="3" fontId="74" numFmtId="170" xfId="0" applyAlignment="1" applyBorder="1" applyFill="1" applyFont="1" applyNumberFormat="1">
      <alignment horizontal="center" vertical="center"/>
    </xf>
    <xf borderId="1" fillId="8" fontId="15" numFmtId="0" xfId="0" applyAlignment="1" applyBorder="1" applyFill="1" applyFont="1">
      <alignment horizontal="center" vertical="center"/>
    </xf>
    <xf borderId="1" fillId="8" fontId="15" numFmtId="0" xfId="0" applyAlignment="1" applyBorder="1" applyFill="1" applyFont="1">
      <alignment horizontal="left" vertical="center"/>
    </xf>
    <xf borderId="1" fillId="2" fontId="151" numFmtId="0" xfId="0" applyAlignment="1" applyBorder="1" applyFill="1" applyFont="1">
      <alignment horizontal="right"/>
    </xf>
    <xf borderId="67" fillId="8" fontId="152" numFmtId="166" xfId="0" applyBorder="1" applyFill="1" applyFont="1" applyNumberFormat="1"/>
    <xf borderId="1" fillId="8" fontId="84" numFmtId="166" xfId="0" applyBorder="1" applyFill="1" applyFont="1" applyNumberFormat="1"/>
    <xf borderId="1" fillId="8" fontId="79" numFmtId="166" xfId="0" applyAlignment="1" applyBorder="1" applyFill="1" applyFont="1" applyNumberFormat="1">
      <alignment horizontal="left"/>
    </xf>
    <xf borderId="1" fillId="8" fontId="79" numFmtId="166" xfId="0" applyAlignment="1" applyBorder="1" applyFill="1" applyFont="1" applyNumberFormat="1">
      <alignment horizontal="right"/>
    </xf>
    <xf borderId="68" fillId="8" fontId="152" numFmtId="166" xfId="0" applyBorder="1" applyFill="1" applyFont="1" applyNumberFormat="1"/>
    <xf borderId="74" fillId="8" fontId="153" numFmtId="167" xfId="0" applyAlignment="1" applyBorder="1" applyFill="1" applyFont="1" applyNumberFormat="1">
      <alignment horizontal="right"/>
    </xf>
    <xf borderId="39" fillId="8" fontId="154" numFmtId="168" xfId="0" applyBorder="1" applyFill="1" applyFont="1" applyNumberFormat="1"/>
    <xf borderId="39" fillId="8" fontId="155" numFmtId="167" xfId="0" applyAlignment="1" applyBorder="1" applyFill="1" applyFont="1" applyNumberFormat="1">
      <alignment horizontal="center"/>
    </xf>
    <xf borderId="39" fillId="8" fontId="156" numFmtId="167" xfId="0" applyAlignment="1" applyBorder="1" applyFill="1" applyFont="1" applyNumberFormat="1">
      <alignment horizontal="right"/>
    </xf>
    <xf borderId="111" fillId="3" fontId="17" numFmtId="167" xfId="0" applyAlignment="1" applyBorder="1" applyFill="1" applyFont="1" applyNumberFormat="1">
      <alignment horizontal="right"/>
    </xf>
    <xf borderId="112" fillId="8" fontId="17" numFmtId="166" xfId="0" applyAlignment="1" applyBorder="1" applyFill="1" applyFont="1" applyNumberFormat="1">
      <alignment horizontal="center"/>
    </xf>
    <xf borderId="73" fillId="8" fontId="1" numFmtId="0" xfId="0" applyBorder="1" applyFill="1" applyFont="1"/>
    <xf borderId="1" fillId="2" fontId="157" numFmtId="167" xfId="0" applyAlignment="1" applyBorder="1" applyFill="1" applyFont="1" applyNumberFormat="1">
      <alignment horizontal="center"/>
    </xf>
    <xf borderId="1" fillId="2" fontId="158" numFmtId="167" xfId="0" applyAlignment="1" applyBorder="1" applyFill="1" applyFont="1" applyNumberFormat="1">
      <alignment horizontal="right"/>
    </xf>
    <xf borderId="1" fillId="2" fontId="35" numFmtId="167" xfId="0" applyAlignment="1" applyBorder="1" applyFill="1" applyFont="1" applyNumberFormat="1">
      <alignment horizontal="right"/>
    </xf>
    <xf borderId="1" fillId="2" fontId="159" numFmtId="0" xfId="0" applyAlignment="1" applyBorder="1" applyFill="1" applyFont="1">
      <alignment horizontal="center"/>
    </xf>
    <xf borderId="1" fillId="2" fontId="160" numFmtId="0" xfId="0" applyAlignment="1" applyBorder="1" applyFill="1" applyFont="1">
      <alignment horizontal="right"/>
    </xf>
    <xf borderId="1" fillId="2" fontId="71" numFmtId="166" xfId="0" applyAlignment="1" applyBorder="1" applyFill="1" applyFont="1" applyNumberFormat="1">
      <alignment horizontal="right"/>
    </xf>
    <xf borderId="1" fillId="2" fontId="1" numFmtId="169" xfId="0" applyAlignment="1" applyBorder="1" applyFill="1" applyFont="1" applyNumberFormat="1">
      <alignment horizontal="center" vertical="center"/>
    </xf>
    <xf borderId="1" fillId="2" fontId="1" numFmtId="185" xfId="0" applyAlignment="1" applyBorder="1" applyFill="1" applyFont="1" applyNumberFormat="1">
      <alignment horizontal="right"/>
    </xf>
    <xf borderId="1" fillId="2" fontId="161" numFmtId="168" xfId="0" applyBorder="1" applyFill="1" applyFont="1" applyNumberFormat="1"/>
    <xf borderId="1" fillId="2" fontId="57" numFmtId="168" xfId="0" applyBorder="1" applyFill="1" applyFont="1" applyNumberFormat="1"/>
    <xf borderId="1" fillId="2" fontId="32" numFmtId="169" xfId="0" applyAlignment="1" applyBorder="1" applyFill="1" applyFont="1" applyNumberFormat="1">
      <alignment horizontal="center"/>
    </xf>
    <xf borderId="1" fillId="2" fontId="77" numFmtId="0" xfId="0" applyAlignment="1" applyBorder="1" applyFill="1" applyFont="1">
      <alignment vertical="top"/>
    </xf>
    <xf borderId="1" fillId="2" fontId="1" numFmtId="168" xfId="0" applyBorder="1" applyFill="1" applyFont="1" applyNumberFormat="1"/>
    <xf borderId="1" fillId="2" fontId="57" numFmtId="168" xfId="0" applyAlignment="1" applyBorder="1" applyFill="1" applyFont="1" applyNumberFormat="1">
      <alignment horizontal="center"/>
    </xf>
    <xf borderId="113" fillId="2" fontId="71" numFmtId="166" xfId="0" applyAlignment="1" applyBorder="1" applyFill="1" applyFont="1" applyNumberFormat="1">
      <alignment vertical="center"/>
    </xf>
    <xf borderId="97" fillId="2" fontId="89" numFmtId="186" xfId="0" applyAlignment="1" applyBorder="1" applyFill="1" applyFont="1" applyNumberFormat="1">
      <alignment horizontal="right"/>
    </xf>
    <xf borderId="1" fillId="2" fontId="71" numFmtId="187" xfId="0" applyAlignment="1" applyBorder="1" applyFill="1" applyFont="1" applyNumberFormat="1">
      <alignment horizontal="right"/>
    </xf>
    <xf borderId="1" fillId="2" fontId="12" numFmtId="168" xfId="0" applyBorder="1" applyFill="1" applyFont="1" applyNumberFormat="1"/>
    <xf borderId="1" fillId="2" fontId="20" numFmtId="168" xfId="0" applyBorder="1" applyFill="1" applyFont="1" applyNumberFormat="1"/>
    <xf borderId="1" fillId="2" fontId="20" numFmtId="166" xfId="0" applyBorder="1" applyFill="1" applyFont="1" applyNumberFormat="1"/>
    <xf borderId="1" fillId="2" fontId="53" numFmtId="168" xfId="0" applyAlignment="1" applyBorder="1" applyFill="1" applyFont="1" applyNumberFormat="1">
      <alignment horizontal="right" vertical="center"/>
    </xf>
    <xf borderId="1" fillId="2" fontId="53" numFmtId="168" xfId="0" applyAlignment="1" applyBorder="1" applyFill="1" applyFont="1" applyNumberFormat="1">
      <alignment vertical="center"/>
    </xf>
    <xf borderId="1" fillId="2" fontId="53" numFmtId="168" xfId="0" applyBorder="1" applyFill="1" applyFont="1" applyNumberFormat="1"/>
    <xf borderId="1" fillId="2" fontId="162" numFmtId="169" xfId="0" applyAlignment="1" applyBorder="1" applyFill="1" applyFont="1" applyNumberFormat="1">
      <alignment horizontal="center"/>
    </xf>
    <xf borderId="1" fillId="2" fontId="163" numFmtId="168" xfId="0" applyBorder="1" applyFill="1" applyFont="1" applyNumberFormat="1"/>
    <xf borderId="1" fillId="2" fontId="164" numFmtId="168" xfId="0" applyBorder="1" applyFill="1" applyFont="1" applyNumberFormat="1"/>
    <xf borderId="1" fillId="2" fontId="164" numFmtId="166" xfId="0" applyBorder="1" applyFill="1" applyFont="1" applyNumberFormat="1"/>
    <xf borderId="1" fillId="2" fontId="163" numFmtId="166" xfId="0" applyBorder="1" applyFill="1" applyFont="1" applyNumberFormat="1"/>
    <xf borderId="1" fillId="2" fontId="164" numFmtId="0" xfId="0" applyBorder="1" applyFill="1" applyFont="1"/>
    <xf borderId="30" fillId="4" fontId="9" numFmtId="168" xfId="0" applyAlignment="1" applyBorder="1" applyFill="1" applyFont="1" applyNumberFormat="1">
      <alignment horizontal="center" vertical="center"/>
    </xf>
    <xf borderId="1" fillId="2" fontId="21" numFmtId="168" xfId="0" applyAlignment="1" applyBorder="1" applyFill="1" applyFont="1" applyNumberFormat="1">
      <alignment vertical="center"/>
    </xf>
    <xf borderId="1" fillId="2" fontId="89" numFmtId="186" xfId="0" applyAlignment="1" applyBorder="1" applyFill="1" applyFont="1" applyNumberFormat="1">
      <alignment horizontal="right"/>
    </xf>
    <xf borderId="1" fillId="17" fontId="1" numFmtId="38" xfId="0" applyAlignment="1" applyBorder="1" applyFill="1" applyFont="1" applyNumberFormat="1">
      <alignment horizontal="center"/>
    </xf>
    <xf borderId="1" fillId="2" fontId="165" numFmtId="169" xfId="0" applyAlignment="1" applyBorder="1" applyFill="1" applyFont="1" applyNumberFormat="1">
      <alignment horizontal="center" vertical="center"/>
    </xf>
    <xf borderId="1" fillId="2" fontId="21" numFmtId="168" xfId="0" applyAlignment="1" applyBorder="1" applyFill="1" applyFont="1" applyNumberFormat="1">
      <alignment horizontal="center" vertical="center"/>
    </xf>
    <xf borderId="1" fillId="2" fontId="166" numFmtId="168" xfId="0" applyAlignment="1" applyBorder="1" applyFill="1" applyFont="1" applyNumberFormat="1">
      <alignment horizontal="center" vertical="center"/>
    </xf>
    <xf borderId="1" fillId="2" fontId="167" numFmtId="168" xfId="0" applyBorder="1" applyFill="1" applyFont="1" applyNumberFormat="1"/>
    <xf borderId="1" fillId="2" fontId="168" numFmtId="168" xfId="0" applyBorder="1" applyFill="1" applyFont="1" applyNumberFormat="1"/>
    <xf borderId="114" fillId="0" fontId="17" numFmtId="166" xfId="0" applyAlignment="1" applyBorder="1" applyFont="1" applyNumberFormat="1">
      <alignment horizontal="right"/>
    </xf>
    <xf borderId="115" fillId="2" fontId="116" numFmtId="166" xfId="0" applyAlignment="1" applyBorder="1" applyFill="1" applyFont="1" applyNumberFormat="1">
      <alignment horizontal="center" vertical="center"/>
    </xf>
    <xf borderId="39" fillId="2" fontId="1" numFmtId="168" xfId="0" applyBorder="1" applyFill="1" applyFont="1" applyNumberFormat="1"/>
    <xf borderId="39" fillId="2" fontId="1" numFmtId="166" xfId="0" applyBorder="1" applyFill="1" applyFont="1" applyNumberFormat="1"/>
    <xf borderId="116" fillId="0" fontId="10" numFmtId="0" xfId="0" applyBorder="1" applyFont="1"/>
    <xf borderId="1" fillId="2" fontId="1" numFmtId="168" xfId="0" applyAlignment="1" applyBorder="1" applyFill="1" applyFont="1" applyNumberFormat="1">
      <alignment horizontal="center"/>
    </xf>
    <xf borderId="1" fillId="2" fontId="151" numFmtId="0" xfId="0" applyBorder="1" applyFill="1" applyFont="1"/>
    <xf borderId="7" fillId="2" fontId="169" numFmtId="168" xfId="0" applyAlignment="1" applyBorder="1" applyFill="1" applyFont="1" applyNumberFormat="1">
      <alignment horizontal="center"/>
    </xf>
    <xf borderId="64" fillId="8" fontId="45" numFmtId="0" xfId="0" applyBorder="1" applyFill="1" applyFont="1"/>
    <xf borderId="50" fillId="8" fontId="45" numFmtId="0" xfId="0" applyBorder="1" applyFill="1" applyFont="1"/>
    <xf borderId="50" fillId="8" fontId="164" numFmtId="0" xfId="0" applyBorder="1" applyFill="1" applyFont="1"/>
    <xf borderId="39" fillId="2" fontId="71" numFmtId="166" xfId="0" applyBorder="1" applyFill="1" applyFont="1" applyNumberFormat="1"/>
    <xf borderId="65" fillId="8" fontId="164" numFmtId="0" xfId="0" applyBorder="1" applyFill="1" applyFont="1"/>
    <xf borderId="64" fillId="8" fontId="164" numFmtId="0" xfId="0" applyBorder="1" applyFill="1" applyFont="1"/>
    <xf borderId="67" fillId="8" fontId="45" numFmtId="0" xfId="0" applyBorder="1" applyFill="1" applyFont="1"/>
    <xf borderId="12" fillId="8" fontId="45" numFmtId="0" xfId="0" applyAlignment="1" applyBorder="1" applyFill="1" applyFont="1">
      <alignment horizontal="center" vertical="center"/>
    </xf>
    <xf borderId="1" fillId="8" fontId="164" numFmtId="0" xfId="0" applyBorder="1" applyFill="1" applyFont="1"/>
    <xf borderId="68" fillId="8" fontId="164" numFmtId="0" xfId="0" applyBorder="1" applyFill="1" applyFont="1"/>
    <xf borderId="67" fillId="8" fontId="164" numFmtId="0" xfId="0" applyBorder="1" applyFill="1" applyFont="1"/>
    <xf borderId="1" fillId="8" fontId="45" numFmtId="0" xfId="0" applyAlignment="1" applyBorder="1" applyFill="1" applyFont="1">
      <alignment horizontal="left"/>
    </xf>
    <xf borderId="1" fillId="8" fontId="45" numFmtId="0" xfId="0" applyBorder="1" applyFill="1" applyFont="1"/>
    <xf borderId="1" fillId="8" fontId="45" numFmtId="0" xfId="0" applyAlignment="1" applyBorder="1" applyFill="1" applyFont="1">
      <alignment vertical="center"/>
    </xf>
    <xf borderId="1" fillId="8" fontId="164" numFmtId="174" xfId="0" applyAlignment="1" applyBorder="1" applyFill="1" applyFont="1" applyNumberFormat="1">
      <alignment vertical="center"/>
    </xf>
    <xf borderId="1" fillId="8" fontId="45" numFmtId="168" xfId="0" applyAlignment="1" applyBorder="1" applyFill="1" applyFont="1" applyNumberFormat="1">
      <alignment horizontal="left" vertical="center"/>
    </xf>
    <xf borderId="1" fillId="8" fontId="164" numFmtId="171" xfId="0" applyBorder="1" applyFill="1" applyFont="1" applyNumberFormat="1"/>
    <xf borderId="67" fillId="8" fontId="45" numFmtId="0" xfId="0" applyAlignment="1" applyBorder="1" applyFill="1" applyFont="1">
      <alignment vertical="center"/>
    </xf>
    <xf borderId="68" fillId="8" fontId="45" numFmtId="0" xfId="0" applyAlignment="1" applyBorder="1" applyFill="1" applyFont="1">
      <alignment vertical="center"/>
    </xf>
    <xf borderId="67" fillId="8" fontId="1" numFmtId="0" xfId="0" applyBorder="1" applyFill="1" applyFont="1"/>
    <xf borderId="1" fillId="8" fontId="1" numFmtId="0" xfId="0" applyAlignment="1" applyBorder="1" applyFill="1" applyFont="1">
      <alignment horizontal="right" vertical="center"/>
    </xf>
    <xf borderId="1" fillId="8" fontId="36" numFmtId="0" xfId="0" applyAlignment="1" applyBorder="1" applyFill="1" applyFont="1">
      <alignment vertical="center"/>
    </xf>
    <xf borderId="1" fillId="8" fontId="1" numFmtId="174" xfId="0" applyAlignment="1" applyBorder="1" applyFill="1" applyFont="1" applyNumberFormat="1">
      <alignment vertical="center"/>
    </xf>
    <xf borderId="1" fillId="8" fontId="170" numFmtId="0" xfId="0" applyAlignment="1" applyBorder="1" applyFill="1" applyFont="1">
      <alignment horizontal="right"/>
    </xf>
    <xf borderId="1" fillId="8" fontId="1" numFmtId="171" xfId="0" applyBorder="1" applyFill="1" applyFont="1" applyNumberFormat="1"/>
    <xf borderId="1" fillId="8" fontId="1" numFmtId="0" xfId="0" applyAlignment="1" applyBorder="1" applyFill="1" applyFont="1">
      <alignment horizontal="left"/>
    </xf>
    <xf borderId="1" fillId="8" fontId="1" numFmtId="174" xfId="0" applyAlignment="1" applyBorder="1" applyFill="1" applyFont="1" applyNumberFormat="1">
      <alignment horizontal="right"/>
    </xf>
    <xf borderId="68" fillId="8" fontId="1" numFmtId="174" xfId="0" applyBorder="1" applyFill="1" applyFont="1" applyNumberFormat="1"/>
    <xf borderId="117" fillId="2" fontId="89" numFmtId="186" xfId="0" applyAlignment="1" applyBorder="1" applyFill="1" applyFont="1" applyNumberFormat="1">
      <alignment horizontal="right"/>
    </xf>
    <xf borderId="1" fillId="8" fontId="1" numFmtId="0" xfId="0" applyAlignment="1" applyBorder="1" applyFill="1" applyFont="1">
      <alignment horizontal="center"/>
    </xf>
    <xf borderId="118" fillId="2" fontId="71" numFmtId="166" xfId="0" applyAlignment="1" applyBorder="1" applyFill="1" applyFont="1" applyNumberFormat="1">
      <alignment vertical="center"/>
    </xf>
    <xf borderId="1" fillId="2" fontId="171" numFmtId="168" xfId="0" applyAlignment="1" applyBorder="1" applyFill="1" applyFont="1" applyNumberFormat="1">
      <alignment horizontal="right"/>
    </xf>
    <xf borderId="1" fillId="2" fontId="172" numFmtId="168" xfId="0" applyBorder="1" applyFill="1" applyFont="1" applyNumberFormat="1"/>
    <xf borderId="1" fillId="2" fontId="173" numFmtId="168" xfId="0" applyBorder="1" applyFill="1" applyFont="1" applyNumberFormat="1"/>
    <xf borderId="1" fillId="8" fontId="1" numFmtId="174" xfId="0" applyBorder="1" applyFill="1" applyFont="1" applyNumberFormat="1"/>
    <xf borderId="1" fillId="2" fontId="15" numFmtId="166" xfId="0" applyAlignment="1" applyBorder="1" applyFill="1" applyFont="1" applyNumberFormat="1">
      <alignment horizontal="center"/>
    </xf>
    <xf borderId="117" fillId="2" fontId="89" numFmtId="188" xfId="0" applyAlignment="1" applyBorder="1" applyFill="1" applyFont="1" applyNumberFormat="1">
      <alignment horizontal="right"/>
    </xf>
    <xf borderId="1" fillId="8" fontId="1" numFmtId="169" xfId="0" applyAlignment="1" applyBorder="1" applyFill="1" applyFont="1" applyNumberFormat="1">
      <alignment horizontal="center"/>
    </xf>
    <xf borderId="1" fillId="2" fontId="135" numFmtId="167" xfId="0" applyBorder="1" applyFill="1" applyFont="1" applyNumberFormat="1"/>
    <xf borderId="1" fillId="8" fontId="1" numFmtId="166" xfId="0" applyBorder="1" applyFill="1" applyFont="1" applyNumberFormat="1"/>
    <xf borderId="1" fillId="2" fontId="135" numFmtId="167" xfId="0" applyAlignment="1" applyBorder="1" applyFill="1" applyFont="1" applyNumberFormat="1">
      <alignment horizontal="right"/>
    </xf>
    <xf borderId="1" fillId="2" fontId="174" numFmtId="168" xfId="0" applyAlignment="1" applyBorder="1" applyFill="1" applyFont="1" applyNumberFormat="1">
      <alignment horizontal="right"/>
    </xf>
    <xf borderId="1" fillId="2" fontId="174" numFmtId="168" xfId="0" applyBorder="1" applyFill="1" applyFont="1" applyNumberFormat="1"/>
    <xf borderId="1" fillId="2" fontId="175" numFmtId="168" xfId="0" applyAlignment="1" applyBorder="1" applyFill="1" applyFont="1" applyNumberFormat="1">
      <alignment horizontal="right"/>
    </xf>
    <xf borderId="1" fillId="2" fontId="174" numFmtId="169" xfId="0" applyAlignment="1" applyBorder="1" applyFill="1" applyFont="1" applyNumberFormat="1">
      <alignment horizontal="center"/>
    </xf>
    <xf borderId="39" fillId="2" fontId="15" numFmtId="168" xfId="0" applyAlignment="1" applyBorder="1" applyFill="1" applyFont="1" applyNumberFormat="1">
      <alignment horizontal="center"/>
    </xf>
    <xf borderId="1" fillId="2" fontId="15" numFmtId="168" xfId="0" applyAlignment="1" applyBorder="1" applyFill="1" applyFont="1" applyNumberFormat="1">
      <alignment horizontal="center"/>
    </xf>
    <xf borderId="1" fillId="2" fontId="176" numFmtId="169" xfId="0" applyAlignment="1" applyBorder="1" applyFill="1" applyFont="1" applyNumberFormat="1">
      <alignment horizontal="center"/>
    </xf>
    <xf borderId="39" fillId="2" fontId="15" numFmtId="166" xfId="0" applyAlignment="1" applyBorder="1" applyFill="1" applyFont="1" applyNumberFormat="1">
      <alignment horizontal="center"/>
    </xf>
    <xf borderId="114" fillId="0" fontId="17" numFmtId="166" xfId="0" applyBorder="1" applyFont="1" applyNumberFormat="1"/>
    <xf borderId="97" fillId="2" fontId="89" numFmtId="188" xfId="0" applyAlignment="1" applyBorder="1" applyFill="1" applyFont="1" applyNumberFormat="1">
      <alignment horizontal="right"/>
    </xf>
    <xf borderId="119" fillId="2" fontId="71" numFmtId="166" xfId="0" applyAlignment="1" applyBorder="1" applyFill="1" applyFont="1" applyNumberFormat="1">
      <alignment vertical="center"/>
    </xf>
    <xf borderId="1" fillId="2" fontId="1" numFmtId="169" xfId="0" applyBorder="1" applyFill="1" applyFont="1" applyNumberFormat="1"/>
    <xf borderId="1" fillId="2" fontId="71" numFmtId="166" xfId="0" applyAlignment="1" applyBorder="1" applyFill="1" applyFont="1" applyNumberFormat="1">
      <alignment horizontal="center" vertical="center"/>
    </xf>
    <xf borderId="1" fillId="8" fontId="177" numFmtId="174" xfId="0" applyBorder="1" applyFill="1" applyFont="1" applyNumberFormat="1"/>
    <xf borderId="1" fillId="8" fontId="178" numFmtId="0" xfId="0" applyBorder="1" applyFill="1" applyFont="1"/>
    <xf borderId="1" fillId="8" fontId="179" numFmtId="169" xfId="0" applyAlignment="1" applyBorder="1" applyFill="1" applyFont="1" applyNumberFormat="1">
      <alignment horizontal="center"/>
    </xf>
    <xf quotePrefix="1" borderId="1" fillId="8" fontId="180" numFmtId="0" xfId="0" applyAlignment="1" applyBorder="1" applyFill="1" applyFont="1">
      <alignment horizontal="left"/>
    </xf>
    <xf borderId="1" fillId="8" fontId="181" numFmtId="174" xfId="0" applyAlignment="1" applyBorder="1" applyFill="1" applyFont="1" applyNumberFormat="1">
      <alignment horizontal="right"/>
    </xf>
    <xf borderId="68" fillId="8" fontId="182" numFmtId="174" xfId="0" applyBorder="1" applyFill="1" applyFont="1" applyNumberFormat="1"/>
    <xf borderId="1" fillId="2" fontId="183" numFmtId="168" xfId="0" applyBorder="1" applyFill="1" applyFont="1" applyNumberFormat="1"/>
    <xf borderId="1" fillId="2" fontId="184" numFmtId="166" xfId="0" applyBorder="1" applyFill="1" applyFont="1" applyNumberFormat="1"/>
    <xf borderId="1" fillId="2" fontId="89" numFmtId="188" xfId="0" applyAlignment="1" applyBorder="1" applyFill="1" applyFont="1" applyNumberFormat="1">
      <alignment horizontal="right"/>
    </xf>
    <xf borderId="74" fillId="8" fontId="1" numFmtId="0" xfId="0" applyBorder="1" applyFill="1" applyFont="1"/>
    <xf borderId="39" fillId="8" fontId="1" numFmtId="0" xfId="0" applyAlignment="1" applyBorder="1" applyFill="1" applyFont="1">
      <alignment horizontal="right"/>
    </xf>
    <xf borderId="39" fillId="8" fontId="185" numFmtId="174" xfId="0" applyBorder="1" applyFill="1" applyFont="1" applyNumberFormat="1"/>
    <xf borderId="39" fillId="8" fontId="1" numFmtId="0" xfId="0" applyBorder="1" applyFill="1" applyFont="1"/>
    <xf borderId="39" fillId="8" fontId="186" numFmtId="0" xfId="0" applyBorder="1" applyFill="1" applyFont="1"/>
    <xf borderId="39" fillId="8" fontId="187" numFmtId="169" xfId="0" applyAlignment="1" applyBorder="1" applyFill="1" applyFont="1" applyNumberFormat="1">
      <alignment horizontal="center"/>
    </xf>
    <xf borderId="113" fillId="2" fontId="116" numFmtId="166" xfId="0" applyAlignment="1" applyBorder="1" applyFill="1" applyFont="1" applyNumberFormat="1">
      <alignment horizontal="center" vertical="center"/>
    </xf>
    <xf borderId="39" fillId="8" fontId="1" numFmtId="0" xfId="0" applyAlignment="1" applyBorder="1" applyFill="1" applyFont="1">
      <alignment horizontal="left"/>
    </xf>
    <xf borderId="39" fillId="8" fontId="1" numFmtId="174" xfId="0" applyAlignment="1" applyBorder="1" applyFill="1" applyFont="1" applyNumberFormat="1">
      <alignment horizontal="right"/>
    </xf>
    <xf borderId="73" fillId="8" fontId="188" numFmtId="174" xfId="0" applyBorder="1" applyFill="1" applyFont="1" applyNumberFormat="1"/>
    <xf borderId="1" fillId="2" fontId="189" numFmtId="168" xfId="0" applyBorder="1" applyFill="1" applyFont="1" applyNumberFormat="1"/>
    <xf borderId="1" fillId="2" fontId="190" numFmtId="169" xfId="0" applyAlignment="1" applyBorder="1" applyFill="1" applyFont="1" applyNumberFormat="1">
      <alignment horizontal="center"/>
    </xf>
    <xf borderId="1" fillId="2" fontId="75" numFmtId="166" xfId="0" applyBorder="1" applyFill="1" applyFont="1" applyNumberFormat="1"/>
    <xf borderId="1" fillId="2" fontId="53" numFmtId="168" xfId="0" applyAlignment="1" applyBorder="1" applyFill="1" applyFont="1" applyNumberFormat="1">
      <alignment horizontal="right"/>
    </xf>
    <xf borderId="1" fillId="2" fontId="53" numFmtId="168" xfId="0" applyAlignment="1" applyBorder="1" applyFill="1" applyFont="1" applyNumberFormat="1">
      <alignment horizontal="center"/>
    </xf>
    <xf borderId="1" fillId="2" fontId="53" numFmtId="168" xfId="0" applyAlignment="1" applyBorder="1" applyFill="1" applyFont="1" applyNumberFormat="1">
      <alignment horizontal="left"/>
    </xf>
    <xf borderId="7" fillId="2" fontId="164" numFmtId="168" xfId="0" applyAlignment="1" applyBorder="1" applyFill="1" applyFont="1" applyNumberFormat="1">
      <alignment horizontal="center"/>
    </xf>
    <xf borderId="113" fillId="2" fontId="84" numFmtId="166" xfId="0" applyAlignment="1" applyBorder="1" applyFill="1" applyFont="1" applyNumberFormat="1">
      <alignment horizontal="center" vertical="center"/>
    </xf>
    <xf borderId="1" fillId="2" fontId="76" numFmtId="0" xfId="0" applyAlignment="1" applyBorder="1" applyFill="1" applyFont="1">
      <alignment horizontal="center"/>
    </xf>
    <xf borderId="1" fillId="2" fontId="191" numFmtId="169" xfId="0" applyAlignment="1" applyBorder="1" applyFill="1" applyFont="1" applyNumberFormat="1">
      <alignment horizontal="center"/>
    </xf>
    <xf borderId="1" fillId="2" fontId="192" numFmtId="0" xfId="0" applyBorder="1" applyFill="1" applyFont="1"/>
    <xf borderId="1" fillId="2" fontId="76" numFmtId="168" xfId="0" applyBorder="1" applyFill="1" applyFont="1" applyNumberFormat="1"/>
    <xf borderId="1" fillId="2" fontId="193" numFmtId="168" xfId="0" applyBorder="1" applyFill="1" applyFont="1" applyNumberFormat="1"/>
    <xf borderId="1" fillId="2" fontId="194" numFmtId="169" xfId="0" applyAlignment="1" applyBorder="1" applyFill="1" applyFont="1" applyNumberFormat="1">
      <alignment horizontal="center"/>
    </xf>
    <xf borderId="7" fillId="2" fontId="5" numFmtId="164" xfId="0" applyAlignment="1" applyBorder="1" applyFill="1" applyFont="1" applyNumberFormat="1">
      <alignment horizontal="center"/>
    </xf>
    <xf borderId="1" fillId="2" fontId="36" numFmtId="0" xfId="0" applyAlignment="1" applyBorder="1" applyFill="1" applyFont="1">
      <alignment horizontal="center"/>
    </xf>
    <xf borderId="1" fillId="2" fontId="89" numFmtId="0" xfId="0" applyAlignment="1" applyBorder="1" applyFill="1" applyFont="1">
      <alignment horizontal="right"/>
    </xf>
    <xf borderId="120" fillId="4" fontId="9" numFmtId="168" xfId="0" applyAlignment="1" applyBorder="1" applyFill="1" applyFont="1" applyNumberFormat="1">
      <alignment horizontal="center"/>
    </xf>
    <xf borderId="1" fillId="2" fontId="195" numFmtId="1" xfId="0" applyAlignment="1" applyBorder="1" applyFill="1" applyFont="1" applyNumberFormat="1">
      <alignment horizontal="center"/>
    </xf>
    <xf borderId="1" fillId="2" fontId="196" numFmtId="166" xfId="0" applyAlignment="1" applyBorder="1" applyFill="1" applyFont="1" applyNumberFormat="1">
      <alignment horizontal="center"/>
    </xf>
    <xf quotePrefix="1" borderId="71" fillId="2" fontId="197" numFmtId="168" xfId="0" applyAlignment="1" applyBorder="1" applyFill="1" applyFont="1" applyNumberFormat="1">
      <alignment horizontal="center" vertical="center"/>
    </xf>
    <xf quotePrefix="1" borderId="121" fillId="2" fontId="197" numFmtId="168" xfId="0" applyAlignment="1" applyBorder="1" applyFill="1" applyFont="1" applyNumberFormat="1">
      <alignment horizontal="center" vertical="center"/>
    </xf>
    <xf borderId="1" fillId="2" fontId="165" numFmtId="168" xfId="0" applyAlignment="1" applyBorder="1" applyFill="1" applyFont="1" applyNumberFormat="1">
      <alignment horizontal="center"/>
    </xf>
    <xf quotePrefix="1" borderId="54" fillId="2" fontId="197" numFmtId="168" xfId="0" applyAlignment="1" applyBorder="1" applyFill="1" applyFont="1" applyNumberFormat="1">
      <alignment horizontal="center" vertical="center"/>
    </xf>
    <xf quotePrefix="1" borderId="122" fillId="2" fontId="197" numFmtId="168" xfId="0" applyAlignment="1" applyBorder="1" applyFill="1" applyFont="1" applyNumberFormat="1">
      <alignment horizontal="center" vertical="center"/>
    </xf>
    <xf borderId="123" fillId="4" fontId="9" numFmtId="166" xfId="0" applyAlignment="1" applyBorder="1" applyFill="1" applyFont="1" applyNumberFormat="1">
      <alignment horizontal="center" vertical="center"/>
    </xf>
    <xf borderId="1" fillId="2" fontId="15" numFmtId="168" xfId="0" applyBorder="1" applyFill="1" applyFont="1" applyNumberFormat="1"/>
    <xf borderId="1" fillId="2" fontId="195" numFmtId="0" xfId="0" applyAlignment="1" applyBorder="1" applyFill="1" applyFont="1">
      <alignment horizontal="center"/>
    </xf>
    <xf borderId="124" fillId="4" fontId="9" numFmtId="168" xfId="0" applyAlignment="1" applyBorder="1" applyFill="1" applyFont="1" applyNumberFormat="1">
      <alignment horizontal="center"/>
    </xf>
    <xf borderId="125" fillId="0" fontId="10" numFmtId="0" xfId="0" applyBorder="1" applyFont="1"/>
    <xf borderId="126" fillId="0" fontId="10" numFmtId="0" xfId="0" applyBorder="1" applyFont="1"/>
    <xf borderId="1" fillId="2" fontId="16" numFmtId="0" xfId="0" applyAlignment="1" applyBorder="1" applyFill="1" applyFont="1">
      <alignment horizontal="center"/>
    </xf>
    <xf borderId="1" fillId="2" fontId="195" numFmtId="166" xfId="0" applyAlignment="1" applyBorder="1" applyFill="1" applyFont="1" applyNumberFormat="1">
      <alignment horizontal="center"/>
    </xf>
    <xf borderId="1" fillId="2" fontId="198" numFmtId="168" xfId="0" applyAlignment="1" applyBorder="1" applyFill="1" applyFont="1" applyNumberFormat="1">
      <alignment horizontal="center"/>
    </xf>
    <xf borderId="127" fillId="0" fontId="10" numFmtId="0" xfId="0" applyBorder="1" applyFont="1"/>
    <xf borderId="128" fillId="0" fontId="10" numFmtId="0" xfId="0" applyBorder="1" applyFont="1"/>
    <xf borderId="1" fillId="2" fontId="1" numFmtId="184" xfId="0" applyBorder="1" applyFill="1" applyFont="1" applyNumberFormat="1"/>
    <xf borderId="129" fillId="16" fontId="199" numFmtId="168" xfId="0" applyAlignment="1" applyBorder="1" applyFill="1" applyFont="1" applyNumberFormat="1">
      <alignment horizontal="center"/>
    </xf>
    <xf borderId="1" fillId="2" fontId="8" numFmtId="168" xfId="0" applyBorder="1" applyFill="1" applyFont="1" applyNumberFormat="1"/>
    <xf borderId="130" fillId="0" fontId="10" numFmtId="0" xfId="0" applyBorder="1" applyFont="1"/>
    <xf borderId="1" fillId="2" fontId="84" numFmtId="168" xfId="0" applyBorder="1" applyFill="1" applyFont="1" applyNumberFormat="1"/>
    <xf borderId="1" fillId="2" fontId="29" numFmtId="187" xfId="0" applyAlignment="1" applyBorder="1" applyFill="1" applyFont="1" applyNumberFormat="1">
      <alignment horizontal="right"/>
    </xf>
    <xf borderId="131" fillId="16" fontId="144" numFmtId="169" xfId="0" applyAlignment="1" applyBorder="1" applyFill="1" applyFont="1" applyNumberFormat="1">
      <alignment horizontal="center"/>
    </xf>
    <xf borderId="1" fillId="2" fontId="70" numFmtId="169" xfId="0" applyAlignment="1" applyBorder="1" applyFill="1" applyFont="1" applyNumberFormat="1">
      <alignment horizontal="center"/>
    </xf>
    <xf borderId="132" fillId="16" fontId="199" numFmtId="168" xfId="0" applyAlignment="1" applyBorder="1" applyFill="1" applyFont="1" applyNumberFormat="1">
      <alignment horizontal="center" vertical="top"/>
    </xf>
    <xf borderId="1" fillId="2" fontId="1" numFmtId="186" xfId="0" applyBorder="1" applyFill="1" applyFont="1" applyNumberFormat="1"/>
    <xf borderId="133" fillId="0" fontId="10" numFmtId="0" xfId="0" applyBorder="1" applyFont="1"/>
    <xf borderId="1" fillId="2" fontId="8" numFmtId="168" xfId="0" applyAlignment="1" applyBorder="1" applyFill="1" applyFont="1" applyNumberFormat="1">
      <alignment horizontal="center"/>
    </xf>
    <xf borderId="64" fillId="8" fontId="32" numFmtId="169" xfId="0" applyAlignment="1" applyBorder="1" applyFill="1" applyFont="1" applyNumberFormat="1">
      <alignment horizontal="center"/>
    </xf>
    <xf borderId="50" fillId="8" fontId="200" numFmtId="168" xfId="0" applyAlignment="1" applyBorder="1" applyFill="1" applyFont="1" applyNumberFormat="1">
      <alignment horizontal="center"/>
    </xf>
    <xf borderId="50" fillId="8" fontId="1" numFmtId="168" xfId="0" applyBorder="1" applyFill="1" applyFont="1" applyNumberFormat="1"/>
    <xf borderId="50" fillId="8" fontId="32" numFmtId="169" xfId="0" applyAlignment="1" applyBorder="1" applyFill="1" applyFont="1" applyNumberFormat="1">
      <alignment horizontal="center"/>
    </xf>
    <xf borderId="65" fillId="8" fontId="1" numFmtId="168" xfId="0" applyBorder="1" applyFill="1" applyFont="1" applyNumberFormat="1"/>
    <xf borderId="1" fillId="2" fontId="33" numFmtId="168" xfId="0" applyBorder="1" applyFill="1" applyFont="1" applyNumberFormat="1"/>
    <xf borderId="67" fillId="8" fontId="1" numFmtId="169" xfId="0" applyAlignment="1" applyBorder="1" applyFill="1" applyFont="1" applyNumberFormat="1">
      <alignment horizontal="center"/>
    </xf>
    <xf borderId="1" fillId="8" fontId="75" numFmtId="166" xfId="0" applyBorder="1" applyFill="1" applyFont="1" applyNumberFormat="1"/>
    <xf borderId="68" fillId="8" fontId="1" numFmtId="168" xfId="0" applyBorder="1" applyFill="1" applyFont="1" applyNumberFormat="1"/>
    <xf borderId="1" fillId="2" fontId="1" numFmtId="189" xfId="0" applyBorder="1" applyFill="1" applyFont="1" applyNumberFormat="1"/>
    <xf borderId="1" fillId="2" fontId="75" numFmtId="169" xfId="0" applyAlignment="1" applyBorder="1" applyFill="1" applyFont="1" applyNumberFormat="1">
      <alignment horizontal="center"/>
    </xf>
    <xf borderId="74" fillId="8" fontId="1" numFmtId="169" xfId="0" applyAlignment="1" applyBorder="1" applyFill="1" applyFont="1" applyNumberFormat="1">
      <alignment horizontal="center"/>
    </xf>
    <xf borderId="39" fillId="8" fontId="1" numFmtId="168" xfId="0" applyBorder="1" applyFill="1" applyFont="1" applyNumberFormat="1"/>
    <xf borderId="39" fillId="8" fontId="1" numFmtId="169" xfId="0" applyAlignment="1" applyBorder="1" applyFill="1" applyFont="1" applyNumberFormat="1">
      <alignment horizontal="center"/>
    </xf>
    <xf borderId="73" fillId="8" fontId="1" numFmtId="168" xfId="0" applyBorder="1" applyFill="1" applyFont="1" applyNumberFormat="1"/>
    <xf borderId="1" fillId="2" fontId="196" numFmtId="168" xfId="0" applyAlignment="1" applyBorder="1" applyFill="1" applyFont="1" applyNumberFormat="1">
      <alignment horizontal="center"/>
    </xf>
    <xf borderId="113" fillId="2" fontId="116" numFmtId="166" xfId="0" applyAlignment="1" applyBorder="1" applyFill="1" applyFont="1" applyNumberFormat="1">
      <alignment vertical="center"/>
    </xf>
    <xf borderId="1" fillId="2" fontId="32" numFmtId="169" xfId="0" applyAlignment="1" applyBorder="1" applyFill="1" applyFont="1" applyNumberFormat="1">
      <alignment horizontal="left"/>
    </xf>
    <xf borderId="1" fillId="2" fontId="14" numFmtId="168" xfId="0" applyBorder="1" applyFill="1" applyFont="1" applyNumberFormat="1"/>
    <xf borderId="1" fillId="2" fontId="16" numFmtId="168" xfId="0" applyBorder="1" applyFill="1" applyFont="1" applyNumberFormat="1"/>
    <xf borderId="1" fillId="2" fontId="14" numFmtId="168" xfId="0" applyAlignment="1" applyBorder="1" applyFill="1" applyFont="1" applyNumberFormat="1">
      <alignment horizontal="right" vertical="center"/>
    </xf>
    <xf borderId="7" fillId="2" fontId="14" numFmtId="167" xfId="0" applyAlignment="1" applyBorder="1" applyFill="1" applyFont="1" applyNumberFormat="1">
      <alignment horizontal="left" vertical="center"/>
    </xf>
    <xf borderId="1" fillId="2" fontId="14" numFmtId="168" xfId="0" applyAlignment="1" applyBorder="1" applyFill="1" applyFont="1" applyNumberFormat="1">
      <alignment horizontal="left"/>
    </xf>
    <xf borderId="1" fillId="2" fontId="36" numFmtId="38" xfId="0" applyBorder="1" applyFill="1" applyFont="1" applyNumberFormat="1"/>
    <xf borderId="1" fillId="2" fontId="1" numFmtId="168" xfId="0" applyAlignment="1" applyBorder="1" applyFill="1" applyFont="1" applyNumberFormat="1">
      <alignment horizontal="left"/>
    </xf>
    <xf borderId="1" fillId="2" fontId="1" numFmtId="169" xfId="0" applyAlignment="1" applyBorder="1" applyFill="1" applyFont="1" applyNumberFormat="1">
      <alignment horizontal="left"/>
    </xf>
    <xf borderId="1" fillId="2" fontId="33" numFmtId="169" xfId="0" applyAlignment="1" applyBorder="1" applyFill="1" applyFont="1" applyNumberFormat="1">
      <alignment horizontal="right"/>
    </xf>
    <xf borderId="1" fillId="2" fontId="116" numFmtId="168" xfId="0" applyBorder="1" applyFill="1" applyFont="1" applyNumberFormat="1"/>
    <xf borderId="1" fillId="2" fontId="196" numFmtId="168" xfId="0" applyBorder="1" applyFill="1" applyFont="1" applyNumberFormat="1"/>
    <xf borderId="1" fillId="2" fontId="33" numFmtId="169" xfId="0" applyAlignment="1" applyBorder="1" applyFill="1" applyFont="1" applyNumberFormat="1">
      <alignment horizontal="left"/>
    </xf>
    <xf borderId="39" fillId="2" fontId="1" numFmtId="38" xfId="0" applyBorder="1" applyFill="1" applyFont="1" applyNumberFormat="1"/>
    <xf borderId="1" fillId="2" fontId="1" numFmtId="168" xfId="0" applyAlignment="1" applyBorder="1" applyFill="1" applyFont="1" applyNumberFormat="1">
      <alignment horizontal="right"/>
    </xf>
    <xf borderId="1" fillId="2" fontId="55" numFmtId="169" xfId="0" applyBorder="1" applyFill="1" applyFont="1" applyNumberFormat="1"/>
    <xf borderId="1" fillId="2" fontId="71" numFmtId="168" xfId="0" applyBorder="1" applyFill="1" applyFont="1" applyNumberFormat="1"/>
    <xf borderId="1" fillId="2" fontId="116" numFmtId="168" xfId="0" applyAlignment="1" applyBorder="1" applyFill="1" applyFont="1" applyNumberFormat="1">
      <alignment horizontal="left"/>
    </xf>
    <xf quotePrefix="1" borderId="1" fillId="2" fontId="1" numFmtId="168" xfId="0" applyAlignment="1" applyBorder="1" applyFill="1" applyFont="1" applyNumberFormat="1">
      <alignment horizontal="left"/>
    </xf>
    <xf borderId="1" fillId="2" fontId="201" numFmtId="168" xfId="0" applyBorder="1" applyFill="1" applyFont="1" applyNumberFormat="1"/>
    <xf borderId="7" fillId="2" fontId="1" numFmtId="169" xfId="0" applyAlignment="1" applyBorder="1" applyFill="1" applyFont="1" applyNumberFormat="1">
      <alignment horizontal="left"/>
    </xf>
    <xf borderId="1" fillId="2" fontId="151" numFmtId="169" xfId="0" applyAlignment="1" applyBorder="1" applyFill="1" applyFont="1" applyNumberFormat="1">
      <alignment horizontal="right"/>
    </xf>
    <xf borderId="134" fillId="8" fontId="64" numFmtId="169" xfId="0" applyAlignment="1" applyBorder="1" applyFill="1" applyFont="1" applyNumberFormat="1">
      <alignment horizontal="right" vertical="center"/>
    </xf>
    <xf borderId="135" fillId="0" fontId="10" numFmtId="0" xfId="0" applyBorder="1" applyFont="1"/>
    <xf borderId="136" fillId="0" fontId="10" numFmtId="0" xfId="0" applyBorder="1" applyFont="1"/>
    <xf quotePrefix="1" borderId="50" fillId="8" fontId="1" numFmtId="169" xfId="0" applyAlignment="1" applyBorder="1" applyFill="1" applyFont="1" applyNumberFormat="1">
      <alignment horizontal="left"/>
    </xf>
    <xf borderId="50" fillId="8" fontId="1" numFmtId="168" xfId="0" applyAlignment="1" applyBorder="1" applyFill="1" applyFont="1" applyNumberFormat="1">
      <alignment horizontal="left"/>
    </xf>
    <xf quotePrefix="1" borderId="48" fillId="8" fontId="78" numFmtId="168" xfId="0" applyAlignment="1" applyBorder="1" applyFill="1" applyFont="1" applyNumberFormat="1">
      <alignment horizontal="center" vertical="center"/>
    </xf>
    <xf borderId="137" fillId="8" fontId="78" numFmtId="2" xfId="0" applyAlignment="1" applyBorder="1" applyFill="1" applyFont="1" applyNumberFormat="1">
      <alignment horizontal="center" vertical="center"/>
    </xf>
    <xf borderId="138" fillId="8" fontId="1" numFmtId="190" xfId="0" applyAlignment="1" applyBorder="1" applyFill="1" applyFont="1" applyNumberFormat="1">
      <alignment horizontal="left"/>
    </xf>
    <xf borderId="139" fillId="0" fontId="10" numFmtId="0" xfId="0" applyBorder="1" applyFont="1"/>
    <xf borderId="140" fillId="0" fontId="10" numFmtId="0" xfId="0" applyBorder="1" applyFont="1"/>
    <xf borderId="1" fillId="2" fontId="16" numFmtId="186" xfId="0" applyAlignment="1" applyBorder="1" applyFill="1" applyFont="1" applyNumberFormat="1">
      <alignment horizontal="center"/>
    </xf>
    <xf borderId="1" fillId="2" fontId="16" numFmtId="0" xfId="0" applyAlignment="1" applyBorder="1" applyFill="1" applyFont="1">
      <alignment horizontal="right"/>
    </xf>
    <xf borderId="141" fillId="2" fontId="1" numFmtId="0" xfId="0" applyAlignment="1" applyBorder="1" applyFill="1" applyFont="1">
      <alignment horizontal="center"/>
    </xf>
    <xf borderId="142" fillId="0" fontId="10" numFmtId="0" xfId="0" applyBorder="1" applyFont="1"/>
    <xf borderId="108" fillId="18" fontId="72" numFmtId="0" xfId="0" applyAlignment="1" applyBorder="1" applyFill="1" applyFont="1">
      <alignment horizontal="center"/>
    </xf>
    <xf borderId="24" fillId="18" fontId="72" numFmtId="1" xfId="0" applyAlignment="1" applyBorder="1" applyFill="1" applyFont="1" applyNumberFormat="1">
      <alignment horizontal="center"/>
    </xf>
    <xf borderId="1" fillId="18" fontId="72" numFmtId="1" xfId="0" applyAlignment="1" applyBorder="1" applyFill="1" applyFont="1" applyNumberFormat="1">
      <alignment horizontal="center"/>
    </xf>
    <xf borderId="26" fillId="18" fontId="72" numFmtId="1" xfId="0" applyAlignment="1" applyBorder="1" applyFill="1" applyFont="1" applyNumberFormat="1">
      <alignment horizontal="center"/>
    </xf>
    <xf borderId="51" fillId="18" fontId="72" numFmtId="1" xfId="0" applyAlignment="1" applyBorder="1" applyFill="1" applyFont="1" applyNumberFormat="1">
      <alignment horizontal="center"/>
    </xf>
    <xf borderId="52" fillId="18" fontId="72" numFmtId="1" xfId="0" applyAlignment="1" applyBorder="1" applyFill="1" applyFont="1" applyNumberFormat="1">
      <alignment horizontal="center"/>
    </xf>
    <xf borderId="53" fillId="18" fontId="72" numFmtId="1" xfId="0" applyAlignment="1" applyBorder="1" applyFill="1" applyFont="1" applyNumberFormat="1">
      <alignment horizontal="center"/>
    </xf>
    <xf borderId="1" fillId="2" fontId="15" numFmtId="0" xfId="0" applyAlignment="1" applyBorder="1" applyFill="1" applyFont="1">
      <alignment horizontal="right"/>
    </xf>
    <xf borderId="1" fillId="2" fontId="15" numFmtId="10" xfId="0" applyBorder="1" applyFill="1" applyFont="1" applyNumberFormat="1"/>
    <xf borderId="1" fillId="2" fontId="95" numFmtId="10" xfId="0" applyAlignment="1" applyBorder="1" applyFill="1" applyFont="1" applyNumberFormat="1">
      <alignment horizontal="right"/>
    </xf>
    <xf borderId="1" fillId="2" fontId="79" numFmtId="0" xfId="0" applyBorder="1" applyFill="1" applyFont="1"/>
    <xf borderId="1" fillId="2" fontId="79" numFmtId="0" xfId="0" applyAlignment="1" applyBorder="1" applyFill="1" applyFont="1">
      <alignment vertical="top"/>
    </xf>
    <xf borderId="66" fillId="2" fontId="15" numFmtId="0" xfId="0" applyAlignment="1" applyBorder="1" applyFill="1" applyFont="1">
      <alignment vertical="center"/>
    </xf>
    <xf borderId="67" fillId="2" fontId="8" numFmtId="169" xfId="0" applyAlignment="1" applyBorder="1" applyFill="1" applyFont="1" applyNumberFormat="1">
      <alignment horizontal="center" vertical="center"/>
    </xf>
    <xf borderId="1" fillId="2" fontId="71" numFmtId="166" xfId="0" applyBorder="1" applyFill="1" applyFont="1" applyNumberFormat="1"/>
    <xf borderId="68" fillId="2" fontId="15" numFmtId="166" xfId="0" applyAlignment="1" applyBorder="1" applyFill="1" applyFont="1" applyNumberFormat="1">
      <alignment vertical="center"/>
    </xf>
    <xf borderId="1" fillId="2" fontId="15" numFmtId="166" xfId="0" applyAlignment="1" applyBorder="1" applyFill="1" applyFont="1" applyNumberFormat="1">
      <alignment vertical="center"/>
    </xf>
    <xf borderId="1" fillId="2" fontId="151" numFmtId="169" xfId="0" applyAlignment="1" applyBorder="1" applyFill="1" applyFont="1" applyNumberFormat="1">
      <alignment horizontal="left" vertical="center"/>
    </xf>
    <xf borderId="69" fillId="2" fontId="151" numFmtId="169" xfId="0" applyAlignment="1" applyBorder="1" applyFill="1" applyFont="1" applyNumberFormat="1">
      <alignment horizontal="left" vertical="center"/>
    </xf>
    <xf borderId="69" fillId="2" fontId="15" numFmtId="0" xfId="0" applyAlignment="1" applyBorder="1" applyFill="1" applyFont="1">
      <alignment vertical="center"/>
    </xf>
    <xf borderId="1" fillId="2" fontId="15" numFmtId="170" xfId="0" applyAlignment="1" applyBorder="1" applyFill="1" applyFont="1" applyNumberFormat="1">
      <alignment vertical="center"/>
    </xf>
    <xf borderId="69" fillId="2" fontId="15" numFmtId="170" xfId="0" applyAlignment="1" applyBorder="1" applyFill="1" applyFont="1" applyNumberFormat="1">
      <alignment vertical="center"/>
    </xf>
    <xf borderId="1" fillId="2" fontId="1" numFmtId="169" xfId="0" applyAlignment="1" applyBorder="1" applyFill="1" applyFont="1" applyNumberFormat="1">
      <alignment vertical="center"/>
    </xf>
    <xf borderId="69" fillId="2" fontId="1" numFmtId="169" xfId="0" applyAlignment="1" applyBorder="1" applyFill="1" applyFont="1" applyNumberFormat="1">
      <alignment vertical="center"/>
    </xf>
    <xf borderId="1" fillId="2" fontId="196" numFmtId="0" xfId="0" applyAlignment="1" applyBorder="1" applyFill="1" applyFont="1">
      <alignment horizontal="center"/>
    </xf>
    <xf borderId="1" fillId="2" fontId="34" numFmtId="0" xfId="0" applyBorder="1" applyFill="1" applyFont="1"/>
    <xf borderId="68" fillId="2" fontId="20" numFmtId="174" xfId="0" applyAlignment="1" applyBorder="1" applyFill="1" applyFont="1" applyNumberFormat="1">
      <alignment vertical="center"/>
    </xf>
    <xf borderId="1" fillId="2" fontId="20" numFmtId="173" xfId="0" applyAlignment="1" applyBorder="1" applyFill="1" applyFont="1" applyNumberFormat="1">
      <alignment vertical="center"/>
    </xf>
    <xf borderId="46" fillId="2" fontId="1" numFmtId="165" xfId="0" applyAlignment="1" applyBorder="1" applyFill="1" applyFont="1" applyNumberFormat="1">
      <alignment vertical="center"/>
    </xf>
    <xf borderId="39" fillId="2" fontId="1" numFmtId="173" xfId="0" applyAlignment="1" applyBorder="1" applyFill="1" applyFont="1" applyNumberFormat="1">
      <alignment vertical="center"/>
    </xf>
    <xf borderId="60" fillId="4" fontId="21" numFmtId="0" xfId="0" applyAlignment="1" applyBorder="1" applyFill="1" applyFont="1">
      <alignment horizontal="right"/>
    </xf>
    <xf borderId="69" fillId="2" fontId="20" numFmtId="165" xfId="0" applyAlignment="1" applyBorder="1" applyFill="1" applyFont="1" applyNumberFormat="1">
      <alignment vertical="center"/>
    </xf>
    <xf borderId="68" fillId="2" fontId="1" numFmtId="179" xfId="0" applyAlignment="1" applyBorder="1" applyFill="1" applyFont="1" applyNumberFormat="1">
      <alignment vertical="center"/>
    </xf>
    <xf borderId="68" fillId="2" fontId="15" numFmtId="179" xfId="0" applyAlignment="1" applyBorder="1" applyFill="1" applyFont="1" applyNumberFormat="1">
      <alignment vertical="center"/>
    </xf>
    <xf borderId="1" fillId="2" fontId="15" numFmtId="179" xfId="0" applyAlignment="1" applyBorder="1" applyFill="1" applyFont="1" applyNumberFormat="1">
      <alignment vertical="center"/>
    </xf>
    <xf borderId="67" fillId="2" fontId="15" numFmtId="0" xfId="0" applyAlignment="1" applyBorder="1" applyFill="1" applyFont="1">
      <alignment vertical="center"/>
    </xf>
    <xf borderId="79" fillId="4" fontId="21" numFmtId="0" xfId="0" applyAlignment="1" applyBorder="1" applyFill="1" applyFont="1">
      <alignment horizontal="right"/>
    </xf>
    <xf borderId="76" fillId="2" fontId="1" numFmtId="0" xfId="0" applyAlignment="1" applyBorder="1" applyFill="1" applyFont="1">
      <alignment vertical="center"/>
    </xf>
    <xf borderId="1" fillId="2" fontId="8" numFmtId="9" xfId="0" applyBorder="1" applyFill="1" applyFont="1" applyNumberFormat="1"/>
    <xf borderId="1" fillId="2" fontId="63" numFmtId="0" xfId="0" applyAlignment="1" applyBorder="1" applyFill="1" applyFont="1">
      <alignment horizontal="left"/>
    </xf>
    <xf borderId="1" fillId="2" fontId="36" numFmtId="0" xfId="0" applyAlignment="1" applyBorder="1" applyFill="1" applyFont="1">
      <alignment horizontal="left"/>
    </xf>
    <xf borderId="134" fillId="15" fontId="73" numFmtId="0" xfId="0" applyAlignment="1" applyBorder="1" applyFill="1" applyFont="1">
      <alignment horizontal="center"/>
    </xf>
    <xf borderId="143" fillId="0" fontId="10" numFmtId="0" xfId="0" applyBorder="1" applyFont="1"/>
    <xf borderId="144" fillId="0" fontId="10" numFmtId="0" xfId="0" applyBorder="1" applyFont="1"/>
    <xf borderId="74" fillId="15" fontId="79" numFmtId="0" xfId="0" applyAlignment="1" applyBorder="1" applyFill="1" applyFont="1">
      <alignment horizontal="center"/>
    </xf>
    <xf borderId="39" fillId="15" fontId="1" numFmtId="0" xfId="0" applyBorder="1" applyFill="1" applyFont="1"/>
    <xf borderId="73" fillId="15" fontId="79" numFmtId="0" xfId="0" applyAlignment="1" applyBorder="1" applyFill="1" applyFont="1">
      <alignment horizontal="center"/>
    </xf>
    <xf borderId="54" fillId="2" fontId="64" numFmtId="0" xfId="0" applyAlignment="1" applyBorder="1" applyFill="1" applyFont="1">
      <alignment horizontal="center" shrinkToFit="0" vertical="center" wrapText="1"/>
    </xf>
    <xf borderId="54" fillId="2" fontId="1" numFmtId="0" xfId="0" applyAlignment="1" applyBorder="1" applyFill="1" applyFont="1">
      <alignment horizontal="center" shrinkToFit="0" wrapText="1"/>
    </xf>
    <xf borderId="145" fillId="4" fontId="21" numFmtId="167" xfId="0" applyAlignment="1" applyBorder="1" applyFill="1" applyFont="1" applyNumberFormat="1">
      <alignment horizontal="center" vertical="center"/>
    </xf>
    <xf borderId="146" fillId="0" fontId="10" numFmtId="0" xfId="0" applyBorder="1" applyFont="1"/>
    <xf borderId="2" fillId="3" fontId="74" numFmtId="174" xfId="0" applyAlignment="1" applyBorder="1" applyFill="1" applyFont="1" applyNumberFormat="1">
      <alignment horizontal="center"/>
    </xf>
    <xf borderId="2" fillId="3" fontId="17" numFmtId="174" xfId="0" applyBorder="1" applyFill="1" applyFont="1" applyNumberFormat="1"/>
    <xf borderId="1" fillId="2" fontId="202" numFmtId="0" xfId="0" applyBorder="1" applyFill="1" applyFont="1"/>
    <xf borderId="147" fillId="19" fontId="1" numFmtId="0" xfId="0" applyBorder="1" applyFill="1" applyFont="1"/>
    <xf borderId="145" fillId="4" fontId="21" numFmtId="0" xfId="0" applyAlignment="1" applyBorder="1" applyFill="1" applyFont="1">
      <alignment horizontal="center" vertical="center"/>
    </xf>
    <xf borderId="148" fillId="19" fontId="1" numFmtId="0" xfId="0" applyBorder="1" applyFill="1" applyFont="1"/>
    <xf borderId="99" fillId="19" fontId="97" numFmtId="0" xfId="0" applyAlignment="1" applyBorder="1" applyFill="1" applyFont="1">
      <alignment horizontal="center"/>
    </xf>
    <xf borderId="149" fillId="8" fontId="33" numFmtId="0" xfId="0" applyAlignment="1" applyBorder="1" applyFill="1" applyFont="1">
      <alignment horizontal="center" vertical="center"/>
    </xf>
    <xf quotePrefix="1" borderId="150" fillId="8" fontId="33" numFmtId="0" xfId="0" applyAlignment="1" applyBorder="1" applyFill="1" applyFont="1">
      <alignment horizontal="center" vertical="center"/>
    </xf>
    <xf borderId="151" fillId="0" fontId="10" numFmtId="0" xfId="0" applyBorder="1" applyFont="1"/>
    <xf borderId="152" fillId="0" fontId="10" numFmtId="0" xfId="0" applyBorder="1" applyFont="1"/>
    <xf quotePrefix="1" borderId="1" fillId="2" fontId="203" numFmtId="0" xfId="0" applyAlignment="1" applyBorder="1" applyFill="1" applyFont="1">
      <alignment horizontal="right"/>
    </xf>
    <xf borderId="153" fillId="3" fontId="17" numFmtId="167" xfId="0" applyAlignment="1" applyBorder="1" applyFill="1" applyFont="1" applyNumberFormat="1">
      <alignment horizontal="center" vertical="center"/>
    </xf>
    <xf borderId="154" fillId="0" fontId="10" numFmtId="0" xfId="0" applyBorder="1" applyFont="1"/>
    <xf borderId="12" fillId="2" fontId="15" numFmtId="191" xfId="0" applyAlignment="1" applyBorder="1" applyFill="1" applyFont="1" applyNumberFormat="1">
      <alignment horizontal="center"/>
    </xf>
    <xf borderId="1" fillId="2" fontId="5" numFmtId="164" xfId="0" applyAlignment="1" applyBorder="1" applyFill="1" applyFont="1" applyNumberFormat="1">
      <alignment horizontal="left" vertical="center"/>
    </xf>
    <xf borderId="1" fillId="2" fontId="151" numFmtId="0" xfId="0" applyAlignment="1" applyBorder="1" applyFill="1" applyFont="1">
      <alignment horizontal="left" vertical="center"/>
    </xf>
    <xf borderId="12" fillId="2" fontId="151" numFmtId="0" xfId="0" applyAlignment="1" applyBorder="1" applyFill="1" applyFont="1">
      <alignment horizontal="left" vertical="center"/>
    </xf>
    <xf borderId="1" fillId="2" fontId="204" numFmtId="167" xfId="0" applyAlignment="1" applyBorder="1" applyFill="1" applyFont="1" applyNumberFormat="1">
      <alignment horizontal="center"/>
    </xf>
    <xf borderId="1" fillId="2" fontId="205" numFmtId="169" xfId="0" applyBorder="1" applyFill="1" applyFont="1" applyNumberFormat="1"/>
    <xf borderId="1" fillId="2" fontId="206" numFmtId="169" xfId="0" applyAlignment="1" applyBorder="1" applyFill="1" applyFont="1" applyNumberFormat="1">
      <alignment horizontal="center"/>
    </xf>
    <xf borderId="1" fillId="2" fontId="207" numFmtId="9" xfId="0" applyAlignment="1" applyBorder="1" applyFill="1" applyFont="1" applyNumberFormat="1">
      <alignment horizontal="center"/>
    </xf>
    <xf borderId="61" fillId="4" fontId="21" numFmtId="167" xfId="0" applyAlignment="1" applyBorder="1" applyFill="1" applyFont="1" applyNumberFormat="1">
      <alignment horizontal="center"/>
    </xf>
    <xf borderId="155" fillId="4" fontId="21" numFmtId="0" xfId="0" applyAlignment="1" applyBorder="1" applyFill="1" applyFont="1">
      <alignment horizontal="center"/>
    </xf>
    <xf borderId="12" fillId="2" fontId="124" numFmtId="0" xfId="0" applyAlignment="1" applyBorder="1" applyFill="1" applyFont="1">
      <alignment horizontal="center" shrinkToFit="0" wrapText="1"/>
    </xf>
    <xf borderId="54" fillId="2" fontId="208" numFmtId="0" xfId="0" applyAlignment="1" applyBorder="1" applyFill="1" applyFont="1">
      <alignment horizontal="center" shrinkToFit="0" wrapText="1"/>
    </xf>
    <xf borderId="1" fillId="2" fontId="72" numFmtId="0" xfId="0" applyAlignment="1" applyBorder="1" applyFill="1" applyFont="1">
      <alignment shrinkToFit="0" wrapText="1"/>
    </xf>
    <xf borderId="54" fillId="2" fontId="209" numFmtId="0" xfId="0" applyAlignment="1" applyBorder="1" applyFill="1" applyFont="1">
      <alignment horizontal="center" shrinkToFit="0" wrapText="1"/>
    </xf>
    <xf borderId="1" fillId="2" fontId="16" numFmtId="169" xfId="0" applyBorder="1" applyFill="1" applyFont="1" applyNumberFormat="1"/>
    <xf borderId="1" fillId="2" fontId="16" numFmtId="9" xfId="0" applyBorder="1" applyFill="1" applyFont="1" applyNumberFormat="1"/>
    <xf borderId="1" fillId="2" fontId="210" numFmtId="0" xfId="0" applyAlignment="1" applyBorder="1" applyFill="1" applyFont="1">
      <alignment horizontal="center"/>
    </xf>
    <xf borderId="156" fillId="0" fontId="10" numFmtId="0" xfId="0" applyBorder="1" applyFont="1"/>
    <xf borderId="157" fillId="0" fontId="10" numFmtId="0" xfId="0" applyBorder="1" applyFont="1"/>
    <xf borderId="158" fillId="0" fontId="10" numFmtId="0" xfId="0" applyBorder="1" applyFont="1"/>
    <xf borderId="1" fillId="2" fontId="210" numFmtId="0" xfId="0" applyBorder="1" applyFill="1" applyFont="1"/>
    <xf borderId="1" fillId="2" fontId="211" numFmtId="0" xfId="0" applyAlignment="1" applyBorder="1" applyFill="1" applyFont="1">
      <alignment vertical="center"/>
    </xf>
    <xf borderId="1" fillId="2" fontId="212" numFmtId="0" xfId="0" applyAlignment="1" applyBorder="1" applyFill="1" applyFont="1">
      <alignment horizontal="center"/>
    </xf>
    <xf borderId="1" fillId="2" fontId="213" numFmtId="0" xfId="0" applyAlignment="1" applyBorder="1" applyFill="1" applyFont="1">
      <alignment horizontal="center"/>
    </xf>
    <xf borderId="7" fillId="2" fontId="213" numFmtId="0" xfId="0" applyAlignment="1" applyBorder="1" applyFill="1" applyFont="1">
      <alignment horizontal="right"/>
    </xf>
    <xf borderId="1" fillId="2" fontId="32" numFmtId="0" xfId="0" applyAlignment="1" applyBorder="1" applyFill="1" applyFont="1">
      <alignment horizontal="center"/>
    </xf>
    <xf borderId="2" fillId="3" fontId="74" numFmtId="167" xfId="0" applyAlignment="1" applyBorder="1" applyFill="1" applyFont="1" applyNumberFormat="1">
      <alignment horizontal="center"/>
    </xf>
    <xf borderId="1" fillId="2" fontId="214" numFmtId="0" xfId="0" applyAlignment="1" applyBorder="1" applyFill="1" applyFont="1">
      <alignment horizontal="center"/>
    </xf>
    <xf borderId="2" fillId="3" fontId="17" numFmtId="176" xfId="0" applyAlignment="1" applyBorder="1" applyFill="1" applyFont="1" applyNumberFormat="1">
      <alignment horizontal="center" vertical="center"/>
    </xf>
    <xf borderId="153" fillId="3" fontId="17" numFmtId="167" xfId="0" applyAlignment="1" applyBorder="1" applyFill="1" applyFont="1" applyNumberFormat="1">
      <alignment horizontal="right"/>
    </xf>
    <xf borderId="1" fillId="2" fontId="215" numFmtId="169" xfId="0" applyBorder="1" applyFill="1" applyFont="1" applyNumberFormat="1"/>
    <xf borderId="1" fillId="2" fontId="215" numFmtId="9" xfId="0" applyBorder="1" applyFill="1" applyFont="1" applyNumberFormat="1"/>
    <xf borderId="7" fillId="2" fontId="75" numFmtId="167" xfId="0" applyAlignment="1" applyBorder="1" applyFill="1" applyFont="1" applyNumberFormat="1">
      <alignment horizontal="right"/>
    </xf>
    <xf borderId="1" fillId="2" fontId="1" numFmtId="2" xfId="0" applyAlignment="1" applyBorder="1" applyFill="1" applyFont="1" applyNumberFormat="1">
      <alignment horizontal="center"/>
    </xf>
    <xf borderId="70" fillId="2" fontId="17" numFmtId="167" xfId="0" applyBorder="1" applyFill="1" applyFont="1" applyNumberFormat="1"/>
    <xf borderId="1" fillId="2" fontId="1" numFmtId="167" xfId="0" applyAlignment="1" applyBorder="1" applyFill="1" applyFont="1" applyNumberFormat="1">
      <alignment horizontal="center"/>
    </xf>
    <xf borderId="7" fillId="2" fontId="36" numFmtId="167" xfId="0" applyAlignment="1" applyBorder="1" applyFill="1" applyFont="1" applyNumberFormat="1">
      <alignment horizontal="right" vertical="center"/>
    </xf>
    <xf borderId="1" fillId="2" fontId="36" numFmtId="169" xfId="0" applyAlignment="1" applyBorder="1" applyFill="1" applyFont="1" applyNumberFormat="1">
      <alignment vertical="center"/>
    </xf>
    <xf borderId="1" fillId="2" fontId="36" numFmtId="9" xfId="0" applyAlignment="1" applyBorder="1" applyFill="1" applyFont="1" applyNumberFormat="1">
      <alignment vertical="center"/>
    </xf>
    <xf borderId="1" fillId="2" fontId="72" numFmtId="0" xfId="0" applyAlignment="1" applyBorder="1" applyFill="1" applyFont="1">
      <alignment horizontal="right"/>
    </xf>
    <xf borderId="153" fillId="3" fontId="17" numFmtId="192" xfId="0" applyAlignment="1" applyBorder="1" applyFill="1" applyFont="1" applyNumberFormat="1">
      <alignment horizontal="right"/>
    </xf>
    <xf borderId="159" fillId="2" fontId="16" numFmtId="169" xfId="0" applyBorder="1" applyFill="1" applyFont="1" applyNumberFormat="1"/>
    <xf borderId="7" fillId="2" fontId="1" numFmtId="167" xfId="0" applyAlignment="1" applyBorder="1" applyFill="1" applyFont="1" applyNumberFormat="1">
      <alignment horizontal="right"/>
    </xf>
    <xf borderId="1" fillId="2" fontId="72" numFmtId="0" xfId="0" applyAlignment="1" applyBorder="1" applyFill="1" applyFont="1">
      <alignment horizontal="center" shrinkToFit="0" vertical="top" wrapText="1"/>
    </xf>
    <xf borderId="1" fillId="2" fontId="216" numFmtId="167" xfId="0" applyAlignment="1" applyBorder="1" applyFill="1" applyFont="1" applyNumberFormat="1">
      <alignment horizontal="right"/>
    </xf>
    <xf borderId="7" fillId="2" fontId="217" numFmtId="167" xfId="0" applyAlignment="1" applyBorder="1" applyFill="1" applyFont="1" applyNumberFormat="1">
      <alignment horizontal="right"/>
    </xf>
    <xf borderId="1" fillId="2" fontId="218" numFmtId="0" xfId="0" applyAlignment="1" applyBorder="1" applyFill="1" applyFont="1">
      <alignment horizontal="center" shrinkToFit="0" wrapText="1"/>
    </xf>
    <xf borderId="1" fillId="2" fontId="33" numFmtId="0" xfId="0" applyAlignment="1" applyBorder="1" applyFill="1" applyFont="1">
      <alignment horizontal="right" vertical="top"/>
    </xf>
    <xf borderId="160" fillId="2" fontId="219" numFmtId="0" xfId="0" applyAlignment="1" applyBorder="1" applyFill="1" applyFont="1">
      <alignment horizontal="center" shrinkToFit="0" vertical="center" wrapText="1"/>
    </xf>
    <xf borderId="1" fillId="2" fontId="213" numFmtId="0" xfId="0" applyBorder="1" applyFill="1" applyFont="1"/>
    <xf borderId="1" fillId="2" fontId="17" numFmtId="0" xfId="0" applyAlignment="1" applyBorder="1" applyFill="1" applyFont="1">
      <alignment horizontal="center"/>
    </xf>
    <xf borderId="7" fillId="2" fontId="5" numFmtId="164" xfId="0" applyAlignment="1" applyBorder="1" applyFill="1" applyFont="1" applyNumberFormat="1">
      <alignment horizontal="left" vertical="center"/>
    </xf>
    <xf borderId="1" fillId="2" fontId="151" numFmtId="0" xfId="0" applyAlignment="1" applyBorder="1" applyFill="1" applyFont="1">
      <alignment vertical="center"/>
    </xf>
    <xf borderId="1" fillId="2" fontId="75" numFmtId="49" xfId="0" applyAlignment="1" applyBorder="1" applyFill="1" applyFont="1" applyNumberFormat="1">
      <alignment vertical="center"/>
    </xf>
    <xf borderId="54" fillId="2" fontId="220" numFmtId="167" xfId="0" applyAlignment="1" applyBorder="1" applyFill="1" applyFont="1" applyNumberFormat="1">
      <alignment horizontal="center"/>
    </xf>
    <xf borderId="1" fillId="2" fontId="76" numFmtId="0" xfId="0" applyBorder="1" applyFill="1" applyFont="1"/>
    <xf borderId="161" fillId="0" fontId="10" numFmtId="0" xfId="0" applyBorder="1" applyFont="1"/>
    <xf borderId="1" fillId="2" fontId="221" numFmtId="169" xfId="0" applyBorder="1" applyFill="1" applyFont="1" applyNumberFormat="1"/>
    <xf borderId="1" fillId="2" fontId="222" numFmtId="167" xfId="0" applyAlignment="1" applyBorder="1" applyFill="1" applyFont="1" applyNumberFormat="1">
      <alignment horizontal="center"/>
    </xf>
    <xf borderId="1" fillId="2" fontId="223" numFmtId="169" xfId="0" applyAlignment="1" applyBorder="1" applyFill="1" applyFont="1" applyNumberFormat="1">
      <alignment horizontal="center"/>
    </xf>
    <xf borderId="1" fillId="2" fontId="224" numFmtId="9" xfId="0" applyAlignment="1" applyBorder="1" applyFill="1" applyFont="1" applyNumberFormat="1">
      <alignment horizontal="center"/>
    </xf>
    <xf borderId="1" fillId="2" fontId="225" numFmtId="169" xfId="0" applyBorder="1" applyFill="1" applyFont="1" applyNumberFormat="1"/>
    <xf borderId="1" fillId="2" fontId="55" numFmtId="167" xfId="0" applyAlignment="1" applyBorder="1" applyFill="1" applyFont="1" applyNumberFormat="1">
      <alignment horizontal="right"/>
    </xf>
    <xf borderId="1" fillId="2" fontId="14" numFmtId="167" xfId="0" applyBorder="1" applyFill="1" applyFont="1" applyNumberFormat="1"/>
    <xf borderId="1" fillId="2" fontId="14" numFmtId="166" xfId="0" applyAlignment="1" applyBorder="1" applyFill="1" applyFont="1" applyNumberFormat="1">
      <alignment horizontal="right"/>
    </xf>
    <xf borderId="1" fillId="2" fontId="79" numFmtId="0" xfId="0" applyAlignment="1" applyBorder="1" applyFill="1" applyFont="1">
      <alignment horizontal="center"/>
    </xf>
    <xf borderId="1" fillId="2" fontId="55" numFmtId="0" xfId="0" applyAlignment="1" applyBorder="1" applyFill="1" applyFont="1">
      <alignment horizontal="right" vertical="center"/>
    </xf>
    <xf borderId="1" fillId="2" fontId="77" numFmtId="0" xfId="0" applyAlignment="1" applyBorder="1" applyFill="1" applyFont="1">
      <alignment horizontal="right" vertical="center"/>
    </xf>
    <xf borderId="1" fillId="2" fontId="226" numFmtId="169" xfId="0" applyBorder="1" applyFill="1" applyFont="1" applyNumberFormat="1"/>
    <xf borderId="1" fillId="2" fontId="227" numFmtId="174" xfId="0" applyBorder="1" applyFill="1" applyFont="1" applyNumberFormat="1"/>
    <xf borderId="1" fillId="2" fontId="36" numFmtId="166" xfId="0" applyAlignment="1" applyBorder="1" applyFill="1" applyFont="1" applyNumberFormat="1">
      <alignment horizontal="right"/>
    </xf>
    <xf borderId="1" fillId="2" fontId="14" numFmtId="169" xfId="0" applyAlignment="1" applyBorder="1" applyFill="1" applyFont="1" applyNumberFormat="1">
      <alignment horizontal="center"/>
    </xf>
    <xf borderId="1" fillId="2" fontId="16" numFmtId="169" xfId="0" applyAlignment="1" applyBorder="1" applyFill="1" applyFont="1" applyNumberFormat="1">
      <alignment horizontal="center"/>
    </xf>
    <xf borderId="1" fillId="2" fontId="14" numFmtId="166" xfId="0" applyAlignment="1" applyBorder="1" applyFill="1" applyFont="1" applyNumberFormat="1">
      <alignment horizontal="center"/>
    </xf>
    <xf borderId="1" fillId="2" fontId="55" numFmtId="0" xfId="0" applyAlignment="1" applyBorder="1" applyFill="1" applyFont="1">
      <alignment horizontal="left" vertical="center"/>
    </xf>
    <xf borderId="1" fillId="2" fontId="14" numFmtId="174" xfId="0" applyAlignment="1" applyBorder="1" applyFill="1" applyFont="1" applyNumberFormat="1">
      <alignment horizontal="right"/>
    </xf>
    <xf borderId="1" fillId="2" fontId="16" numFmtId="174" xfId="0" applyBorder="1" applyFill="1" applyFont="1" applyNumberFormat="1"/>
    <xf borderId="1" fillId="2" fontId="215" numFmtId="169" xfId="0" applyAlignment="1" applyBorder="1" applyFill="1" applyFont="1" applyNumberFormat="1">
      <alignment vertical="center"/>
    </xf>
    <xf borderId="1" fillId="2" fontId="215" numFmtId="9" xfId="0" applyAlignment="1" applyBorder="1" applyFill="1" applyFont="1" applyNumberFormat="1">
      <alignment vertical="center"/>
    </xf>
    <xf borderId="54" fillId="2" fontId="168" numFmtId="0" xfId="0" applyAlignment="1" applyBorder="1" applyFill="1" applyFont="1">
      <alignment horizontal="center" shrinkToFit="0" wrapText="1"/>
    </xf>
    <xf borderId="1" fillId="2" fontId="228" numFmtId="174" xfId="0" applyAlignment="1" applyBorder="1" applyFill="1" applyFont="1" applyNumberFormat="1">
      <alignment horizontal="right"/>
    </xf>
    <xf borderId="1" fillId="2" fontId="103" numFmtId="167" xfId="0" applyBorder="1" applyFill="1" applyFont="1" applyNumberFormat="1"/>
    <xf borderId="1" fillId="2" fontId="71" numFmtId="167" xfId="0" applyBorder="1" applyFill="1" applyFont="1" applyNumberFormat="1"/>
    <xf borderId="1" fillId="2" fontId="84" numFmtId="167" xfId="0" applyBorder="1" applyFill="1" applyFont="1" applyNumberFormat="1"/>
    <xf borderId="1" fillId="2" fontId="229" numFmtId="0" xfId="0" applyAlignment="1" applyBorder="1" applyFill="1" applyFont="1">
      <alignment horizontal="right"/>
    </xf>
    <xf borderId="1" fillId="2" fontId="14" numFmtId="174" xfId="0" applyBorder="1" applyFill="1" applyFont="1" applyNumberFormat="1"/>
    <xf borderId="1" fillId="2" fontId="32" numFmtId="0" xfId="0" applyAlignment="1" applyBorder="1" applyFill="1" applyFont="1">
      <alignment horizontal="right"/>
    </xf>
    <xf borderId="1" fillId="2" fontId="33" numFmtId="0" xfId="0" applyAlignment="1" applyBorder="1" applyFill="1" applyFont="1">
      <alignment horizontal="center"/>
    </xf>
    <xf borderId="1" fillId="2" fontId="216" numFmtId="0" xfId="0" applyAlignment="1" applyBorder="1" applyFill="1" applyFont="1">
      <alignment horizontal="right"/>
    </xf>
    <xf borderId="2" fillId="3" fontId="71" numFmtId="167" xfId="0" applyBorder="1" applyFill="1" applyFont="1" applyNumberFormat="1"/>
    <xf borderId="1" fillId="2" fontId="71" numFmtId="0" xfId="0" applyBorder="1" applyFill="1" applyFont="1"/>
    <xf quotePrefix="1" borderId="1" fillId="2" fontId="16" numFmtId="174" xfId="0" applyAlignment="1" applyBorder="1" applyFill="1" applyFont="1" applyNumberFormat="1">
      <alignment horizontal="right"/>
    </xf>
    <xf borderId="2" fillId="3" fontId="71" numFmtId="167" xfId="0" applyAlignment="1" applyBorder="1" applyFill="1" applyFont="1" applyNumberFormat="1">
      <alignment vertical="center"/>
    </xf>
    <xf borderId="1" fillId="2" fontId="4" numFmtId="168" xfId="0" applyBorder="1" applyFill="1" applyFont="1" applyNumberFormat="1"/>
    <xf borderId="1" fillId="2" fontId="60" numFmtId="168" xfId="0" applyAlignment="1" applyBorder="1" applyFill="1" applyFont="1" applyNumberFormat="1">
      <alignment horizontal="left"/>
    </xf>
    <xf borderId="1" fillId="2" fontId="230" numFmtId="0" xfId="0" applyBorder="1" applyFill="1" applyFont="1"/>
    <xf borderId="60" fillId="4" fontId="231" numFmtId="0" xfId="0" applyBorder="1" applyFill="1" applyFont="1"/>
    <xf borderId="58" fillId="4" fontId="21" numFmtId="0" xfId="0" applyAlignment="1" applyBorder="1" applyFill="1" applyFont="1">
      <alignment horizontal="right"/>
    </xf>
    <xf borderId="58" fillId="4" fontId="21" numFmtId="168" xfId="0" applyAlignment="1" applyBorder="1" applyFill="1" applyFont="1" applyNumberFormat="1">
      <alignment horizontal="left"/>
    </xf>
    <xf borderId="58" fillId="4" fontId="231" numFmtId="0" xfId="0" applyBorder="1" applyFill="1" applyFont="1"/>
    <xf borderId="59" fillId="4" fontId="232" numFmtId="0" xfId="0" applyBorder="1" applyFill="1" applyFont="1"/>
    <xf borderId="12" fillId="2" fontId="230" numFmtId="0" xfId="0" applyAlignment="1" applyBorder="1" applyFill="1" applyFont="1">
      <alignment horizontal="left" vertical="top"/>
    </xf>
    <xf borderId="1" fillId="2" fontId="233" numFmtId="0" xfId="0" applyAlignment="1" applyBorder="1" applyFill="1" applyFont="1">
      <alignment horizontal="center"/>
    </xf>
    <xf borderId="1" fillId="2" fontId="234" numFmtId="174" xfId="0" applyBorder="1" applyFill="1" applyFont="1" applyNumberFormat="1"/>
    <xf borderId="90" fillId="4" fontId="21" numFmtId="0" xfId="0" applyAlignment="1" applyBorder="1" applyFill="1" applyFont="1">
      <alignment horizontal="center" vertical="center"/>
    </xf>
    <xf borderId="1" fillId="2" fontId="235" numFmtId="168" xfId="0" applyAlignment="1" applyBorder="1" applyFill="1" applyFont="1" applyNumberFormat="1">
      <alignment horizontal="right"/>
    </xf>
    <xf borderId="1" fillId="2" fontId="236" numFmtId="0" xfId="0" applyBorder="1" applyFill="1" applyFont="1"/>
    <xf borderId="1" fillId="2" fontId="70" numFmtId="0" xfId="0" applyBorder="1" applyFill="1" applyFont="1"/>
    <xf borderId="1" fillId="2" fontId="220" numFmtId="167" xfId="0" applyAlignment="1" applyBorder="1" applyFill="1" applyFont="1" applyNumberFormat="1">
      <alignment horizontal="center"/>
    </xf>
    <xf borderId="7" fillId="2" fontId="5" numFmtId="164" xfId="0" applyAlignment="1" applyBorder="1" applyFill="1" applyFont="1" applyNumberFormat="1">
      <alignment horizontal="left" vertical="top"/>
    </xf>
    <xf borderId="86" fillId="4" fontId="21" numFmtId="167" xfId="0" applyAlignment="1" applyBorder="1" applyFill="1" applyFont="1" applyNumberFormat="1">
      <alignment horizontal="center"/>
    </xf>
    <xf borderId="1" fillId="2" fontId="237" numFmtId="0" xfId="0" applyBorder="1" applyFill="1" applyFont="1"/>
    <xf borderId="1" fillId="2" fontId="168" numFmtId="167" xfId="0" applyAlignment="1" applyBorder="1" applyFill="1" applyFont="1" applyNumberFormat="1">
      <alignment vertical="center"/>
    </xf>
    <xf borderId="39" fillId="2" fontId="237" numFmtId="0" xfId="0" applyBorder="1" applyFill="1" applyFont="1"/>
    <xf borderId="1" fillId="2" fontId="238" numFmtId="167" xfId="0" applyAlignment="1" applyBorder="1" applyFill="1" applyFont="1" applyNumberFormat="1">
      <alignment vertical="center"/>
    </xf>
    <xf borderId="49" fillId="2" fontId="36" numFmtId="167" xfId="0" applyAlignment="1" applyBorder="1" applyFill="1" applyFont="1" applyNumberFormat="1">
      <alignment horizontal="right" vertical="center"/>
    </xf>
    <xf borderId="1" fillId="2" fontId="1" numFmtId="167" xfId="0" applyAlignment="1" applyBorder="1" applyFill="1" applyFont="1" applyNumberFormat="1">
      <alignment horizontal="center" shrinkToFit="0" wrapText="1"/>
    </xf>
    <xf borderId="1" fillId="2" fontId="36" numFmtId="167" xfId="0" applyAlignment="1" applyBorder="1" applyFill="1" applyFont="1" applyNumberFormat="1">
      <alignment horizontal="right" vertical="center"/>
    </xf>
    <xf borderId="1" fillId="2" fontId="8" numFmtId="169" xfId="0" applyAlignment="1" applyBorder="1" applyFill="1" applyFont="1" applyNumberFormat="1">
      <alignment vertical="center"/>
    </xf>
    <xf borderId="1" fillId="2" fontId="17" numFmtId="174" xfId="0" applyBorder="1" applyFill="1" applyFont="1" applyNumberFormat="1"/>
    <xf borderId="7" fillId="2" fontId="75" numFmtId="167" xfId="0" applyAlignment="1" applyBorder="1" applyFill="1" applyFont="1" applyNumberFormat="1">
      <alignment horizontal="right" vertical="center"/>
    </xf>
    <xf borderId="1" fillId="2" fontId="239" numFmtId="0" xfId="0" applyAlignment="1" applyBorder="1" applyFill="1" applyFont="1">
      <alignment horizontal="center" vertical="center"/>
    </xf>
    <xf borderId="77" fillId="2" fontId="36" numFmtId="167" xfId="0" applyAlignment="1" applyBorder="1" applyFill="1" applyFont="1" applyNumberFormat="1">
      <alignment horizontal="right" vertical="center"/>
    </xf>
    <xf borderId="162" fillId="2" fontId="36" numFmtId="167" xfId="0" applyAlignment="1" applyBorder="1" applyFill="1" applyFont="1" applyNumberFormat="1">
      <alignment horizontal="right" vertical="center"/>
    </xf>
    <xf borderId="163" fillId="0" fontId="10" numFmtId="0" xfId="0" applyBorder="1" applyFont="1"/>
    <xf borderId="1" fillId="2" fontId="36" numFmtId="0" xfId="0" applyAlignment="1" applyBorder="1" applyFill="1" applyFont="1">
      <alignment horizontal="center" vertical="center"/>
    </xf>
    <xf borderId="1" fillId="2" fontId="16" numFmtId="169" xfId="0" applyAlignment="1" applyBorder="1" applyFill="1" applyFont="1" applyNumberFormat="1">
      <alignment vertical="center"/>
    </xf>
    <xf borderId="1" fillId="2" fontId="168" numFmtId="167" xfId="0" applyAlignment="1" applyBorder="1" applyFill="1" applyFont="1" applyNumberFormat="1">
      <alignment horizontal="center"/>
    </xf>
    <xf borderId="1" fillId="2" fontId="70" numFmtId="0" xfId="0" applyAlignment="1" applyBorder="1" applyFill="1" applyFont="1">
      <alignment vertical="top"/>
    </xf>
    <xf borderId="1" fillId="2" fontId="70" numFmtId="0" xfId="0" applyAlignment="1" applyBorder="1" applyFill="1" applyFont="1">
      <alignment horizontal="center" vertical="top"/>
    </xf>
    <xf borderId="7" fillId="2" fontId="15" numFmtId="191" xfId="0" applyAlignment="1" applyBorder="1" applyFill="1" applyFont="1" applyNumberFormat="1">
      <alignment horizontal="center"/>
    </xf>
    <xf borderId="1" fillId="2" fontId="97" numFmtId="167" xfId="0" applyAlignment="1" applyBorder="1" applyFill="1" applyFont="1" applyNumberFormat="1">
      <alignment vertical="top"/>
    </xf>
    <xf borderId="164" fillId="3" fontId="17" numFmtId="167" xfId="0" applyBorder="1" applyFill="1" applyFont="1" applyNumberFormat="1"/>
    <xf borderId="165" fillId="2" fontId="1" numFmtId="0" xfId="0" applyBorder="1" applyFill="1" applyFont="1"/>
    <xf borderId="2" fillId="3" fontId="17" numFmtId="169" xfId="0" applyBorder="1" applyFill="1" applyFont="1" applyNumberFormat="1"/>
    <xf borderId="1" fillId="2" fontId="17" numFmtId="169" xfId="0" applyBorder="1" applyFill="1" applyFont="1" applyNumberFormat="1"/>
    <xf borderId="1" fillId="2" fontId="168" numFmtId="167" xfId="0" applyBorder="1" applyFill="1" applyFont="1" applyNumberFormat="1"/>
    <xf borderId="1" fillId="2" fontId="240" numFmtId="169" xfId="0" applyBorder="1" applyFill="1" applyFont="1" applyNumberFormat="1"/>
    <xf borderId="1" fillId="2" fontId="240" numFmtId="9" xfId="0" applyBorder="1" applyFill="1" applyFont="1" applyNumberFormat="1"/>
    <xf borderId="1" fillId="2" fontId="241" numFmtId="0" xfId="0" applyBorder="1" applyFill="1" applyFont="1"/>
    <xf borderId="1" fillId="2" fontId="241" numFmtId="167" xfId="0" applyBorder="1" applyFill="1" applyFont="1" applyNumberFormat="1"/>
    <xf borderId="39" fillId="2" fontId="241" numFmtId="167" xfId="0" applyBorder="1" applyFill="1" applyFont="1" applyNumberFormat="1"/>
    <xf borderId="39" fillId="2" fontId="241" numFmtId="166" xfId="0" applyBorder="1" applyFill="1" applyFont="1" applyNumberFormat="1"/>
    <xf borderId="50" fillId="2" fontId="1" numFmtId="167" xfId="0" applyBorder="1" applyFill="1" applyFont="1" applyNumberFormat="1"/>
    <xf borderId="1" fillId="2" fontId="1" numFmtId="166" xfId="0" applyAlignment="1" applyBorder="1" applyFill="1" applyFont="1" applyNumberFormat="1">
      <alignment horizontal="left"/>
    </xf>
    <xf borderId="39" fillId="2" fontId="241" numFmtId="174" xfId="0" applyBorder="1" applyFill="1" applyFont="1" applyNumberFormat="1"/>
    <xf borderId="1" fillId="2" fontId="8" numFmtId="9" xfId="0" applyAlignment="1" applyBorder="1" applyFill="1" applyFont="1" applyNumberFormat="1">
      <alignment vertical="center"/>
    </xf>
    <xf borderId="1" fillId="2" fontId="75" numFmtId="0" xfId="0" applyAlignment="1" applyBorder="1" applyFill="1" applyFont="1">
      <alignment horizontal="center"/>
    </xf>
    <xf borderId="1" fillId="2" fontId="2" numFmtId="9" xfId="0" applyAlignment="1" applyBorder="1" applyFill="1" applyFont="1" applyNumberFormat="1">
      <alignment horizontal="left"/>
    </xf>
    <xf borderId="1" fillId="2" fontId="32" numFmtId="167" xfId="0" applyAlignment="1" applyBorder="1" applyFill="1" applyFont="1" applyNumberFormat="1">
      <alignment horizontal="center"/>
    </xf>
    <xf borderId="1" fillId="2" fontId="242" numFmtId="9" xfId="0" applyAlignment="1" applyBorder="1" applyFill="1" applyFont="1" applyNumberFormat="1">
      <alignment horizontal="right" vertical="center"/>
    </xf>
    <xf borderId="1" fillId="2" fontId="242" numFmtId="9" xfId="0" applyAlignment="1" applyBorder="1" applyFill="1" applyFont="1" applyNumberFormat="1">
      <alignment horizontal="left" vertical="center"/>
    </xf>
    <xf borderId="1" fillId="2" fontId="242" numFmtId="9" xfId="0" applyAlignment="1" applyBorder="1" applyFill="1" applyFont="1" applyNumberFormat="1">
      <alignment horizontal="center" vertical="center"/>
    </xf>
    <xf borderId="1" fillId="2" fontId="1" numFmtId="9" xfId="0" applyAlignment="1" applyBorder="1" applyFill="1" applyFont="1" applyNumberFormat="1">
      <alignment vertical="center"/>
    </xf>
    <xf quotePrefix="1" borderId="1" fillId="2" fontId="16" numFmtId="9" xfId="0" applyAlignment="1" applyBorder="1" applyFill="1" applyFont="1" applyNumberFormat="1">
      <alignment horizontal="left" vertical="center"/>
    </xf>
    <xf borderId="1" fillId="2" fontId="72" numFmtId="9" xfId="0" applyAlignment="1" applyBorder="1" applyFill="1" applyFont="1" applyNumberFormat="1">
      <alignment horizontal="center"/>
    </xf>
    <xf borderId="1" fillId="2" fontId="56" numFmtId="167" xfId="0" applyBorder="1" applyFill="1" applyFont="1" applyNumberFormat="1"/>
    <xf borderId="1" fillId="2" fontId="56" numFmtId="0" xfId="0" applyBorder="1" applyFill="1" applyFont="1"/>
    <xf borderId="1" fillId="2" fontId="168" numFmtId="0" xfId="0" applyAlignment="1" applyBorder="1" applyFill="1" applyFont="1">
      <alignment horizontal="center"/>
    </xf>
    <xf borderId="1" fillId="2" fontId="168" numFmtId="164" xfId="0" applyAlignment="1" applyBorder="1" applyFill="1" applyFont="1" applyNumberFormat="1">
      <alignment horizontal="center"/>
    </xf>
    <xf borderId="1" fillId="2" fontId="241" numFmtId="174" xfId="0" applyBorder="1" applyFill="1" applyFont="1" applyNumberFormat="1"/>
    <xf borderId="1" fillId="2" fontId="241" numFmtId="166" xfId="0" applyBorder="1" applyFill="1" applyFont="1" applyNumberFormat="1"/>
    <xf borderId="1" fillId="2" fontId="15" numFmtId="9" xfId="0" applyAlignment="1" applyBorder="1" applyFill="1" applyFont="1" applyNumberFormat="1">
      <alignment vertical="center"/>
    </xf>
    <xf borderId="1" fillId="2" fontId="1" numFmtId="9" xfId="0" applyAlignment="1" applyBorder="1" applyFill="1" applyFont="1" applyNumberFormat="1">
      <alignment horizontal="center"/>
    </xf>
    <xf borderId="90" fillId="4" fontId="21" numFmtId="193" xfId="0" applyAlignment="1" applyBorder="1" applyFill="1" applyFont="1" applyNumberFormat="1">
      <alignment horizontal="center" vertical="center"/>
    </xf>
    <xf borderId="1" fillId="2" fontId="53" numFmtId="9" xfId="0" applyAlignment="1" applyBorder="1" applyFill="1" applyFont="1" applyNumberFormat="1">
      <alignment vertical="center"/>
    </xf>
    <xf borderId="1" fillId="2" fontId="1" numFmtId="37" xfId="0" applyBorder="1" applyFill="1" applyFont="1" applyNumberFormat="1"/>
    <xf borderId="7" fillId="2" fontId="36" numFmtId="0" xfId="0" applyAlignment="1" applyBorder="1" applyFill="1" applyFont="1">
      <alignment horizontal="center" shrinkToFit="0" vertical="top" wrapText="1"/>
    </xf>
    <xf borderId="1" fillId="2" fontId="243" numFmtId="174" xfId="0" applyAlignment="1" applyBorder="1" applyFill="1" applyFont="1" applyNumberFormat="1">
      <alignment vertical="center"/>
    </xf>
    <xf borderId="1" fillId="2" fontId="244" numFmtId="9" xfId="0" applyAlignment="1" applyBorder="1" applyFill="1" applyFont="1" applyNumberFormat="1">
      <alignment horizontal="left" vertical="center"/>
    </xf>
    <xf borderId="1" fillId="2" fontId="77" numFmtId="9" xfId="0" applyAlignment="1" applyBorder="1" applyFill="1" applyFont="1" applyNumberFormat="1">
      <alignment horizontal="left" vertical="center"/>
    </xf>
    <xf borderId="1" fillId="2" fontId="245" numFmtId="9" xfId="0" applyAlignment="1" applyBorder="1" applyFill="1" applyFont="1" applyNumberFormat="1">
      <alignment vertical="center"/>
    </xf>
    <xf borderId="46" fillId="2" fontId="1" numFmtId="0" xfId="0" applyBorder="1" applyFill="1" applyFont="1"/>
    <xf borderId="1" fillId="2" fontId="36" numFmtId="0" xfId="0" applyAlignment="1" applyBorder="1" applyFill="1" applyFont="1">
      <alignment horizontal="center" shrinkToFit="0" vertical="top" wrapText="1"/>
    </xf>
    <xf borderId="1" fillId="2" fontId="11" numFmtId="167" xfId="0" applyAlignment="1" applyBorder="1" applyFill="1" applyFont="1" applyNumberFormat="1">
      <alignment horizontal="right"/>
    </xf>
    <xf borderId="1" fillId="2" fontId="103" numFmtId="174" xfId="0" applyAlignment="1" applyBorder="1" applyFill="1" applyFont="1" applyNumberFormat="1">
      <alignment vertical="center"/>
    </xf>
    <xf borderId="1" fillId="2" fontId="8" numFmtId="9" xfId="0" applyAlignment="1" applyBorder="1" applyFill="1" applyFont="1" applyNumberFormat="1">
      <alignment horizontal="center"/>
    </xf>
    <xf borderId="1" fillId="2" fontId="8" numFmtId="9" xfId="0" applyAlignment="1" applyBorder="1" applyFill="1" applyFont="1" applyNumberFormat="1">
      <alignment horizontal="left"/>
    </xf>
    <xf borderId="1" fillId="2" fontId="5" numFmtId="164" xfId="0" applyBorder="1" applyFill="1" applyFont="1" applyNumberFormat="1"/>
    <xf borderId="1" fillId="2" fontId="246" numFmtId="174" xfId="0" applyAlignment="1" applyBorder="1" applyFill="1" applyFont="1" applyNumberFormat="1">
      <alignment vertical="center"/>
    </xf>
    <xf borderId="1" fillId="2" fontId="247" numFmtId="9" xfId="0" applyAlignment="1" applyBorder="1" applyFill="1" applyFont="1" applyNumberFormat="1">
      <alignment vertical="center"/>
    </xf>
    <xf borderId="1" fillId="2" fontId="248" numFmtId="174" xfId="0" applyBorder="1" applyFill="1" applyFont="1" applyNumberFormat="1"/>
    <xf borderId="1" fillId="2" fontId="36" numFmtId="174" xfId="0" applyBorder="1" applyFill="1" applyFont="1" applyNumberFormat="1"/>
    <xf borderId="1" fillId="2" fontId="36" numFmtId="0" xfId="0" applyAlignment="1" applyBorder="1" applyFill="1" applyFont="1">
      <alignment horizontal="left" shrinkToFit="0" vertical="top" wrapText="1"/>
    </xf>
    <xf borderId="1" fillId="2" fontId="189" numFmtId="9" xfId="0" applyAlignment="1" applyBorder="1" applyFill="1" applyFont="1" applyNumberFormat="1">
      <alignment horizontal="left" vertical="center"/>
    </xf>
    <xf borderId="1" fillId="8" fontId="249" numFmtId="174" xfId="0" applyAlignment="1" applyBorder="1" applyFill="1" applyFont="1" applyNumberFormat="1">
      <alignment vertical="center"/>
    </xf>
    <xf borderId="1" fillId="8" fontId="189" numFmtId="9" xfId="0" applyAlignment="1" applyBorder="1" applyFill="1" applyFont="1" applyNumberFormat="1">
      <alignment vertical="center"/>
    </xf>
    <xf borderId="1" fillId="2" fontId="189" numFmtId="9" xfId="0" applyAlignment="1" applyBorder="1" applyFill="1" applyFont="1" applyNumberFormat="1">
      <alignment vertical="center"/>
    </xf>
    <xf borderId="1" fillId="2" fontId="15" numFmtId="174" xfId="0" applyBorder="1" applyFill="1" applyFont="1" applyNumberFormat="1"/>
    <xf borderId="1" fillId="2" fontId="168" numFmtId="169" xfId="0" applyBorder="1" applyFill="1" applyFont="1" applyNumberFormat="1"/>
    <xf borderId="1" fillId="2" fontId="168" numFmtId="9" xfId="0" applyBorder="1" applyFill="1" applyFont="1" applyNumberFormat="1"/>
    <xf borderId="46" fillId="2" fontId="57" numFmtId="170" xfId="0" applyAlignment="1" applyBorder="1" applyFill="1" applyFont="1" applyNumberFormat="1">
      <alignment vertical="top"/>
    </xf>
    <xf borderId="1" fillId="15" fontId="53" numFmtId="38" xfId="0" applyAlignment="1" applyBorder="1" applyFill="1" applyFont="1" applyNumberFormat="1">
      <alignment vertical="center"/>
    </xf>
    <xf borderId="1" fillId="15" fontId="76" numFmtId="38" xfId="0" applyAlignment="1" applyBorder="1" applyFill="1" applyFont="1" applyNumberFormat="1">
      <alignment vertical="center"/>
    </xf>
    <xf borderId="1" fillId="15" fontId="240" numFmtId="38" xfId="0" applyAlignment="1" applyBorder="1" applyFill="1" applyFont="1" applyNumberFormat="1">
      <alignment horizontal="center" vertical="center"/>
    </xf>
    <xf borderId="1" fillId="2" fontId="250" numFmtId="167" xfId="0" applyBorder="1" applyFill="1" applyFont="1" applyNumberFormat="1"/>
    <xf borderId="1" fillId="2" fontId="251" numFmtId="169" xfId="0" applyBorder="1" applyFill="1" applyFont="1" applyNumberFormat="1"/>
    <xf borderId="1" fillId="2" fontId="252" numFmtId="169" xfId="0" applyBorder="1" applyFill="1" applyFont="1" applyNumberFormat="1"/>
    <xf borderId="1" fillId="2" fontId="253" numFmtId="9" xfId="0" applyBorder="1" applyFill="1" applyFont="1" applyNumberFormat="1"/>
    <xf borderId="1" fillId="2" fontId="254" numFmtId="1" xfId="0" applyAlignment="1" applyBorder="1" applyFill="1" applyFont="1" applyNumberFormat="1">
      <alignment horizontal="right"/>
    </xf>
    <xf borderId="1" fillId="20" fontId="45" numFmtId="0" xfId="0" applyAlignment="1" applyBorder="1" applyFill="1" applyFont="1">
      <alignment vertical="center"/>
    </xf>
    <xf borderId="1" fillId="20" fontId="255" numFmtId="167" xfId="0" applyBorder="1" applyFill="1" applyFont="1" applyNumberFormat="1"/>
    <xf borderId="1" fillId="20" fontId="256" numFmtId="9" xfId="0" applyAlignment="1" applyBorder="1" applyFill="1" applyFont="1" applyNumberFormat="1">
      <alignment horizontal="center"/>
    </xf>
    <xf borderId="1" fillId="18" fontId="45" numFmtId="0" xfId="0" applyAlignment="1" applyBorder="1" applyFill="1" applyFont="1">
      <alignment vertical="center"/>
    </xf>
    <xf borderId="1" fillId="18" fontId="76" numFmtId="167" xfId="0" applyBorder="1" applyFill="1" applyFont="1" applyNumberFormat="1"/>
    <xf borderId="1" fillId="18" fontId="189" numFmtId="9" xfId="0" applyAlignment="1" applyBorder="1" applyFill="1" applyFont="1" applyNumberFormat="1">
      <alignment vertical="center"/>
    </xf>
    <xf borderId="1" fillId="2" fontId="1" numFmtId="9" xfId="0" applyBorder="1" applyFill="1" applyFont="1" applyNumberFormat="1"/>
    <xf borderId="1" fillId="2" fontId="1" numFmtId="9" xfId="0" applyAlignment="1" applyBorder="1" applyFill="1" applyFont="1" applyNumberFormat="1">
      <alignment horizontal="left"/>
    </xf>
    <xf borderId="1" fillId="2" fontId="33" numFmtId="1" xfId="0" applyBorder="1" applyFill="1" applyFont="1" applyNumberFormat="1"/>
    <xf borderId="1" fillId="2" fontId="257" numFmtId="174" xfId="0" applyAlignment="1" applyBorder="1" applyFill="1" applyFont="1" applyNumberFormat="1">
      <alignment vertical="center"/>
    </xf>
    <xf borderId="39" fillId="2" fontId="103" numFmtId="174" xfId="0" applyAlignment="1" applyBorder="1" applyFill="1" applyFont="1" applyNumberFormat="1">
      <alignment vertical="center"/>
    </xf>
    <xf borderId="39" fillId="2" fontId="15" numFmtId="167" xfId="0" applyBorder="1" applyFill="1" applyFont="1" applyNumberFormat="1"/>
    <xf borderId="1" fillId="8" fontId="53" numFmtId="0" xfId="0" applyBorder="1" applyFill="1" applyFont="1"/>
    <xf borderId="1" fillId="8" fontId="20" numFmtId="0" xfId="0" applyBorder="1" applyFill="1" applyFont="1"/>
    <xf borderId="1" fillId="8" fontId="258" numFmtId="174" xfId="0" applyBorder="1" applyFill="1" applyFont="1" applyNumberFormat="1"/>
    <xf borderId="1" fillId="8" fontId="259" numFmtId="9" xfId="0" applyBorder="1" applyFill="1" applyFont="1" applyNumberFormat="1"/>
    <xf borderId="1" fillId="8" fontId="260" numFmtId="167" xfId="0" applyBorder="1" applyFill="1" applyFont="1" applyNumberFormat="1"/>
    <xf borderId="1" fillId="2" fontId="1" numFmtId="194" xfId="0" applyAlignment="1" applyBorder="1" applyFill="1" applyFont="1" applyNumberFormat="1">
      <alignment vertical="center"/>
    </xf>
    <xf quotePrefix="1" borderId="1" fillId="2" fontId="1" numFmtId="0" xfId="0" applyAlignment="1" applyBorder="1" applyFill="1" applyFont="1">
      <alignment vertical="center"/>
    </xf>
    <xf quotePrefix="1" borderId="1" fillId="2" fontId="1" numFmtId="0" xfId="0" applyBorder="1" applyFill="1" applyFont="1"/>
    <xf borderId="1" fillId="2" fontId="57" numFmtId="9" xfId="0" applyAlignment="1" applyBorder="1" applyFill="1" applyFont="1" applyNumberFormat="1">
      <alignment vertical="center"/>
    </xf>
    <xf borderId="1" fillId="2" fontId="32" numFmtId="9" xfId="0" applyAlignment="1" applyBorder="1" applyFill="1" applyFont="1" applyNumberFormat="1">
      <alignment horizontal="center"/>
    </xf>
    <xf borderId="153" fillId="3" fontId="17" numFmtId="10" xfId="0" applyAlignment="1" applyBorder="1" applyFill="1" applyFont="1" applyNumberFormat="1">
      <alignment horizontal="center"/>
    </xf>
    <xf borderId="1" fillId="2" fontId="215" numFmtId="10" xfId="0" applyAlignment="1" applyBorder="1" applyFill="1" applyFont="1" applyNumberFormat="1">
      <alignment horizontal="center"/>
    </xf>
    <xf borderId="2" fillId="3" fontId="17" numFmtId="195" xfId="0" applyAlignment="1" applyBorder="1" applyFill="1" applyFont="1" applyNumberFormat="1">
      <alignment horizontal="center"/>
    </xf>
    <xf borderId="166" fillId="2" fontId="215" numFmtId="195" xfId="0" applyAlignment="1" applyBorder="1" applyFill="1" applyFont="1" applyNumberFormat="1">
      <alignment horizontal="center"/>
    </xf>
    <xf borderId="167" fillId="0" fontId="10" numFmtId="0" xfId="0" applyBorder="1" applyFont="1"/>
    <xf borderId="1" fillId="2" fontId="215" numFmtId="195" xfId="0" applyBorder="1" applyFill="1" applyFont="1" applyNumberFormat="1"/>
    <xf borderId="2" fillId="3" fontId="17" numFmtId="3" xfId="0" applyAlignment="1" applyBorder="1" applyFill="1" applyFont="1" applyNumberFormat="1">
      <alignment horizontal="center"/>
    </xf>
    <xf borderId="1" fillId="2" fontId="261" numFmtId="1" xfId="0" applyBorder="1" applyFill="1" applyFont="1" applyNumberFormat="1"/>
    <xf borderId="1" fillId="2" fontId="32" numFmtId="1" xfId="0" applyBorder="1" applyFill="1" applyFont="1" applyNumberFormat="1"/>
    <xf borderId="7" fillId="2" fontId="75" numFmtId="38" xfId="0" applyAlignment="1" applyBorder="1" applyFill="1" applyFont="1" applyNumberFormat="1">
      <alignment horizontal="center"/>
    </xf>
    <xf borderId="1" fillId="2" fontId="75" numFmtId="38" xfId="0" applyAlignment="1" applyBorder="1" applyFill="1" applyFont="1" applyNumberFormat="1">
      <alignment horizontal="center"/>
    </xf>
    <xf borderId="1" fillId="2" fontId="215" numFmtId="38" xfId="0" applyAlignment="1" applyBorder="1" applyFill="1" applyFont="1" applyNumberFormat="1">
      <alignment horizontal="center"/>
    </xf>
    <xf borderId="1" fillId="2" fontId="103" numFmtId="0" xfId="0" applyAlignment="1" applyBorder="1" applyFill="1" applyFont="1">
      <alignment vertical="center"/>
    </xf>
    <xf borderId="1" fillId="2" fontId="195" numFmtId="0" xfId="0" applyAlignment="1" applyBorder="1" applyFill="1" applyFont="1">
      <alignment horizontal="right"/>
    </xf>
    <xf borderId="2" fillId="3" fontId="262" numFmtId="167" xfId="0" applyBorder="1" applyFill="1" applyFont="1" applyNumberFormat="1"/>
    <xf borderId="1" fillId="2" fontId="33" numFmtId="174" xfId="0" applyAlignment="1" applyBorder="1" applyFill="1" applyFont="1" applyNumberFormat="1">
      <alignment horizontal="right"/>
    </xf>
    <xf borderId="1" fillId="2" fontId="72" numFmtId="0" xfId="0" applyAlignment="1" applyBorder="1" applyFill="1" applyFont="1">
      <alignment vertical="center"/>
    </xf>
    <xf borderId="1" fillId="2" fontId="71" numFmtId="0" xfId="0" applyAlignment="1" applyBorder="1" applyFill="1" applyFont="1">
      <alignment horizontal="center"/>
    </xf>
    <xf borderId="1" fillId="2" fontId="33" numFmtId="174" xfId="0" applyAlignment="1" applyBorder="1" applyFill="1" applyFont="1" applyNumberFormat="1">
      <alignment horizontal="left"/>
    </xf>
    <xf borderId="7" fillId="2" fontId="75" numFmtId="174" xfId="0" applyAlignment="1" applyBorder="1" applyFill="1" applyFont="1" applyNumberFormat="1">
      <alignment horizontal="right"/>
    </xf>
    <xf borderId="1" fillId="2" fontId="75" numFmtId="174" xfId="0" applyAlignment="1" applyBorder="1" applyFill="1" applyFont="1" applyNumberFormat="1">
      <alignment horizontal="center"/>
    </xf>
    <xf borderId="1" fillId="2" fontId="71" numFmtId="174" xfId="0" applyAlignment="1" applyBorder="1" applyFill="1" applyFont="1" applyNumberFormat="1">
      <alignment horizontal="center"/>
    </xf>
    <xf borderId="39" fillId="2" fontId="1" numFmtId="0" xfId="0" applyAlignment="1" applyBorder="1" applyFill="1" applyFont="1">
      <alignment horizontal="center"/>
    </xf>
    <xf borderId="1" fillId="2" fontId="36" numFmtId="174" xfId="0" applyAlignment="1" applyBorder="1" applyFill="1" applyFont="1" applyNumberFormat="1">
      <alignment horizontal="center"/>
    </xf>
    <xf borderId="1" fillId="2" fontId="36" numFmtId="169" xfId="0" applyBorder="1" applyFill="1" applyFont="1" applyNumberFormat="1"/>
    <xf borderId="1" fillId="2" fontId="36" numFmtId="9" xfId="0" applyBorder="1" applyFill="1" applyFont="1" applyNumberFormat="1"/>
    <xf borderId="1" fillId="2" fontId="14" numFmtId="9" xfId="0" applyBorder="1" applyFill="1" applyFont="1" applyNumberFormat="1"/>
    <xf borderId="7" fillId="2" fontId="36" numFmtId="174" xfId="0" applyAlignment="1" applyBorder="1" applyFill="1" applyFont="1" applyNumberFormat="1">
      <alignment horizontal="right"/>
    </xf>
    <xf borderId="1" fillId="2" fontId="263" numFmtId="0" xfId="0" applyAlignment="1" applyBorder="1" applyFill="1" applyFont="1">
      <alignment shrinkToFit="0" wrapText="1"/>
    </xf>
    <xf borderId="1" fillId="2" fontId="1" numFmtId="174" xfId="0" applyAlignment="1" applyBorder="1" applyFill="1" applyFont="1" applyNumberFormat="1">
      <alignment horizontal="right" vertical="center"/>
    </xf>
    <xf borderId="153" fillId="3" fontId="17" numFmtId="167" xfId="0" applyAlignment="1" applyBorder="1" applyFill="1" applyFont="1" applyNumberFormat="1">
      <alignment horizontal="right" vertical="center"/>
    </xf>
    <xf borderId="1" fillId="2" fontId="36" numFmtId="0" xfId="0" applyAlignment="1" applyBorder="1" applyFill="1" applyFont="1">
      <alignment horizontal="left" vertical="center"/>
    </xf>
    <xf borderId="2" fillId="3" fontId="74" numFmtId="1" xfId="0" applyAlignment="1" applyBorder="1" applyFill="1" applyFont="1" applyNumberFormat="1">
      <alignment horizontal="center" vertical="center"/>
    </xf>
    <xf borderId="1" fillId="2" fontId="15" numFmtId="174" xfId="0" applyAlignment="1" applyBorder="1" applyFill="1" applyFont="1" applyNumberFormat="1">
      <alignment horizontal="right" vertical="center"/>
    </xf>
    <xf borderId="27" fillId="0" fontId="74" numFmtId="10" xfId="0" applyAlignment="1" applyBorder="1" applyFont="1" applyNumberFormat="1">
      <alignment horizontal="center" vertical="center"/>
    </xf>
    <xf borderId="1" fillId="2" fontId="15" numFmtId="174" xfId="0" applyAlignment="1" applyBorder="1" applyFill="1" applyFont="1" applyNumberFormat="1">
      <alignment horizontal="center" vertical="center"/>
    </xf>
    <xf quotePrefix="1" borderId="92" fillId="8" fontId="72" numFmtId="0" xfId="0" applyAlignment="1" applyBorder="1" applyFill="1" applyFont="1">
      <alignment horizontal="center"/>
    </xf>
    <xf borderId="7" fillId="2" fontId="1" numFmtId="174" xfId="0" applyAlignment="1" applyBorder="1" applyFill="1" applyFont="1" applyNumberFormat="1">
      <alignment horizontal="right" vertical="center"/>
    </xf>
    <xf borderId="67" fillId="8" fontId="1" numFmtId="0" xfId="0" applyAlignment="1" applyBorder="1" applyFill="1" applyFont="1">
      <alignment horizontal="center"/>
    </xf>
    <xf borderId="68" fillId="8" fontId="1" numFmtId="0" xfId="0" applyAlignment="1" applyBorder="1" applyFill="1" applyFont="1">
      <alignment horizontal="center"/>
    </xf>
    <xf borderId="27" fillId="0" fontId="17" numFmtId="10" xfId="0" applyAlignment="1" applyBorder="1" applyFont="1" applyNumberFormat="1">
      <alignment horizontal="center" vertical="center"/>
    </xf>
    <xf borderId="96" fillId="2" fontId="1" numFmtId="174" xfId="0" applyAlignment="1" applyBorder="1" applyFill="1" applyFont="1" applyNumberFormat="1">
      <alignment horizontal="right" vertical="center"/>
    </xf>
    <xf borderId="74" fillId="8" fontId="17" numFmtId="10" xfId="0" applyAlignment="1" applyBorder="1" applyFill="1" applyFont="1" applyNumberFormat="1">
      <alignment horizontal="center"/>
    </xf>
    <xf borderId="73" fillId="8" fontId="1" numFmtId="0" xfId="0" applyAlignment="1" applyBorder="1" applyFill="1" applyFont="1">
      <alignment horizontal="center"/>
    </xf>
    <xf borderId="7" fillId="2" fontId="1" numFmtId="174" xfId="0" applyAlignment="1" applyBorder="1" applyFill="1" applyFont="1" applyNumberFormat="1">
      <alignment horizontal="center"/>
    </xf>
    <xf borderId="7" fillId="2" fontId="1" numFmtId="174" xfId="0" applyAlignment="1" applyBorder="1" applyFill="1" applyFont="1" applyNumberFormat="1">
      <alignment horizontal="right"/>
    </xf>
    <xf borderId="39" fillId="2" fontId="1" numFmtId="174" xfId="0" applyAlignment="1" applyBorder="1" applyFill="1" applyFont="1" applyNumberFormat="1">
      <alignment horizontal="center"/>
    </xf>
    <xf borderId="1" fillId="2" fontId="1" numFmtId="174" xfId="0" applyAlignment="1" applyBorder="1" applyFill="1" applyFont="1" applyNumberFormat="1">
      <alignment horizontal="center"/>
    </xf>
    <xf borderId="7" fillId="2" fontId="264" numFmtId="174" xfId="0" applyAlignment="1" applyBorder="1" applyFill="1" applyFont="1" applyNumberFormat="1">
      <alignment horizontal="right"/>
    </xf>
    <xf borderId="1" fillId="2" fontId="265" numFmtId="174" xfId="0" applyBorder="1" applyFill="1" applyFont="1" applyNumberFormat="1"/>
    <xf borderId="12" fillId="2" fontId="72" numFmtId="0" xfId="0" applyAlignment="1" applyBorder="1" applyFill="1" applyFont="1">
      <alignment horizontal="center"/>
    </xf>
    <xf borderId="108" fillId="15" fontId="14" numFmtId="174" xfId="0" applyAlignment="1" applyBorder="1" applyFill="1" applyFont="1" applyNumberFormat="1">
      <alignment horizontal="right"/>
    </xf>
    <xf borderId="1" fillId="2" fontId="266" numFmtId="0" xfId="0" applyBorder="1" applyFill="1" applyFont="1"/>
    <xf borderId="7" fillId="2" fontId="266" numFmtId="167" xfId="0" applyAlignment="1" applyBorder="1" applyFill="1" applyFont="1" applyNumberFormat="1">
      <alignment horizontal="right"/>
    </xf>
    <xf borderId="1" fillId="2" fontId="267" numFmtId="169" xfId="0" applyBorder="1" applyFill="1" applyFont="1" applyNumberFormat="1"/>
    <xf borderId="1" fillId="2" fontId="267" numFmtId="9" xfId="0" applyBorder="1" applyFill="1" applyFont="1" applyNumberFormat="1"/>
    <xf borderId="7" fillId="2" fontId="15" numFmtId="167" xfId="0" applyAlignment="1" applyBorder="1" applyFill="1" applyFont="1" applyNumberFormat="1">
      <alignment horizontal="right"/>
    </xf>
    <xf borderId="1" fillId="2" fontId="15" numFmtId="191" xfId="0" applyBorder="1" applyFill="1" applyFont="1" applyNumberFormat="1"/>
    <xf borderId="1" fillId="2" fontId="15" numFmtId="167" xfId="0" applyAlignment="1" applyBorder="1" applyFill="1" applyFont="1" applyNumberFormat="1">
      <alignment horizontal="right"/>
    </xf>
    <xf borderId="1" fillId="2" fontId="1" numFmtId="167" xfId="0" applyAlignment="1" applyBorder="1" applyFill="1" applyFont="1" applyNumberFormat="1">
      <alignment horizontal="right"/>
    </xf>
    <xf borderId="64" fillId="8" fontId="1" numFmtId="167" xfId="0" applyBorder="1" applyFill="1" applyFont="1" applyNumberFormat="1"/>
    <xf borderId="50" fillId="8" fontId="1" numFmtId="0" xfId="0" applyBorder="1" applyFill="1" applyFont="1"/>
    <xf borderId="50" fillId="8" fontId="1" numFmtId="174" xfId="0" applyBorder="1" applyFill="1" applyFont="1" applyNumberFormat="1"/>
    <xf borderId="65" fillId="8" fontId="1" numFmtId="174" xfId="0" applyBorder="1" applyFill="1" applyFont="1" applyNumberFormat="1"/>
    <xf borderId="1" fillId="8" fontId="17" numFmtId="0" xfId="0" applyAlignment="1" applyBorder="1" applyFill="1" applyFont="1">
      <alignment horizontal="center"/>
    </xf>
    <xf borderId="1" fillId="2" fontId="59" numFmtId="0" xfId="0" applyAlignment="1" applyBorder="1" applyFill="1" applyFont="1">
      <alignment vertical="center"/>
    </xf>
    <xf borderId="1" fillId="2" fontId="16" numFmtId="9" xfId="0" applyAlignment="1" applyBorder="1" applyFill="1" applyFont="1" applyNumberFormat="1">
      <alignment horizontal="left" vertical="center"/>
    </xf>
    <xf borderId="1" fillId="2" fontId="15" numFmtId="0" xfId="0" applyAlignment="1" applyBorder="1" applyFill="1" applyFont="1">
      <alignment horizontal="right" vertical="center"/>
    </xf>
    <xf borderId="2" fillId="3" fontId="17" numFmtId="9" xfId="0" applyAlignment="1" applyBorder="1" applyFill="1" applyFont="1" applyNumberFormat="1">
      <alignment horizontal="center" vertical="center"/>
    </xf>
    <xf quotePrefix="1" borderId="1" fillId="2" fontId="15" numFmtId="0" xfId="0" applyAlignment="1" applyBorder="1" applyFill="1" applyFont="1">
      <alignment horizontal="center" vertical="center"/>
    </xf>
    <xf borderId="1" fillId="2" fontId="8" numFmtId="169" xfId="0" applyAlignment="1" applyBorder="1" applyFill="1" applyFont="1" applyNumberFormat="1">
      <alignment horizontal="center"/>
    </xf>
    <xf borderId="77" fillId="2" fontId="15" numFmtId="167" xfId="0" applyBorder="1" applyFill="1" applyFont="1" applyNumberFormat="1"/>
    <xf borderId="1" fillId="2" fontId="72" numFmtId="167" xfId="0" applyBorder="1" applyFill="1" applyFont="1" applyNumberFormat="1"/>
    <xf borderId="39" fillId="2" fontId="15" numFmtId="174" xfId="0" applyBorder="1" applyFill="1" applyFont="1" applyNumberFormat="1"/>
    <xf borderId="50" fillId="2" fontId="15" numFmtId="167" xfId="0" applyBorder="1" applyFill="1" applyFont="1" applyNumberFormat="1"/>
    <xf borderId="1" fillId="2" fontId="15" numFmtId="9" xfId="0" applyAlignment="1" applyBorder="1" applyFill="1" applyFont="1" applyNumberFormat="1">
      <alignment horizontal="left" vertical="center"/>
    </xf>
    <xf borderId="1" fillId="2" fontId="8" numFmtId="169" xfId="0" applyAlignment="1" applyBorder="1" applyFill="1" applyFont="1" applyNumberFormat="1">
      <alignment horizontal="left"/>
    </xf>
    <xf borderId="7" fillId="2" fontId="268" numFmtId="167" xfId="0" applyAlignment="1" applyBorder="1" applyFill="1" applyFont="1" applyNumberFormat="1">
      <alignment horizontal="right"/>
    </xf>
    <xf borderId="1" fillId="2" fontId="269" numFmtId="9" xfId="0" applyBorder="1" applyFill="1" applyFont="1" applyNumberFormat="1"/>
    <xf borderId="7" fillId="2" fontId="270" numFmtId="167" xfId="0" applyAlignment="1" applyBorder="1" applyFill="1" applyFont="1" applyNumberFormat="1">
      <alignment horizontal="right"/>
    </xf>
    <xf borderId="1" fillId="2" fontId="271" numFmtId="169" xfId="0" applyBorder="1" applyFill="1" applyFont="1" applyNumberFormat="1"/>
    <xf borderId="1" fillId="2" fontId="272" numFmtId="9" xfId="0" applyBorder="1" applyFill="1" applyFont="1" applyNumberFormat="1"/>
    <xf borderId="1" fillId="2" fontId="273" numFmtId="0" xfId="0" applyBorder="1" applyFill="1" applyFont="1"/>
    <xf borderId="44" fillId="2" fontId="273" numFmtId="0" xfId="0" applyBorder="1" applyFill="1" applyFont="1"/>
    <xf borderId="1" fillId="2" fontId="273" numFmtId="49" xfId="0" applyBorder="1" applyFill="1" applyFont="1" applyNumberFormat="1"/>
    <xf borderId="1" fillId="2" fontId="274" numFmtId="3" xfId="0" applyAlignment="1" applyBorder="1" applyFill="1" applyFont="1" applyNumberFormat="1">
      <alignment horizontal="center"/>
    </xf>
    <xf borderId="7" fillId="2" fontId="14" numFmtId="0" xfId="0" applyAlignment="1" applyBorder="1" applyFill="1" applyFont="1">
      <alignment horizontal="center"/>
    </xf>
    <xf borderId="1" fillId="2" fontId="274" numFmtId="0" xfId="0" applyBorder="1" applyFill="1" applyFont="1"/>
    <xf borderId="1" fillId="2" fontId="274" numFmtId="49" xfId="0" applyBorder="1" applyFill="1" applyFont="1" applyNumberFormat="1"/>
    <xf borderId="1" fillId="2" fontId="275" numFmtId="0" xfId="0" applyAlignment="1" applyBorder="1" applyFill="1" applyFont="1">
      <alignment vertical="center"/>
    </xf>
    <xf borderId="1" fillId="2" fontId="276" numFmtId="0" xfId="0" applyBorder="1" applyFill="1" applyFont="1"/>
    <xf borderId="1" fillId="2" fontId="277" numFmtId="0" xfId="0" applyBorder="1" applyFill="1" applyFont="1"/>
    <xf borderId="1" fillId="2" fontId="276" numFmtId="0" xfId="0" applyAlignment="1" applyBorder="1" applyFill="1" applyFont="1">
      <alignment horizontal="right"/>
    </xf>
    <xf borderId="1" fillId="2" fontId="274" numFmtId="0" xfId="0" applyAlignment="1" applyBorder="1" applyFill="1" applyFont="1">
      <alignment vertical="center"/>
    </xf>
    <xf borderId="1" fillId="2" fontId="275" numFmtId="0" xfId="0" applyAlignment="1" applyBorder="1" applyFill="1" applyFont="1">
      <alignment horizontal="center" vertical="center"/>
    </xf>
    <xf borderId="1" fillId="2" fontId="275" numFmtId="49" xfId="0" applyAlignment="1" applyBorder="1" applyFill="1" applyFont="1" applyNumberFormat="1">
      <alignment horizontal="center" vertical="center"/>
    </xf>
    <xf borderId="1" fillId="2" fontId="274" numFmtId="0" xfId="0" applyAlignment="1" applyBorder="1" applyFill="1" applyFont="1">
      <alignment horizontal="right" vertical="center"/>
    </xf>
    <xf borderId="1" fillId="2" fontId="276" numFmtId="0" xfId="0" applyAlignment="1" applyBorder="1" applyFill="1" applyFont="1">
      <alignment horizontal="right" vertical="center"/>
    </xf>
    <xf borderId="168" fillId="0" fontId="278" numFmtId="37" xfId="0" applyAlignment="1" applyBorder="1" applyFont="1" applyNumberFormat="1">
      <alignment vertical="center"/>
    </xf>
    <xf borderId="1" fillId="2" fontId="1" numFmtId="49" xfId="0" applyAlignment="1" applyBorder="1" applyFill="1" applyFont="1" applyNumberFormat="1">
      <alignment horizontal="center"/>
    </xf>
    <xf borderId="1" fillId="2" fontId="56" numFmtId="0" xfId="0" applyAlignment="1" applyBorder="1" applyFill="1" applyFont="1">
      <alignment vertical="center"/>
    </xf>
    <xf borderId="1" fillId="2" fontId="249" numFmtId="0" xfId="0" applyAlignment="1" applyBorder="1" applyFill="1" applyFont="1">
      <alignment vertical="center"/>
    </xf>
    <xf borderId="1" fillId="2" fontId="249" numFmtId="49" xfId="0" applyAlignment="1" applyBorder="1" applyFill="1" applyFont="1" applyNumberFormat="1">
      <alignment vertical="center"/>
    </xf>
    <xf borderId="1" fillId="2" fontId="103" numFmtId="3" xfId="0" applyAlignment="1" applyBorder="1" applyFill="1" applyFont="1" applyNumberFormat="1">
      <alignment horizontal="center" vertical="center"/>
    </xf>
    <xf borderId="1" fillId="2" fontId="249" numFmtId="0" xfId="0" applyAlignment="1" applyBorder="1" applyFill="1" applyFont="1">
      <alignment horizontal="center" vertical="center"/>
    </xf>
    <xf quotePrefix="1" borderId="1" fillId="2" fontId="103" numFmtId="0" xfId="0" applyAlignment="1" applyBorder="1" applyFill="1" applyFont="1">
      <alignment vertical="center"/>
    </xf>
    <xf borderId="39" fillId="2" fontId="15" numFmtId="174" xfId="0" applyAlignment="1" applyBorder="1" applyFill="1" applyFont="1" applyNumberFormat="1">
      <alignment vertical="center"/>
    </xf>
    <xf borderId="1" fillId="2" fontId="103" numFmtId="49" xfId="0" applyAlignment="1" applyBorder="1" applyFill="1" applyFont="1" applyNumberFormat="1">
      <alignment vertical="center"/>
    </xf>
    <xf borderId="1" fillId="2" fontId="103" numFmtId="174" xfId="0" applyAlignment="1" applyBorder="1" applyFill="1" applyFont="1" applyNumberFormat="1">
      <alignment horizontal="right" vertical="center"/>
    </xf>
    <xf quotePrefix="1" borderId="1" fillId="2" fontId="279" numFmtId="0" xfId="0" applyAlignment="1" applyBorder="1" applyFill="1" applyFont="1">
      <alignment vertical="center"/>
    </xf>
    <xf borderId="1" fillId="2" fontId="279" numFmtId="0" xfId="0" applyAlignment="1" applyBorder="1" applyFill="1" applyFont="1">
      <alignment horizontal="right" vertical="center"/>
    </xf>
    <xf borderId="168" fillId="0" fontId="74" numFmtId="174" xfId="0" applyAlignment="1" applyBorder="1" applyFont="1" applyNumberFormat="1">
      <alignment vertical="center"/>
    </xf>
    <xf borderId="1" fillId="2" fontId="203" numFmtId="0" xfId="0" applyAlignment="1" applyBorder="1" applyFill="1" applyFont="1">
      <alignment vertical="center"/>
    </xf>
    <xf borderId="1" fillId="2" fontId="55" numFmtId="0" xfId="0" applyAlignment="1" applyBorder="1" applyFill="1" applyFont="1">
      <alignment vertical="center"/>
    </xf>
    <xf borderId="1" fillId="2" fontId="164" numFmtId="0" xfId="0" applyAlignment="1" applyBorder="1" applyFill="1" applyFont="1">
      <alignment vertical="center"/>
    </xf>
    <xf borderId="1" fillId="2" fontId="280" numFmtId="0" xfId="0" applyAlignment="1" applyBorder="1" applyFill="1" applyFont="1">
      <alignment vertical="center"/>
    </xf>
    <xf borderId="1" fillId="2" fontId="281" numFmtId="37" xfId="0" applyAlignment="1" applyBorder="1" applyFill="1" applyFont="1" applyNumberFormat="1">
      <alignment horizontal="center" vertical="center"/>
    </xf>
    <xf borderId="1" fillId="2" fontId="282" numFmtId="49" xfId="0" applyAlignment="1" applyBorder="1" applyFill="1" applyFont="1" applyNumberFormat="1">
      <alignment horizontal="center" vertical="center"/>
    </xf>
    <xf borderId="1" fillId="2" fontId="103" numFmtId="0" xfId="0" applyAlignment="1" applyBorder="1" applyFill="1" applyFont="1">
      <alignment vertical="top"/>
    </xf>
    <xf borderId="1" fillId="2" fontId="203" numFmtId="37" xfId="0" applyAlignment="1" applyBorder="1" applyFill="1" applyFont="1" applyNumberFormat="1">
      <alignment horizontal="center" vertical="top"/>
    </xf>
    <xf borderId="1" fillId="2" fontId="203" numFmtId="49" xfId="0" applyAlignment="1" applyBorder="1" applyFill="1" applyFont="1" applyNumberFormat="1">
      <alignment horizontal="center" vertical="top"/>
    </xf>
    <xf borderId="1" fillId="2" fontId="203" numFmtId="3" xfId="0" applyAlignment="1" applyBorder="1" applyFill="1" applyFont="1" applyNumberFormat="1">
      <alignment horizontal="center" vertical="top"/>
    </xf>
    <xf borderId="1" fillId="2" fontId="103" numFmtId="3" xfId="0" applyAlignment="1" applyBorder="1" applyFill="1" applyFont="1" applyNumberFormat="1">
      <alignment horizontal="center" vertical="top"/>
    </xf>
    <xf borderId="1" fillId="2" fontId="56" numFmtId="0" xfId="0" applyAlignment="1" applyBorder="1" applyFill="1" applyFont="1">
      <alignment horizontal="right"/>
    </xf>
    <xf borderId="66" fillId="18" fontId="56" numFmtId="39" xfId="0" applyAlignment="1" applyBorder="1" applyFill="1" applyFont="1" applyNumberFormat="1">
      <alignment horizontal="center"/>
    </xf>
    <xf borderId="1" fillId="2" fontId="56" numFmtId="49" xfId="0" applyAlignment="1" applyBorder="1" applyFill="1" applyFont="1" applyNumberFormat="1">
      <alignment horizontal="center"/>
    </xf>
    <xf borderId="1" fillId="2" fontId="45" numFmtId="0" xfId="0" applyBorder="1" applyFill="1" applyFont="1"/>
    <xf borderId="1" fillId="2" fontId="75" numFmtId="4" xfId="0" applyAlignment="1" applyBorder="1" applyFill="1" applyFont="1" applyNumberFormat="1">
      <alignment horizontal="center"/>
    </xf>
    <xf borderId="76" fillId="18" fontId="283" numFmtId="37" xfId="0" applyAlignment="1" applyBorder="1" applyFill="1" applyFont="1" applyNumberFormat="1">
      <alignment horizontal="center" vertical="top"/>
    </xf>
    <xf quotePrefix="1" borderId="1" fillId="2" fontId="103" numFmtId="0" xfId="0" applyBorder="1" applyFill="1" applyFont="1"/>
    <xf borderId="1" fillId="2" fontId="103" numFmtId="174" xfId="0" applyBorder="1" applyFill="1" applyFont="1" applyNumberFormat="1"/>
    <xf borderId="1" fillId="2" fontId="103" numFmtId="49" xfId="0" applyBorder="1" applyFill="1" applyFont="1" applyNumberFormat="1"/>
    <xf borderId="1" fillId="2" fontId="103" numFmtId="174" xfId="0" applyAlignment="1" applyBorder="1" applyFill="1" applyFont="1" applyNumberFormat="1">
      <alignment horizontal="right"/>
    </xf>
    <xf borderId="67" fillId="8" fontId="1" numFmtId="0" xfId="0" applyAlignment="1" applyBorder="1" applyFill="1" applyFont="1">
      <alignment vertical="center"/>
    </xf>
    <xf borderId="1" fillId="2" fontId="151" numFmtId="174" xfId="0" applyBorder="1" applyFill="1" applyFont="1" applyNumberFormat="1"/>
    <xf borderId="1" fillId="8" fontId="1" numFmtId="0" xfId="0" applyAlignment="1" applyBorder="1" applyFill="1" applyFont="1">
      <alignment vertical="center"/>
    </xf>
    <xf borderId="1" fillId="2" fontId="284" numFmtId="37" xfId="0" applyAlignment="1" applyBorder="1" applyFill="1" applyFont="1" applyNumberFormat="1">
      <alignment vertical="center"/>
    </xf>
    <xf borderId="1" fillId="2" fontId="285" numFmtId="49" xfId="0" applyAlignment="1" applyBorder="1" applyFill="1" applyFont="1" applyNumberFormat="1">
      <alignment vertical="center"/>
    </xf>
    <xf borderId="1" fillId="2" fontId="286" numFmtId="3" xfId="0" applyAlignment="1" applyBorder="1" applyFill="1" applyFont="1" applyNumberFormat="1">
      <alignment horizontal="right" vertical="center"/>
    </xf>
    <xf borderId="68" fillId="8" fontId="1" numFmtId="174" xfId="0" applyAlignment="1" applyBorder="1" applyFill="1" applyFont="1" applyNumberFormat="1">
      <alignment vertical="center"/>
    </xf>
    <xf borderId="1" fillId="2" fontId="75" numFmtId="0" xfId="0" applyAlignment="1" applyBorder="1" applyFill="1" applyFont="1">
      <alignment vertical="center"/>
    </xf>
    <xf borderId="1" fillId="2" fontId="287" numFmtId="49" xfId="0" applyAlignment="1" applyBorder="1" applyFill="1" applyFont="1" applyNumberFormat="1">
      <alignment vertical="center"/>
    </xf>
    <xf borderId="46" fillId="2" fontId="75" numFmtId="174" xfId="0" applyAlignment="1" applyBorder="1" applyFill="1" applyFont="1" applyNumberFormat="1">
      <alignment vertical="center"/>
    </xf>
    <xf borderId="1" fillId="2" fontId="249" numFmtId="0" xfId="0" applyAlignment="1" applyBorder="1" applyFill="1" applyFont="1">
      <alignment horizontal="center" vertical="top"/>
    </xf>
    <xf borderId="1" fillId="2" fontId="288" numFmtId="0" xfId="0" applyAlignment="1" applyBorder="1" applyFill="1" applyFont="1">
      <alignment vertical="top"/>
    </xf>
    <xf borderId="1" fillId="2" fontId="203" numFmtId="174" xfId="0" applyAlignment="1" applyBorder="1" applyFill="1" applyFont="1" applyNumberFormat="1">
      <alignment vertical="top"/>
    </xf>
    <xf borderId="1" fillId="2" fontId="203" numFmtId="49" xfId="0" applyAlignment="1" applyBorder="1" applyFill="1" applyFont="1" applyNumberFormat="1">
      <alignment vertical="top"/>
    </xf>
    <xf borderId="1" fillId="2" fontId="203" numFmtId="174" xfId="0" applyAlignment="1" applyBorder="1" applyFill="1" applyFont="1" applyNumberFormat="1">
      <alignment horizontal="center" vertical="top"/>
    </xf>
    <xf borderId="1" fillId="2" fontId="15" numFmtId="174" xfId="0" applyAlignment="1" applyBorder="1" applyFill="1" applyFont="1" applyNumberFormat="1">
      <alignment vertical="top"/>
    </xf>
    <xf borderId="1" fillId="2" fontId="5" numFmtId="164" xfId="0" applyAlignment="1" applyBorder="1" applyFill="1" applyFont="1" applyNumberFormat="1">
      <alignment horizontal="center" vertical="center"/>
    </xf>
    <xf borderId="1" fillId="2" fontId="168" numFmtId="0" xfId="0" applyAlignment="1" applyBorder="1" applyFill="1" applyFont="1">
      <alignment horizontal="center" vertical="center"/>
    </xf>
    <xf borderId="67" fillId="8" fontId="1" numFmtId="167" xfId="0" applyBorder="1" applyFill="1" applyFont="1" applyNumberFormat="1"/>
    <xf borderId="1" fillId="2" fontId="57" numFmtId="0" xfId="0" applyAlignment="1" applyBorder="1" applyFill="1" applyFont="1">
      <alignment horizontal="left" vertical="center"/>
    </xf>
    <xf borderId="1" fillId="2" fontId="57" numFmtId="9" xfId="0" applyAlignment="1" applyBorder="1" applyFill="1" applyFont="1" applyNumberFormat="1">
      <alignment horizontal="left" vertical="center"/>
    </xf>
    <xf borderId="1" fillId="2" fontId="289" numFmtId="0" xfId="0" applyBorder="1" applyFill="1" applyFont="1"/>
    <xf borderId="1" fillId="2" fontId="290" numFmtId="37" xfId="0" applyAlignment="1" applyBorder="1" applyFill="1" applyFont="1" applyNumberFormat="1">
      <alignment horizontal="center"/>
    </xf>
    <xf borderId="1" fillId="2" fontId="291" numFmtId="49" xfId="0" applyBorder="1" applyFill="1" applyFont="1" applyNumberFormat="1"/>
    <xf borderId="1" fillId="2" fontId="16" numFmtId="174" xfId="0" applyAlignment="1" applyBorder="1" applyFill="1" applyFont="1" applyNumberFormat="1">
      <alignment vertical="center"/>
    </xf>
    <xf borderId="1" fillId="2" fontId="103" numFmtId="37" xfId="0" applyAlignment="1" applyBorder="1" applyFill="1" applyFont="1" applyNumberFormat="1">
      <alignment horizontal="center"/>
    </xf>
    <xf borderId="1" fillId="2" fontId="75" numFmtId="0" xfId="0" applyAlignment="1" applyBorder="1" applyFill="1" applyFont="1">
      <alignment horizontal="center" vertical="center"/>
    </xf>
    <xf borderId="1" fillId="2" fontId="249" numFmtId="0" xfId="0" applyAlignment="1" applyBorder="1" applyFill="1" applyFont="1">
      <alignment horizontal="right" vertical="center"/>
    </xf>
    <xf borderId="1" fillId="2" fontId="249" numFmtId="49" xfId="0" applyAlignment="1" applyBorder="1" applyFill="1" applyFont="1" applyNumberFormat="1">
      <alignment horizontal="right" vertical="center"/>
    </xf>
    <xf borderId="1" fillId="2" fontId="249" numFmtId="4" xfId="0" applyAlignment="1" applyBorder="1" applyFill="1" applyFont="1" applyNumberFormat="1">
      <alignment horizontal="center" vertical="center"/>
    </xf>
    <xf borderId="1" fillId="2" fontId="292" numFmtId="0" xfId="0" applyAlignment="1" applyBorder="1" applyFill="1" applyFont="1">
      <alignment shrinkToFit="0" vertical="center" wrapText="1"/>
    </xf>
    <xf borderId="1" fillId="2" fontId="293" numFmtId="0" xfId="0" applyAlignment="1" applyBorder="1" applyFill="1" applyFont="1">
      <alignment horizontal="right" shrinkToFit="0" vertical="center" wrapText="1"/>
    </xf>
    <xf borderId="7" fillId="2" fontId="294" numFmtId="0" xfId="0" applyAlignment="1" applyBorder="1" applyFill="1" applyFont="1">
      <alignment horizontal="right" shrinkToFit="0" vertical="center" wrapText="1"/>
    </xf>
    <xf borderId="1" fillId="2" fontId="249" numFmtId="49" xfId="0" applyAlignment="1" applyBorder="1" applyFill="1" applyFont="1" applyNumberFormat="1">
      <alignment horizontal="center" vertical="center"/>
    </xf>
    <xf borderId="1" fillId="2" fontId="103" numFmtId="40" xfId="0" applyAlignment="1" applyBorder="1" applyFill="1" applyFont="1" applyNumberFormat="1">
      <alignment horizontal="center" vertical="center"/>
    </xf>
    <xf borderId="1" fillId="2" fontId="16" numFmtId="0" xfId="0" applyAlignment="1" applyBorder="1" applyFill="1" applyFont="1">
      <alignment vertical="center"/>
    </xf>
    <xf borderId="1" fillId="2" fontId="103" numFmtId="0" xfId="0" applyAlignment="1" applyBorder="1" applyFill="1" applyFont="1">
      <alignment horizontal="center" vertical="center"/>
    </xf>
    <xf borderId="1" fillId="2" fontId="103" numFmtId="196" xfId="0" applyAlignment="1" applyBorder="1" applyFill="1" applyFont="1" applyNumberFormat="1">
      <alignment horizontal="center" vertical="center"/>
    </xf>
    <xf borderId="12" fillId="2" fontId="249" numFmtId="0" xfId="0" applyAlignment="1" applyBorder="1" applyFill="1" applyFont="1">
      <alignment horizontal="center" shrinkToFit="0" vertical="center" wrapText="1"/>
    </xf>
    <xf borderId="169" fillId="8" fontId="295" numFmtId="197" xfId="0" applyAlignment="1" applyBorder="1" applyFill="1" applyFont="1" applyNumberFormat="1">
      <alignment horizontal="center" vertical="center"/>
    </xf>
    <xf borderId="1" fillId="2" fontId="295" numFmtId="49" xfId="0" applyAlignment="1" applyBorder="1" applyFill="1" applyFont="1" applyNumberFormat="1">
      <alignment horizontal="center" vertical="center"/>
    </xf>
    <xf borderId="170" fillId="0" fontId="10" numFmtId="0" xfId="0" applyBorder="1" applyFont="1"/>
    <xf borderId="1" fillId="2" fontId="296" numFmtId="49" xfId="0" applyBorder="1" applyFill="1" applyFont="1" applyNumberFormat="1"/>
    <xf borderId="1" fillId="2" fontId="296" numFmtId="3" xfId="0" applyAlignment="1" applyBorder="1" applyFill="1" applyFont="1" applyNumberFormat="1">
      <alignment horizontal="center"/>
    </xf>
    <xf borderId="1" fillId="2" fontId="15" numFmtId="49" xfId="0" applyBorder="1" applyFill="1" applyFont="1" applyNumberFormat="1"/>
    <xf borderId="1" fillId="2" fontId="297" numFmtId="0" xfId="0" applyBorder="1" applyFill="1" applyFont="1"/>
    <xf borderId="1" fillId="2" fontId="249" numFmtId="0" xfId="0" applyAlignment="1" applyBorder="1" applyFill="1" applyFont="1">
      <alignment horizontal="center"/>
    </xf>
    <xf borderId="1" fillId="2" fontId="103" numFmtId="0" xfId="0" applyBorder="1" applyFill="1" applyFont="1"/>
    <xf borderId="1" fillId="2" fontId="298" numFmtId="3" xfId="0" applyAlignment="1" applyBorder="1" applyFill="1" applyFont="1" applyNumberFormat="1">
      <alignment horizontal="left"/>
    </xf>
    <xf borderId="1" fillId="2" fontId="249" numFmtId="49" xfId="0" applyAlignment="1" applyBorder="1" applyFill="1" applyFont="1" applyNumberFormat="1">
      <alignment horizontal="left"/>
    </xf>
    <xf borderId="1" fillId="2" fontId="103" numFmtId="3" xfId="0" applyAlignment="1" applyBorder="1" applyFill="1" applyFont="1" applyNumberFormat="1">
      <alignment horizontal="center"/>
    </xf>
    <xf borderId="1" fillId="2" fontId="249" numFmtId="3" xfId="0" applyAlignment="1" applyBorder="1" applyFill="1" applyFont="1" applyNumberFormat="1">
      <alignment horizontal="left"/>
    </xf>
    <xf borderId="1" fillId="2" fontId="249" numFmtId="0" xfId="0" applyBorder="1" applyFill="1" applyFont="1"/>
    <xf borderId="7" fillId="2" fontId="249" numFmtId="0" xfId="0" applyAlignment="1" applyBorder="1" applyFill="1" applyFont="1">
      <alignment horizontal="center"/>
    </xf>
    <xf borderId="1" fillId="2" fontId="103" numFmtId="3" xfId="0" applyAlignment="1" applyBorder="1" applyFill="1" applyFont="1" applyNumberFormat="1">
      <alignment horizontal="left"/>
    </xf>
    <xf borderId="75" fillId="2" fontId="76" numFmtId="167" xfId="0" applyBorder="1" applyFill="1" applyFont="1" applyNumberFormat="1"/>
    <xf borderId="1" fillId="2" fontId="15" numFmtId="198" xfId="0" applyAlignment="1" applyBorder="1" applyFill="1" applyFont="1" applyNumberFormat="1">
      <alignment vertical="center"/>
    </xf>
    <xf borderId="171" fillId="8" fontId="299" numFmtId="0" xfId="0" applyAlignment="1" applyBorder="1" applyFill="1" applyFont="1">
      <alignment horizontal="center" vertical="center"/>
    </xf>
    <xf borderId="1" fillId="2" fontId="299" numFmtId="0" xfId="0" applyAlignment="1" applyBorder="1" applyFill="1" applyFont="1">
      <alignment vertical="center"/>
    </xf>
    <xf borderId="56" fillId="8" fontId="299" numFmtId="176" xfId="0" applyAlignment="1" applyBorder="1" applyFill="1" applyFont="1" applyNumberFormat="1">
      <alignment horizontal="center" vertical="center"/>
    </xf>
    <xf borderId="1" fillId="2" fontId="76" numFmtId="198" xfId="0" applyAlignment="1" applyBorder="1" applyFill="1" applyFont="1" applyNumberFormat="1">
      <alignment vertical="center"/>
    </xf>
    <xf borderId="1" fillId="2" fontId="299" numFmtId="176" xfId="0" applyAlignment="1" applyBorder="1" applyFill="1" applyFont="1" applyNumberFormat="1">
      <alignment vertical="center"/>
    </xf>
    <xf borderId="1" fillId="2" fontId="300" numFmtId="0" xfId="0" applyBorder="1" applyFill="1" applyFont="1"/>
    <xf borderId="1" fillId="2" fontId="300" numFmtId="176" xfId="0" applyBorder="1" applyFill="1" applyFont="1" applyNumberFormat="1"/>
    <xf borderId="171" fillId="16" fontId="301" numFmtId="0" xfId="0" applyAlignment="1" applyBorder="1" applyFill="1" applyFont="1">
      <alignment horizontal="center" vertical="center"/>
    </xf>
    <xf borderId="1" fillId="2" fontId="301" numFmtId="0" xfId="0" applyAlignment="1" applyBorder="1" applyFill="1" applyFont="1">
      <alignment vertical="center"/>
    </xf>
    <xf borderId="171" fillId="16" fontId="301" numFmtId="176" xfId="0" applyAlignment="1" applyBorder="1" applyFill="1" applyFont="1" applyNumberFormat="1">
      <alignment horizontal="center" vertical="center"/>
    </xf>
    <xf borderId="1" fillId="2" fontId="301" numFmtId="176" xfId="0" applyAlignment="1" applyBorder="1" applyFill="1" applyFont="1" applyNumberFormat="1">
      <alignment vertical="center"/>
    </xf>
    <xf borderId="1" fillId="2" fontId="302" numFmtId="0" xfId="0" applyBorder="1" applyFill="1" applyFont="1"/>
    <xf borderId="1" fillId="2" fontId="303" numFmtId="167" xfId="0" applyBorder="1" applyFill="1" applyFont="1" applyNumberFormat="1"/>
    <xf borderId="1" fillId="2" fontId="302" numFmtId="167" xfId="0" applyBorder="1" applyFill="1" applyFont="1" applyNumberFormat="1"/>
    <xf borderId="171" fillId="15" fontId="304" numFmtId="0" xfId="0" applyAlignment="1" applyBorder="1" applyFill="1" applyFont="1">
      <alignment horizontal="center" vertical="center"/>
    </xf>
    <xf borderId="1" fillId="2" fontId="304" numFmtId="0" xfId="0" applyAlignment="1" applyBorder="1" applyFill="1" applyFont="1">
      <alignment vertical="center"/>
    </xf>
    <xf borderId="75" fillId="2" fontId="15" numFmtId="167" xfId="0" applyBorder="1" applyFill="1" applyFont="1" applyNumberFormat="1"/>
    <xf borderId="56" fillId="15" fontId="304" numFmtId="176" xfId="0" applyAlignment="1" applyBorder="1" applyFill="1" applyFont="1" applyNumberFormat="1">
      <alignment horizontal="center" vertical="center"/>
    </xf>
    <xf borderId="1" fillId="2" fontId="304" numFmtId="176" xfId="0" applyAlignment="1" applyBorder="1" applyFill="1" applyFont="1" applyNumberFormat="1">
      <alignment vertical="center"/>
    </xf>
    <xf borderId="1" fillId="2" fontId="305" numFmtId="0" xfId="0" applyAlignment="1" applyBorder="1" applyFill="1" applyFont="1">
      <alignment horizontal="center"/>
    </xf>
    <xf borderId="1" fillId="2" fontId="32" numFmtId="9" xfId="0" applyAlignment="1" applyBorder="1" applyFill="1" applyFont="1" applyNumberFormat="1">
      <alignment horizontal="left"/>
    </xf>
    <xf borderId="172" fillId="21" fontId="72" numFmtId="199" xfId="0" applyAlignment="1" applyBorder="1" applyFill="1" applyFont="1" applyNumberFormat="1">
      <alignment horizontal="right"/>
    </xf>
    <xf borderId="1" fillId="2" fontId="72" numFmtId="199" xfId="0" applyAlignment="1" applyBorder="1" applyFill="1" applyFont="1" applyNumberFormat="1">
      <alignment horizontal="right"/>
    </xf>
    <xf borderId="7" fillId="2" fontId="36" numFmtId="0" xfId="0" applyAlignment="1" applyBorder="1" applyFill="1" applyFont="1">
      <alignment horizontal="center"/>
    </xf>
    <xf borderId="173" fillId="21" fontId="72" numFmtId="199" xfId="0" applyAlignment="1" applyBorder="1" applyFill="1" applyFont="1" applyNumberFormat="1">
      <alignment horizontal="right"/>
    </xf>
    <xf borderId="1" fillId="2" fontId="72" numFmtId="9" xfId="0" applyBorder="1" applyFill="1" applyFont="1" applyNumberFormat="1"/>
    <xf borderId="174" fillId="22" fontId="300" numFmtId="9" xfId="0" applyAlignment="1" applyBorder="1" applyFill="1" applyFont="1" applyNumberFormat="1">
      <alignment horizontal="center" vertical="center"/>
    </xf>
    <xf borderId="175" fillId="15" fontId="1" numFmtId="9" xfId="0" applyAlignment="1" applyBorder="1" applyFill="1" applyFont="1" applyNumberFormat="1">
      <alignment horizontal="center" vertical="center"/>
    </xf>
    <xf borderId="176" fillId="0" fontId="10" numFmtId="0" xfId="0" applyBorder="1" applyFont="1"/>
    <xf borderId="177" fillId="0" fontId="10" numFmtId="0" xfId="0" applyBorder="1" applyFont="1"/>
    <xf borderId="172" fillId="21" fontId="242" numFmtId="9" xfId="0" applyBorder="1" applyFill="1" applyFont="1" applyNumberFormat="1"/>
    <xf borderId="1" fillId="2" fontId="242" numFmtId="9" xfId="0" applyBorder="1" applyFill="1" applyFont="1" applyNumberFormat="1"/>
    <xf borderId="1" fillId="2" fontId="164" numFmtId="167" xfId="0" applyBorder="1" applyFill="1" applyFont="1" applyNumberFormat="1"/>
    <xf borderId="174" fillId="22" fontId="300" numFmtId="178" xfId="0" applyAlignment="1" applyBorder="1" applyFill="1" applyFont="1" applyNumberFormat="1">
      <alignment horizontal="center" vertical="center"/>
    </xf>
    <xf borderId="1" fillId="2" fontId="1" numFmtId="167" xfId="0" applyAlignment="1" applyBorder="1" applyFill="1" applyFont="1" applyNumberFormat="1">
      <alignment horizontal="left"/>
    </xf>
    <xf borderId="175" fillId="15" fontId="1" numFmtId="178" xfId="0" applyAlignment="1" applyBorder="1" applyFill="1" applyFont="1" applyNumberFormat="1">
      <alignment horizontal="center" vertical="center"/>
    </xf>
    <xf borderId="1" fillId="2" fontId="1" numFmtId="178" xfId="0" applyBorder="1" applyFill="1" applyFont="1" applyNumberFormat="1"/>
    <xf borderId="1" fillId="2" fontId="72" numFmtId="4" xfId="0" applyAlignment="1" applyBorder="1" applyFill="1" applyFont="1" applyNumberFormat="1">
      <alignment horizontal="left"/>
    </xf>
    <xf borderId="1" fillId="2" fontId="72" numFmtId="167" xfId="0" applyAlignment="1" applyBorder="1" applyFill="1" applyFont="1" applyNumberFormat="1">
      <alignment horizontal="left"/>
    </xf>
    <xf borderId="149" fillId="16" fontId="306" numFmtId="174" xfId="0" applyBorder="1" applyFill="1" applyFont="1" applyNumberFormat="1"/>
    <xf borderId="1" fillId="2" fontId="72" numFmtId="199" xfId="0" applyAlignment="1" applyBorder="1" applyFill="1" applyFont="1" applyNumberFormat="1">
      <alignment horizontal="left"/>
    </xf>
    <xf borderId="1" fillId="2" fontId="242" numFmtId="167" xfId="0" applyAlignment="1" applyBorder="1" applyFill="1" applyFont="1" applyNumberFormat="1">
      <alignment horizontal="left"/>
    </xf>
    <xf borderId="1" fillId="2" fontId="164" numFmtId="178" xfId="0" applyBorder="1" applyFill="1" applyFont="1" applyNumberFormat="1"/>
    <xf borderId="1" fillId="2" fontId="242" numFmtId="199" xfId="0" applyAlignment="1" applyBorder="1" applyFill="1" applyFont="1" applyNumberFormat="1">
      <alignment horizontal="left"/>
    </xf>
    <xf borderId="1" fillId="2" fontId="72" numFmtId="178" xfId="0" applyAlignment="1" applyBorder="1" applyFill="1" applyFont="1" applyNumberFormat="1">
      <alignment horizontal="left"/>
    </xf>
    <xf borderId="0" fillId="0" fontId="274" numFmtId="0" xfId="0" applyFont="1"/>
    <xf borderId="0" fillId="0" fontId="274" numFmtId="49" xfId="0" applyFont="1" applyNumberFormat="1"/>
    <xf borderId="0" fillId="0" fontId="274" numFmtId="3" xfId="0" applyAlignment="1" applyFont="1" applyNumberFormat="1">
      <alignment horizontal="center"/>
    </xf>
    <xf borderId="1" fillId="2" fontId="72" numFmtId="2" xfId="0" applyAlignment="1" applyBorder="1" applyFill="1" applyFont="1" applyNumberFormat="1">
      <alignment horizontal="left"/>
    </xf>
    <xf borderId="1" fillId="2" fontId="72" numFmtId="0" xfId="0" applyAlignment="1" applyBorder="1" applyFill="1" applyFont="1">
      <alignment horizontal="left"/>
    </xf>
    <xf borderId="1" fillId="2" fontId="242" numFmtId="0" xfId="0" applyAlignment="1" applyBorder="1" applyFill="1" applyFont="1">
      <alignment horizontal="left"/>
    </xf>
    <xf borderId="1" fillId="2" fontId="32" numFmtId="169" xfId="0" applyBorder="1" applyFill="1" applyFont="1" applyNumberFormat="1"/>
    <xf borderId="108" fillId="3" fontId="307" numFmtId="0" xfId="0" applyAlignment="1" applyBorder="1" applyFill="1" applyFont="1">
      <alignment horizontal="center" vertical="center"/>
    </xf>
    <xf borderId="1" fillId="2" fontId="308" numFmtId="0" xfId="0" applyAlignment="1" applyBorder="1" applyFill="1" applyFont="1">
      <alignment horizontal="left"/>
    </xf>
    <xf borderId="1" fillId="2" fontId="309" numFmtId="0" xfId="0" applyAlignment="1" applyBorder="1" applyFill="1" applyFont="1">
      <alignment horizontal="left"/>
    </xf>
    <xf borderId="129" fillId="16" fontId="62" numFmtId="2" xfId="0" applyAlignment="1" applyBorder="1" applyFill="1" applyFont="1" applyNumberFormat="1">
      <alignment horizontal="center" vertical="center"/>
    </xf>
    <xf borderId="54" fillId="2" fontId="1" numFmtId="0" xfId="0" applyAlignment="1" applyBorder="1" applyFill="1" applyFont="1">
      <alignment horizontal="center" vertical="center"/>
    </xf>
    <xf borderId="129" fillId="11" fontId="62" numFmtId="2" xfId="0" applyAlignment="1" applyBorder="1" applyFill="1" applyFont="1" applyNumberFormat="1">
      <alignment horizontal="center" vertical="center"/>
    </xf>
    <xf borderId="129" fillId="21" fontId="62" numFmtId="2" xfId="0" applyAlignment="1" applyBorder="1" applyFill="1" applyFont="1" applyNumberFormat="1">
      <alignment horizontal="center" vertical="center"/>
    </xf>
    <xf borderId="1" fillId="2" fontId="308" numFmtId="0" xfId="0" applyBorder="1" applyFill="1" applyFont="1"/>
    <xf borderId="129" fillId="15" fontId="62" numFmtId="2" xfId="0" applyAlignment="1" applyBorder="1" applyFill="1" applyFont="1" applyNumberFormat="1">
      <alignment horizontal="center" vertical="center"/>
    </xf>
    <xf borderId="178" fillId="3" fontId="308" numFmtId="0" xfId="0" applyAlignment="1" applyBorder="1" applyFill="1" applyFont="1">
      <alignment horizontal="center" vertical="center"/>
    </xf>
    <xf borderId="179" fillId="3" fontId="310" numFmtId="176" xfId="0" applyAlignment="1" applyBorder="1" applyFill="1" applyFont="1" applyNumberFormat="1">
      <alignment horizontal="center" vertical="center"/>
    </xf>
    <xf borderId="129" fillId="3" fontId="311" numFmtId="176" xfId="0" applyAlignment="1" applyBorder="1" applyFill="1" applyFont="1" applyNumberFormat="1">
      <alignment horizontal="center" vertical="center"/>
    </xf>
    <xf borderId="180" fillId="0" fontId="10" numFmtId="0" xfId="0" applyBorder="1" applyFont="1"/>
    <xf borderId="181" fillId="3" fontId="310" numFmtId="176" xfId="0" applyAlignment="1" applyBorder="1" applyFill="1" applyFont="1" applyNumberFormat="1">
      <alignment vertical="center"/>
    </xf>
    <xf borderId="1" fillId="16" fontId="312" numFmtId="2" xfId="0" applyAlignment="1" applyBorder="1" applyFill="1" applyFont="1" applyNumberFormat="1">
      <alignment horizontal="center" vertical="center"/>
    </xf>
    <xf borderId="1" fillId="16" fontId="313" numFmtId="0" xfId="0" applyAlignment="1" applyBorder="1" applyFill="1" applyFont="1">
      <alignment vertical="center"/>
    </xf>
    <xf borderId="1" fillId="16" fontId="313" numFmtId="2" xfId="0" applyAlignment="1" applyBorder="1" applyFill="1" applyFont="1" applyNumberFormat="1">
      <alignment horizontal="center" vertical="center"/>
    </xf>
    <xf borderId="1" fillId="16" fontId="151" numFmtId="0" xfId="0" applyBorder="1" applyFill="1" applyFont="1"/>
    <xf borderId="1" fillId="16" fontId="313" numFmtId="2" xfId="0" applyAlignment="1" applyBorder="1" applyFill="1" applyFont="1" applyNumberFormat="1">
      <alignment horizontal="right" vertical="center"/>
    </xf>
    <xf borderId="39" fillId="16" fontId="313" numFmtId="2" xfId="0" applyAlignment="1" applyBorder="1" applyFill="1" applyFont="1" applyNumberFormat="1">
      <alignment horizontal="center" vertical="center"/>
    </xf>
    <xf borderId="39" fillId="16" fontId="313" numFmtId="0" xfId="0" applyAlignment="1" applyBorder="1" applyFill="1" applyFont="1">
      <alignment vertical="center"/>
    </xf>
    <xf quotePrefix="1" borderId="1" fillId="3" fontId="314" numFmtId="0" xfId="0" applyBorder="1" applyFill="1" applyFont="1"/>
    <xf borderId="1" fillId="3" fontId="314" numFmtId="0" xfId="0" applyBorder="1" applyFill="1" applyFont="1"/>
    <xf borderId="39" fillId="8" fontId="1" numFmtId="174" xfId="0" applyBorder="1" applyFill="1" applyFont="1" applyNumberFormat="1"/>
    <xf borderId="73" fillId="8" fontId="1" numFmtId="174" xfId="0" applyBorder="1" applyFill="1" applyFont="1" applyNumberFormat="1"/>
    <xf borderId="64" fillId="8" fontId="1" numFmtId="0" xfId="0" applyBorder="1" applyFill="1" applyFont="1"/>
    <xf borderId="1" fillId="2" fontId="2" numFmtId="2" xfId="0" applyAlignment="1" applyBorder="1" applyFill="1" applyFont="1" applyNumberFormat="1">
      <alignment vertical="center"/>
    </xf>
    <xf borderId="12" fillId="2" fontId="315" numFmtId="0" xfId="0" applyAlignment="1" applyBorder="1" applyFill="1" applyFont="1">
      <alignment horizontal="right" vertical="top"/>
    </xf>
    <xf borderId="54" fillId="2" fontId="316" numFmtId="167" xfId="0" applyAlignment="1" applyBorder="1" applyFill="1" applyFont="1" applyNumberFormat="1">
      <alignment horizontal="left" vertical="top"/>
    </xf>
    <xf borderId="1" fillId="2" fontId="316" numFmtId="0" xfId="0" applyBorder="1" applyFill="1" applyFont="1"/>
    <xf borderId="12" fillId="4" fontId="21" numFmtId="167" xfId="0" applyAlignment="1" applyBorder="1" applyFill="1" applyFont="1" applyNumberFormat="1">
      <alignment horizontal="center" vertical="center"/>
    </xf>
    <xf borderId="182" fillId="0" fontId="10" numFmtId="0" xfId="0" applyBorder="1" applyFont="1"/>
    <xf borderId="183" fillId="0" fontId="10" numFmtId="0" xfId="0" applyBorder="1" applyFont="1"/>
    <xf borderId="184" fillId="0" fontId="10" numFmtId="0" xfId="0" applyBorder="1" applyFont="1"/>
    <xf borderId="185" fillId="0" fontId="10" numFmtId="0" xfId="0" applyBorder="1" applyFont="1"/>
    <xf borderId="14" fillId="16" fontId="19" numFmtId="0" xfId="0" applyAlignment="1" applyBorder="1" applyFill="1" applyFont="1">
      <alignment horizontal="center" vertical="center"/>
    </xf>
    <xf borderId="186" fillId="0" fontId="10" numFmtId="0" xfId="0" applyBorder="1" applyFont="1"/>
    <xf borderId="44" fillId="16" fontId="1" numFmtId="0" xfId="0" applyBorder="1" applyFill="1" applyFont="1"/>
    <xf borderId="44" fillId="16" fontId="16" numFmtId="0" xfId="0" applyBorder="1" applyFill="1" applyFont="1"/>
    <xf borderId="44" fillId="16" fontId="14" numFmtId="0" xfId="0" applyAlignment="1" applyBorder="1" applyFill="1" applyFont="1">
      <alignment horizontal="center"/>
    </xf>
    <xf borderId="44" fillId="16" fontId="14" numFmtId="0" xfId="0" applyBorder="1" applyFill="1" applyFont="1"/>
    <xf borderId="45" fillId="16" fontId="1" numFmtId="0" xfId="0" applyBorder="1" applyFill="1" applyFont="1"/>
    <xf borderId="1" fillId="16" fontId="1" numFmtId="0" xfId="0" applyBorder="1" applyFill="1" applyFont="1"/>
    <xf borderId="3" fillId="4" fontId="21" numFmtId="167" xfId="0" applyAlignment="1" applyBorder="1" applyFill="1" applyFont="1" applyNumberFormat="1">
      <alignment horizontal="center"/>
    </xf>
    <xf borderId="1" fillId="16" fontId="317" numFmtId="0" xfId="0" applyAlignment="1" applyBorder="1" applyFill="1" applyFont="1">
      <alignment horizontal="center"/>
    </xf>
    <xf quotePrefix="1" borderId="1" fillId="16" fontId="203" numFmtId="0" xfId="0" applyAlignment="1" applyBorder="1" applyFill="1" applyFont="1">
      <alignment horizontal="center" vertical="center"/>
    </xf>
    <xf quotePrefix="1" borderId="26" fillId="16" fontId="203" numFmtId="0" xfId="0" applyAlignment="1" applyBorder="1" applyFill="1" applyFont="1">
      <alignment horizontal="center" vertical="center"/>
    </xf>
    <xf borderId="1" fillId="2" fontId="1" numFmtId="178" xfId="0" applyAlignment="1" applyBorder="1" applyFill="1" applyFont="1" applyNumberFormat="1">
      <alignment horizontal="right"/>
    </xf>
    <xf borderId="1" fillId="2" fontId="72" numFmtId="178" xfId="0" applyAlignment="1" applyBorder="1" applyFill="1" applyFont="1" applyNumberFormat="1">
      <alignment horizontal="right"/>
    </xf>
    <xf borderId="24" fillId="16" fontId="11" numFmtId="0" xfId="0" applyBorder="1" applyFill="1" applyFont="1"/>
    <xf borderId="1" fillId="16" fontId="11" numFmtId="0" xfId="0" applyBorder="1" applyFill="1" applyFont="1"/>
    <xf borderId="26" fillId="16" fontId="1" numFmtId="0" xfId="0" applyBorder="1" applyFill="1" applyFont="1"/>
    <xf borderId="7" fillId="16" fontId="11" numFmtId="167" xfId="0" applyAlignment="1" applyBorder="1" applyFill="1" applyFont="1" applyNumberFormat="1">
      <alignment horizontal="center"/>
    </xf>
    <xf borderId="153" fillId="3" fontId="17" numFmtId="167" xfId="0" applyAlignment="1" applyBorder="1" applyFill="1" applyFont="1" applyNumberFormat="1">
      <alignment horizontal="center"/>
    </xf>
    <xf borderId="1" fillId="16" fontId="33" numFmtId="169" xfId="0" applyBorder="1" applyFill="1" applyFont="1" applyNumberFormat="1"/>
    <xf borderId="1" fillId="16" fontId="79" numFmtId="38" xfId="0" applyAlignment="1" applyBorder="1" applyFill="1" applyFont="1" applyNumberFormat="1">
      <alignment horizontal="center"/>
    </xf>
    <xf borderId="26" fillId="16" fontId="79" numFmtId="38" xfId="0" applyAlignment="1" applyBorder="1" applyFill="1" applyFont="1" applyNumberFormat="1">
      <alignment horizontal="center"/>
    </xf>
    <xf borderId="138" fillId="2" fontId="15" numFmtId="167" xfId="0" applyAlignment="1" applyBorder="1" applyFill="1" applyFont="1" applyNumberFormat="1">
      <alignment horizontal="right"/>
    </xf>
    <xf borderId="1" fillId="16" fontId="11" numFmtId="167" xfId="0" applyAlignment="1" applyBorder="1" applyFill="1" applyFont="1" applyNumberFormat="1">
      <alignment horizontal="center"/>
    </xf>
    <xf borderId="1" fillId="16" fontId="11" numFmtId="167" xfId="0" applyBorder="1" applyFill="1" applyFont="1" applyNumberFormat="1"/>
    <xf borderId="1" fillId="16" fontId="72" numFmtId="0" xfId="0" applyBorder="1" applyFill="1" applyFont="1"/>
    <xf borderId="26" fillId="16" fontId="11" numFmtId="167" xfId="0" applyBorder="1" applyFill="1" applyFont="1" applyNumberFormat="1"/>
    <xf borderId="134" fillId="21" fontId="72" numFmtId="0" xfId="0" applyAlignment="1" applyBorder="1" applyFill="1" applyFont="1">
      <alignment horizontal="center" shrinkToFit="0" vertical="center" wrapText="1"/>
    </xf>
    <xf borderId="96" fillId="16" fontId="11" numFmtId="167" xfId="0" applyAlignment="1" applyBorder="1" applyFill="1" applyFont="1" applyNumberFormat="1">
      <alignment horizontal="center"/>
    </xf>
    <xf borderId="187" fillId="0" fontId="10" numFmtId="0" xfId="0" applyBorder="1" applyFont="1"/>
    <xf borderId="188" fillId="0" fontId="10" numFmtId="0" xfId="0" applyBorder="1" applyFont="1"/>
    <xf borderId="153" fillId="3" fontId="17" numFmtId="9" xfId="0" applyAlignment="1" applyBorder="1" applyFill="1" applyFont="1" applyNumberFormat="1">
      <alignment horizontal="center" vertical="center"/>
    </xf>
    <xf borderId="166" fillId="16" fontId="11" numFmtId="167" xfId="0" applyAlignment="1" applyBorder="1" applyFill="1" applyFont="1" applyNumberFormat="1">
      <alignment horizontal="center"/>
    </xf>
    <xf borderId="7" fillId="16" fontId="11" numFmtId="200" xfId="0" applyAlignment="1" applyBorder="1" applyFill="1" applyFont="1" applyNumberFormat="1">
      <alignment horizontal="center"/>
    </xf>
    <xf borderId="153" fillId="3" fontId="17" numFmtId="200" xfId="0" applyAlignment="1" applyBorder="1" applyFill="1" applyFont="1" applyNumberFormat="1">
      <alignment horizontal="center"/>
    </xf>
    <xf borderId="1" fillId="16" fontId="79" numFmtId="196" xfId="0" applyAlignment="1" applyBorder="1" applyFill="1" applyFont="1" applyNumberFormat="1">
      <alignment horizontal="center"/>
    </xf>
    <xf borderId="39" fillId="2" fontId="1" numFmtId="174" xfId="0" applyAlignment="1" applyBorder="1" applyFill="1" applyFont="1" applyNumberFormat="1">
      <alignment horizontal="right"/>
    </xf>
    <xf borderId="26" fillId="16" fontId="79" numFmtId="196" xfId="0" applyAlignment="1" applyBorder="1" applyFill="1" applyFont="1" applyNumberFormat="1">
      <alignment horizontal="center"/>
    </xf>
    <xf borderId="1" fillId="2" fontId="11" numFmtId="169" xfId="0" applyBorder="1" applyFill="1" applyFont="1" applyNumberFormat="1"/>
    <xf borderId="7" fillId="16" fontId="11" numFmtId="169" xfId="0" applyAlignment="1" applyBorder="1" applyFill="1" applyFont="1" applyNumberFormat="1">
      <alignment horizontal="center"/>
    </xf>
    <xf borderId="153" fillId="3" fontId="17" numFmtId="169" xfId="0" applyAlignment="1" applyBorder="1" applyFill="1" applyFont="1" applyNumberFormat="1">
      <alignment horizontal="center" vertical="center"/>
    </xf>
    <xf borderId="1" fillId="16" fontId="33" numFmtId="167" xfId="0" applyBorder="1" applyFill="1" applyFont="1" applyNumberFormat="1"/>
    <xf borderId="26" fillId="16" fontId="33" numFmtId="9" xfId="0" applyAlignment="1" applyBorder="1" applyFill="1" applyFont="1" applyNumberFormat="1">
      <alignment horizontal="left"/>
    </xf>
    <xf borderId="1" fillId="2" fontId="11" numFmtId="194" xfId="0" applyBorder="1" applyFill="1" applyFont="1" applyNumberFormat="1"/>
    <xf borderId="1" fillId="16" fontId="44" numFmtId="9" xfId="0" applyAlignment="1" applyBorder="1" applyFill="1" applyFont="1" applyNumberFormat="1">
      <alignment horizontal="left"/>
    </xf>
    <xf borderId="26" fillId="16" fontId="44" numFmtId="9" xfId="0" applyAlignment="1" applyBorder="1" applyFill="1" applyFont="1" applyNumberFormat="1">
      <alignment horizontal="left"/>
    </xf>
    <xf borderId="1" fillId="2" fontId="11" numFmtId="182" xfId="0" applyBorder="1" applyFill="1" applyFont="1" applyNumberFormat="1"/>
    <xf borderId="153" fillId="3" fontId="17" numFmtId="38" xfId="0" applyAlignment="1" applyBorder="1" applyFill="1" applyFont="1" applyNumberFormat="1">
      <alignment horizontal="center"/>
    </xf>
    <xf borderId="7" fillId="16" fontId="1" numFmtId="37" xfId="0" applyAlignment="1" applyBorder="1" applyFill="1" applyFont="1" applyNumberFormat="1">
      <alignment horizontal="center"/>
    </xf>
    <xf borderId="1" fillId="16" fontId="44" numFmtId="167" xfId="0" applyBorder="1" applyFill="1" applyFont="1" applyNumberFormat="1"/>
    <xf borderId="1" fillId="16" fontId="318" numFmtId="200" xfId="0" applyAlignment="1" applyBorder="1" applyFill="1" applyFont="1" applyNumberFormat="1">
      <alignment horizontal="right"/>
    </xf>
    <xf borderId="1" fillId="16" fontId="318" numFmtId="10" xfId="0" applyAlignment="1" applyBorder="1" applyFill="1" applyFont="1" applyNumberFormat="1">
      <alignment horizontal="left"/>
    </xf>
    <xf borderId="2" fillId="3" fontId="74" numFmtId="200" xfId="0" applyAlignment="1" applyBorder="1" applyFill="1" applyFont="1" applyNumberFormat="1">
      <alignment horizontal="center"/>
    </xf>
    <xf borderId="2" fillId="3" fontId="74" numFmtId="10" xfId="0" applyBorder="1" applyFill="1" applyFont="1" applyNumberFormat="1"/>
    <xf borderId="1" fillId="16" fontId="77" numFmtId="169" xfId="0" applyBorder="1" applyFill="1" applyFont="1" applyNumberFormat="1"/>
    <xf borderId="1" fillId="16" fontId="318" numFmtId="167" xfId="0" applyBorder="1" applyFill="1" applyFont="1" applyNumberFormat="1"/>
    <xf borderId="1" fillId="2" fontId="319" numFmtId="167" xfId="0" applyBorder="1" applyFill="1" applyFont="1" applyNumberFormat="1"/>
    <xf borderId="1" fillId="16" fontId="318" numFmtId="167" xfId="0" applyAlignment="1" applyBorder="1" applyFill="1" applyFont="1" applyNumberFormat="1">
      <alignment horizontal="right"/>
    </xf>
    <xf borderId="2" fillId="3" fontId="17" numFmtId="167" xfId="0" applyAlignment="1" applyBorder="1" applyFill="1" applyFont="1" applyNumberFormat="1">
      <alignment horizontal="center"/>
    </xf>
    <xf borderId="51" fillId="16" fontId="11" numFmtId="0" xfId="0" applyBorder="1" applyFill="1" applyFont="1"/>
    <xf borderId="52" fillId="16" fontId="11" numFmtId="0" xfId="0" applyBorder="1" applyFill="1" applyFont="1"/>
    <xf borderId="52" fillId="16" fontId="1" numFmtId="0" xfId="0" applyBorder="1" applyFill="1" applyFont="1"/>
    <xf borderId="52" fillId="16" fontId="11" numFmtId="167" xfId="0" applyBorder="1" applyFill="1" applyFont="1" applyNumberFormat="1"/>
    <xf borderId="53" fillId="16" fontId="11" numFmtId="167" xfId="0" applyBorder="1" applyFill="1" applyFont="1" applyNumberFormat="1"/>
    <xf borderId="14" fillId="11" fontId="19" numFmtId="0" xfId="0" applyAlignment="1" applyBorder="1" applyFill="1" applyFont="1">
      <alignment horizontal="center" vertical="center"/>
    </xf>
    <xf borderId="44" fillId="11" fontId="1" numFmtId="0" xfId="0" applyBorder="1" applyFill="1" applyFont="1"/>
    <xf borderId="44" fillId="11" fontId="11" numFmtId="167" xfId="0" applyBorder="1" applyFill="1" applyFont="1" applyNumberFormat="1"/>
    <xf borderId="45" fillId="11" fontId="11" numFmtId="167" xfId="0" applyBorder="1" applyFill="1" applyFont="1" applyNumberFormat="1"/>
    <xf borderId="1" fillId="2" fontId="320" numFmtId="167" xfId="0" applyBorder="1" applyFill="1" applyFont="1" applyNumberFormat="1"/>
    <xf borderId="189" fillId="11" fontId="11" numFmtId="167" xfId="0" applyBorder="1" applyFill="1" applyFont="1" applyNumberFormat="1"/>
    <xf borderId="1" fillId="2" fontId="11" numFmtId="167" xfId="0" applyAlignment="1" applyBorder="1" applyFill="1" applyFont="1" applyNumberFormat="1">
      <alignment horizontal="left"/>
    </xf>
    <xf borderId="24" fillId="11" fontId="11" numFmtId="0" xfId="0" applyBorder="1" applyFill="1" applyFont="1"/>
    <xf borderId="64" fillId="3" fontId="11" numFmtId="0" xfId="0" applyBorder="1" applyFill="1" applyFont="1"/>
    <xf borderId="50" fillId="3" fontId="11" numFmtId="167" xfId="0" applyBorder="1" applyFill="1" applyFont="1" applyNumberFormat="1"/>
    <xf borderId="65" fillId="3" fontId="11" numFmtId="167" xfId="0" applyBorder="1" applyFill="1" applyFont="1" applyNumberFormat="1"/>
    <xf borderId="50" fillId="8" fontId="11" numFmtId="167" xfId="0" applyBorder="1" applyFill="1" applyFont="1" applyNumberFormat="1"/>
    <xf borderId="65" fillId="8" fontId="11" numFmtId="167" xfId="0" applyBorder="1" applyFill="1" applyFont="1" applyNumberFormat="1"/>
    <xf borderId="50" fillId="23" fontId="11" numFmtId="167" xfId="0" applyBorder="1" applyFill="1" applyFont="1" applyNumberFormat="1"/>
    <xf borderId="65" fillId="23" fontId="11" numFmtId="167" xfId="0" applyBorder="1" applyFill="1" applyFont="1" applyNumberFormat="1"/>
    <xf borderId="50" fillId="14" fontId="11" numFmtId="167" xfId="0" applyBorder="1" applyFill="1" applyFont="1" applyNumberFormat="1"/>
    <xf borderId="190" fillId="14" fontId="11" numFmtId="167" xfId="0" applyBorder="1" applyFill="1" applyFont="1" applyNumberFormat="1"/>
    <xf borderId="67" fillId="3" fontId="11" numFmtId="0" xfId="0" applyBorder="1" applyFill="1" applyFont="1"/>
    <xf borderId="7" fillId="3" fontId="11" numFmtId="167" xfId="0" applyAlignment="1" applyBorder="1" applyFill="1" applyFont="1" applyNumberFormat="1">
      <alignment horizontal="center"/>
    </xf>
    <xf borderId="68" fillId="3" fontId="11" numFmtId="167" xfId="0" applyBorder="1" applyFill="1" applyFont="1" applyNumberFormat="1"/>
    <xf borderId="1" fillId="8" fontId="11" numFmtId="167" xfId="0" applyAlignment="1" applyBorder="1" applyFill="1" applyFont="1" applyNumberFormat="1">
      <alignment horizontal="right"/>
    </xf>
    <xf borderId="7" fillId="8" fontId="11" numFmtId="167" xfId="0" applyAlignment="1" applyBorder="1" applyFill="1" applyFont="1" applyNumberFormat="1">
      <alignment horizontal="right"/>
    </xf>
    <xf borderId="1" fillId="8" fontId="33" numFmtId="169" xfId="0" applyBorder="1" applyFill="1" applyFont="1" applyNumberFormat="1"/>
    <xf borderId="68" fillId="8" fontId="11" numFmtId="38" xfId="0" applyAlignment="1" applyBorder="1" applyFill="1" applyFont="1" applyNumberFormat="1">
      <alignment horizontal="right"/>
    </xf>
    <xf borderId="1" fillId="23" fontId="11" numFmtId="167" xfId="0" applyAlignment="1" applyBorder="1" applyFill="1" applyFont="1" applyNumberFormat="1">
      <alignment horizontal="right"/>
    </xf>
    <xf borderId="7" fillId="23" fontId="11" numFmtId="167" xfId="0" applyAlignment="1" applyBorder="1" applyFill="1" applyFont="1" applyNumberFormat="1">
      <alignment horizontal="right"/>
    </xf>
    <xf borderId="1" fillId="23" fontId="33" numFmtId="169" xfId="0" applyBorder="1" applyFill="1" applyFont="1" applyNumberFormat="1"/>
    <xf borderId="68" fillId="23" fontId="11" numFmtId="38" xfId="0" applyAlignment="1" applyBorder="1" applyFill="1" applyFont="1" applyNumberFormat="1">
      <alignment horizontal="right"/>
    </xf>
    <xf borderId="1" fillId="14" fontId="11" numFmtId="167" xfId="0" applyAlignment="1" applyBorder="1" applyFill="1" applyFont="1" applyNumberFormat="1">
      <alignment horizontal="right"/>
    </xf>
    <xf borderId="7" fillId="14" fontId="11" numFmtId="167" xfId="0" applyAlignment="1" applyBorder="1" applyFill="1" applyFont="1" applyNumberFormat="1">
      <alignment horizontal="right"/>
    </xf>
    <xf borderId="1" fillId="14" fontId="33" numFmtId="169" xfId="0" applyBorder="1" applyFill="1" applyFont="1" applyNumberFormat="1"/>
    <xf borderId="26" fillId="14" fontId="11" numFmtId="38" xfId="0" applyAlignment="1" applyBorder="1" applyFill="1" applyFont="1" applyNumberFormat="1">
      <alignment horizontal="right"/>
    </xf>
    <xf borderId="1" fillId="3" fontId="11" numFmtId="167" xfId="0" applyAlignment="1" applyBorder="1" applyFill="1" applyFont="1" applyNumberFormat="1">
      <alignment horizontal="right"/>
    </xf>
    <xf borderId="1" fillId="8" fontId="44" numFmtId="167" xfId="0" applyBorder="1" applyFill="1" applyFont="1" applyNumberFormat="1"/>
    <xf borderId="1" fillId="23" fontId="44" numFmtId="167" xfId="0" applyBorder="1" applyFill="1" applyFont="1" applyNumberFormat="1"/>
    <xf borderId="1" fillId="14" fontId="71" numFmtId="167" xfId="0" applyAlignment="1" applyBorder="1" applyFill="1" applyFont="1" applyNumberFormat="1">
      <alignment horizontal="right"/>
    </xf>
    <xf borderId="1" fillId="14" fontId="44" numFmtId="167" xfId="0" applyBorder="1" applyFill="1" applyFont="1" applyNumberFormat="1"/>
    <xf borderId="96" fillId="3" fontId="11" numFmtId="167" xfId="0" applyBorder="1" applyFill="1" applyFont="1" applyNumberFormat="1"/>
    <xf borderId="68" fillId="3" fontId="33" numFmtId="169" xfId="0" applyAlignment="1" applyBorder="1" applyFill="1" applyFont="1" applyNumberFormat="1">
      <alignment horizontal="left"/>
    </xf>
    <xf borderId="1" fillId="2" fontId="321" numFmtId="169" xfId="0" applyBorder="1" applyFill="1" applyFont="1" applyNumberFormat="1"/>
    <xf borderId="67" fillId="3" fontId="11" numFmtId="167" xfId="0" applyBorder="1" applyFill="1" applyFont="1" applyNumberFormat="1"/>
    <xf borderId="1" fillId="3" fontId="11" numFmtId="167" xfId="0" applyBorder="1" applyFill="1" applyFont="1" applyNumberFormat="1"/>
    <xf borderId="68" fillId="3" fontId="44" numFmtId="167" xfId="0" applyBorder="1" applyFill="1" applyFont="1" applyNumberFormat="1"/>
    <xf borderId="1" fillId="8" fontId="44" numFmtId="167" xfId="0" applyAlignment="1" applyBorder="1" applyFill="1" applyFont="1" applyNumberFormat="1">
      <alignment horizontal="right"/>
    </xf>
    <xf borderId="68" fillId="8" fontId="11" numFmtId="38" xfId="0" applyAlignment="1" applyBorder="1" applyFill="1" applyFont="1" applyNumberFormat="1">
      <alignment horizontal="center"/>
    </xf>
    <xf borderId="1" fillId="23" fontId="44" numFmtId="167" xfId="0" applyAlignment="1" applyBorder="1" applyFill="1" applyFont="1" applyNumberFormat="1">
      <alignment horizontal="right"/>
    </xf>
    <xf borderId="68" fillId="23" fontId="11" numFmtId="38" xfId="0" applyAlignment="1" applyBorder="1" applyFill="1" applyFont="1" applyNumberFormat="1">
      <alignment horizontal="center"/>
    </xf>
    <xf borderId="1" fillId="14" fontId="44" numFmtId="167" xfId="0" applyAlignment="1" applyBorder="1" applyFill="1" applyFont="1" applyNumberFormat="1">
      <alignment horizontal="right"/>
    </xf>
    <xf borderId="26" fillId="14" fontId="11" numFmtId="38" xfId="0" applyAlignment="1" applyBorder="1" applyFill="1" applyFont="1" applyNumberFormat="1">
      <alignment horizontal="center"/>
    </xf>
    <xf borderId="1" fillId="8" fontId="33" numFmtId="169" xfId="0" applyAlignment="1" applyBorder="1" applyFill="1" applyFont="1" applyNumberFormat="1">
      <alignment horizontal="center"/>
    </xf>
    <xf borderId="1" fillId="23" fontId="79" numFmtId="169" xfId="0" applyAlignment="1" applyBorder="1" applyFill="1" applyFont="1" applyNumberFormat="1">
      <alignment horizontal="right"/>
    </xf>
    <xf borderId="1" fillId="23" fontId="33" numFmtId="169" xfId="0" applyAlignment="1" applyBorder="1" applyFill="1" applyFont="1" applyNumberFormat="1">
      <alignment horizontal="center"/>
    </xf>
    <xf borderId="1" fillId="14" fontId="33" numFmtId="169" xfId="0" applyAlignment="1" applyBorder="1" applyFill="1" applyFont="1" applyNumberFormat="1">
      <alignment horizontal="center"/>
    </xf>
    <xf borderId="67" fillId="3" fontId="11" numFmtId="167" xfId="0" applyAlignment="1" applyBorder="1" applyFill="1" applyFont="1" applyNumberFormat="1">
      <alignment horizontal="right"/>
    </xf>
    <xf borderId="68" fillId="8" fontId="11" numFmtId="167" xfId="0" applyAlignment="1" applyBorder="1" applyFill="1" applyFont="1" applyNumberFormat="1">
      <alignment horizontal="center"/>
    </xf>
    <xf borderId="1" fillId="23" fontId="11" numFmtId="167" xfId="0" applyBorder="1" applyFill="1" applyFont="1" applyNumberFormat="1"/>
    <xf borderId="68" fillId="23" fontId="11" numFmtId="167" xfId="0" applyAlignment="1" applyBorder="1" applyFill="1" applyFont="1" applyNumberFormat="1">
      <alignment horizontal="center"/>
    </xf>
    <xf borderId="1" fillId="14" fontId="11" numFmtId="167" xfId="0" applyBorder="1" applyFill="1" applyFont="1" applyNumberFormat="1"/>
    <xf borderId="26" fillId="14" fontId="11" numFmtId="167" xfId="0" applyAlignment="1" applyBorder="1" applyFill="1" applyFont="1" applyNumberFormat="1">
      <alignment horizontal="center"/>
    </xf>
    <xf borderId="96" fillId="3" fontId="11" numFmtId="200" xfId="0" applyAlignment="1" applyBorder="1" applyFill="1" applyFont="1" applyNumberFormat="1">
      <alignment horizontal="center"/>
    </xf>
    <xf borderId="7" fillId="8" fontId="11" numFmtId="200" xfId="0" applyAlignment="1" applyBorder="1" applyFill="1" applyFont="1" applyNumberFormat="1">
      <alignment horizontal="center"/>
    </xf>
    <xf borderId="1" fillId="8" fontId="79" numFmtId="200" xfId="0" applyAlignment="1" applyBorder="1" applyFill="1" applyFont="1" applyNumberFormat="1">
      <alignment horizontal="left"/>
    </xf>
    <xf borderId="68" fillId="8" fontId="11" numFmtId="196" xfId="0" applyAlignment="1" applyBorder="1" applyFill="1" applyFont="1" applyNumberFormat="1">
      <alignment horizontal="center"/>
    </xf>
    <xf borderId="7" fillId="23" fontId="11" numFmtId="200" xfId="0" applyAlignment="1" applyBorder="1" applyFill="1" applyFont="1" applyNumberFormat="1">
      <alignment horizontal="center"/>
    </xf>
    <xf borderId="1" fillId="23" fontId="33" numFmtId="200" xfId="0" applyAlignment="1" applyBorder="1" applyFill="1" applyFont="1" applyNumberFormat="1">
      <alignment horizontal="left"/>
    </xf>
    <xf borderId="68" fillId="23" fontId="11" numFmtId="196" xfId="0" applyAlignment="1" applyBorder="1" applyFill="1" applyFont="1" applyNumberFormat="1">
      <alignment horizontal="center"/>
    </xf>
    <xf borderId="7" fillId="14" fontId="11" numFmtId="200" xfId="0" applyAlignment="1" applyBorder="1" applyFill="1" applyFont="1" applyNumberFormat="1">
      <alignment horizontal="left"/>
    </xf>
    <xf borderId="1" fillId="14" fontId="33" numFmtId="200" xfId="0" applyAlignment="1" applyBorder="1" applyFill="1" applyFont="1" applyNumberFormat="1">
      <alignment horizontal="left"/>
    </xf>
    <xf borderId="26" fillId="14" fontId="11" numFmtId="196" xfId="0" applyAlignment="1" applyBorder="1" applyFill="1" applyFont="1" applyNumberFormat="1">
      <alignment horizontal="center"/>
    </xf>
    <xf borderId="1" fillId="2" fontId="11" numFmtId="9" xfId="0" applyBorder="1" applyFill="1" applyFont="1" applyNumberFormat="1"/>
    <xf borderId="51" fillId="11" fontId="11" numFmtId="0" xfId="0" applyBorder="1" applyFill="1" applyFont="1"/>
    <xf borderId="52" fillId="11" fontId="11" numFmtId="0" xfId="0" applyBorder="1" applyFill="1" applyFont="1"/>
    <xf borderId="191" fillId="3" fontId="11" numFmtId="0" xfId="0" applyBorder="1" applyFill="1" applyFont="1"/>
    <xf borderId="52" fillId="3" fontId="11" numFmtId="167" xfId="0" applyBorder="1" applyFill="1" applyFont="1" applyNumberFormat="1"/>
    <xf borderId="192" fillId="3" fontId="11" numFmtId="167" xfId="0" applyBorder="1" applyFill="1" applyFont="1" applyNumberFormat="1"/>
    <xf borderId="52" fillId="8" fontId="11" numFmtId="167" xfId="0" applyBorder="1" applyFill="1" applyFont="1" applyNumberFormat="1"/>
    <xf borderId="192" fillId="8" fontId="11" numFmtId="167" xfId="0" applyBorder="1" applyFill="1" applyFont="1" applyNumberFormat="1"/>
    <xf borderId="52" fillId="23" fontId="11" numFmtId="167" xfId="0" applyBorder="1" applyFill="1" applyFont="1" applyNumberFormat="1"/>
    <xf borderId="192" fillId="23" fontId="11" numFmtId="167" xfId="0" applyBorder="1" applyFill="1" applyFont="1" applyNumberFormat="1"/>
    <xf borderId="52" fillId="14" fontId="11" numFmtId="167" xfId="0" applyBorder="1" applyFill="1" applyFont="1" applyNumberFormat="1"/>
    <xf borderId="53" fillId="14" fontId="11" numFmtId="167" xfId="0" applyBorder="1" applyFill="1" applyFont="1" applyNumberFormat="1"/>
    <xf borderId="0" fillId="0" fontId="72" numFmtId="0" xfId="0" applyFont="1"/>
    <xf borderId="1" fillId="2" fontId="124" numFmtId="0" xfId="0" applyAlignment="1" applyBorder="1" applyFill="1" applyFont="1">
      <alignment horizontal="center" vertical="center"/>
    </xf>
    <xf borderId="155" fillId="4" fontId="21" numFmtId="167" xfId="0" applyAlignment="1" applyBorder="1" applyFill="1" applyFont="1" applyNumberFormat="1">
      <alignment horizontal="center"/>
    </xf>
    <xf borderId="1" fillId="2" fontId="32" numFmtId="0" xfId="0" applyAlignment="1" applyBorder="1" applyFill="1" applyFont="1">
      <alignment vertical="center"/>
    </xf>
    <xf borderId="39" fillId="2" fontId="72" numFmtId="167" xfId="0" applyBorder="1" applyFill="1" applyFont="1" applyNumberFormat="1"/>
    <xf borderId="1" fillId="2" fontId="216" numFmtId="169" xfId="0" applyAlignment="1" applyBorder="1" applyFill="1" applyFont="1" applyNumberFormat="1">
      <alignment vertical="center"/>
    </xf>
    <xf borderId="77" fillId="2" fontId="72" numFmtId="167" xfId="0" applyBorder="1" applyFill="1" applyFont="1" applyNumberFormat="1"/>
    <xf borderId="1" fillId="2" fontId="190" numFmtId="0" xfId="0" applyAlignment="1" applyBorder="1" applyFill="1" applyFont="1">
      <alignment vertical="center"/>
    </xf>
    <xf borderId="39" fillId="2" fontId="72" numFmtId="174" xfId="0" applyBorder="1" applyFill="1" applyFont="1" applyNumberFormat="1"/>
    <xf borderId="168" fillId="12" fontId="32" numFmtId="9" xfId="0" applyAlignment="1" applyBorder="1" applyFill="1" applyFont="1" applyNumberFormat="1">
      <alignment horizontal="center" vertical="center"/>
    </xf>
    <xf borderId="1" fillId="2" fontId="32" numFmtId="0" xfId="0" applyAlignment="1" applyBorder="1" applyFill="1" applyFont="1">
      <alignment horizontal="center" vertical="center"/>
    </xf>
    <xf borderId="2" fillId="3" fontId="17" numFmtId="170" xfId="0" applyAlignment="1" applyBorder="1" applyFill="1" applyFont="1" applyNumberFormat="1">
      <alignment horizontal="center"/>
    </xf>
    <xf borderId="1" fillId="2" fontId="104" numFmtId="170" xfId="0" applyAlignment="1" applyBorder="1" applyFill="1" applyFont="1" applyNumberFormat="1">
      <alignment horizontal="center"/>
    </xf>
    <xf borderId="1" fillId="2" fontId="17" numFmtId="169" xfId="0" applyAlignment="1" applyBorder="1" applyFill="1" applyFont="1" applyNumberFormat="1">
      <alignment horizontal="right"/>
    </xf>
    <xf borderId="1" fillId="2" fontId="104" numFmtId="169" xfId="0" applyAlignment="1" applyBorder="1" applyFill="1" applyFont="1" applyNumberFormat="1">
      <alignment horizontal="right"/>
    </xf>
    <xf quotePrefix="1" borderId="1" fillId="2" fontId="75" numFmtId="0" xfId="0" applyAlignment="1" applyBorder="1" applyFill="1" applyFont="1">
      <alignment horizontal="right" vertical="center"/>
    </xf>
    <xf borderId="2" fillId="3" fontId="17" numFmtId="169" xfId="0" applyAlignment="1" applyBorder="1" applyFill="1" applyFont="1" applyNumberFormat="1">
      <alignment horizontal="right"/>
    </xf>
    <xf borderId="1" fillId="2" fontId="261" numFmtId="167" xfId="0" applyAlignment="1" applyBorder="1" applyFill="1" applyFont="1" applyNumberFormat="1">
      <alignment vertical="center"/>
    </xf>
    <xf borderId="1" fillId="2" fontId="32" numFmtId="167" xfId="0" applyAlignment="1" applyBorder="1" applyFill="1" applyFont="1" applyNumberFormat="1">
      <alignment horizontal="left" vertical="center"/>
    </xf>
    <xf borderId="1" fillId="3" fontId="17" numFmtId="169" xfId="0" applyAlignment="1" applyBorder="1" applyFill="1" applyFont="1" applyNumberFormat="1">
      <alignment horizontal="right"/>
    </xf>
    <xf borderId="2" fillId="3" fontId="17" numFmtId="174" xfId="0" applyAlignment="1" applyBorder="1" applyFill="1" applyFont="1" applyNumberFormat="1">
      <alignment horizontal="center"/>
    </xf>
    <xf borderId="1" fillId="2" fontId="162" numFmtId="0" xfId="0" applyAlignment="1" applyBorder="1" applyFill="1" applyFont="1">
      <alignment vertical="center"/>
    </xf>
    <xf borderId="1" fillId="2" fontId="104" numFmtId="174" xfId="0" applyAlignment="1" applyBorder="1" applyFill="1" applyFont="1" applyNumberFormat="1">
      <alignment horizontal="center"/>
    </xf>
    <xf borderId="1" fillId="2" fontId="17" numFmtId="174" xfId="0" applyAlignment="1" applyBorder="1" applyFill="1" applyFont="1" applyNumberFormat="1">
      <alignment horizontal="center"/>
    </xf>
    <xf borderId="1" fillId="2" fontId="103" numFmtId="0" xfId="0" applyAlignment="1" applyBorder="1" applyFill="1" applyFont="1">
      <alignment horizontal="right"/>
    </xf>
    <xf borderId="1" fillId="2" fontId="75" numFmtId="0" xfId="0" applyAlignment="1" applyBorder="1" applyFill="1" applyFont="1">
      <alignment horizontal="right"/>
    </xf>
    <xf borderId="1" fillId="2" fontId="190" numFmtId="0" xfId="0" applyBorder="1" applyFill="1" applyFont="1"/>
    <xf borderId="1" fillId="2" fontId="75" numFmtId="174" xfId="0" applyAlignment="1" applyBorder="1" applyFill="1" applyFont="1" applyNumberFormat="1">
      <alignment horizontal="right" vertical="center"/>
    </xf>
    <xf borderId="1" fillId="2" fontId="195" numFmtId="174" xfId="0" applyAlignment="1" applyBorder="1" applyFill="1" applyFont="1" applyNumberFormat="1">
      <alignment vertical="center"/>
    </xf>
    <xf borderId="39" fillId="2" fontId="72" numFmtId="174" xfId="0" applyAlignment="1" applyBorder="1" applyFill="1" applyFont="1" applyNumberFormat="1">
      <alignment vertical="center"/>
    </xf>
    <xf borderId="1" fillId="2" fontId="116" numFmtId="169" xfId="0" applyAlignment="1" applyBorder="1" applyFill="1" applyFont="1" applyNumberFormat="1">
      <alignment horizontal="right" vertical="center"/>
    </xf>
    <xf borderId="1" fillId="2" fontId="195" numFmtId="196" xfId="0" applyAlignment="1" applyBorder="1" applyFill="1" applyFont="1" applyNumberFormat="1">
      <alignment horizontal="left" vertical="center"/>
    </xf>
    <xf borderId="1" fillId="2" fontId="195" numFmtId="196" xfId="0" applyAlignment="1" applyBorder="1" applyFill="1" applyFont="1" applyNumberFormat="1">
      <alignment horizontal="right" vertical="center"/>
    </xf>
    <xf borderId="1" fillId="2" fontId="322" numFmtId="38" xfId="0" applyAlignment="1" applyBorder="1" applyFill="1" applyFont="1" applyNumberFormat="1">
      <alignment horizontal="right" vertical="center"/>
    </xf>
    <xf borderId="1" fillId="2" fontId="195" numFmtId="3" xfId="0" applyAlignment="1" applyBorder="1" applyFill="1" applyFont="1" applyNumberFormat="1">
      <alignment horizontal="left" vertical="center"/>
    </xf>
    <xf borderId="1" fillId="2" fontId="195" numFmtId="201" xfId="0" applyAlignment="1" applyBorder="1" applyFill="1" applyFont="1" applyNumberFormat="1">
      <alignment horizontal="left" vertical="center"/>
    </xf>
    <xf borderId="1" fillId="2" fontId="323" numFmtId="174" xfId="0" applyAlignment="1" applyBorder="1" applyFill="1" applyFont="1" applyNumberFormat="1">
      <alignment horizontal="right" vertical="center"/>
    </xf>
    <xf borderId="1" fillId="2" fontId="32" numFmtId="169" xfId="0" applyAlignment="1" applyBorder="1" applyFill="1" applyFont="1" applyNumberFormat="1">
      <alignment vertical="center"/>
    </xf>
    <xf borderId="1" fillId="2" fontId="32" numFmtId="174" xfId="0" applyAlignment="1" applyBorder="1" applyFill="1" applyFont="1" applyNumberFormat="1">
      <alignment vertical="center"/>
    </xf>
    <xf borderId="1" fillId="2" fontId="33" numFmtId="9" xfId="0" applyAlignment="1" applyBorder="1" applyFill="1" applyFont="1" applyNumberFormat="1">
      <alignment horizontal="left" vertical="center"/>
    </xf>
    <xf borderId="1" fillId="2" fontId="189" numFmtId="0" xfId="0" applyAlignment="1" applyBorder="1" applyFill="1" applyFont="1">
      <alignment vertical="center"/>
    </xf>
    <xf borderId="1" fillId="2" fontId="324" numFmtId="167" xfId="0" applyBorder="1" applyFill="1" applyFont="1" applyNumberFormat="1"/>
    <xf borderId="1" fillId="2" fontId="203" numFmtId="3" xfId="0" applyAlignment="1" applyBorder="1" applyFill="1" applyFont="1" applyNumberFormat="1">
      <alignment horizontal="center"/>
    </xf>
    <xf borderId="1" fillId="2" fontId="56" numFmtId="39" xfId="0" applyAlignment="1" applyBorder="1" applyFill="1" applyFont="1" applyNumberFormat="1">
      <alignment horizontal="center" vertical="center"/>
    </xf>
    <xf borderId="1" fillId="2" fontId="56" numFmtId="0" xfId="0" applyAlignment="1" applyBorder="1" applyFill="1" applyFont="1">
      <alignment horizontal="right" vertical="center"/>
    </xf>
    <xf borderId="1" fillId="2" fontId="249" numFmtId="37" xfId="0" applyAlignment="1" applyBorder="1" applyFill="1" applyFont="1" applyNumberFormat="1">
      <alignment vertical="center"/>
    </xf>
    <xf borderId="1" fillId="2" fontId="203" numFmtId="37" xfId="0" applyAlignment="1" applyBorder="1" applyFill="1" applyFont="1" applyNumberFormat="1">
      <alignment vertical="center"/>
    </xf>
    <xf borderId="1" fillId="2" fontId="203" numFmtId="37" xfId="0" applyAlignment="1" applyBorder="1" applyFill="1" applyFont="1" applyNumberFormat="1">
      <alignment horizontal="center" vertical="center"/>
    </xf>
    <xf borderId="64" fillId="2" fontId="325" numFmtId="0" xfId="0" applyAlignment="1" applyBorder="1" applyFill="1" applyFont="1">
      <alignment horizontal="center" shrinkToFit="0" vertical="center" wrapText="1"/>
    </xf>
    <xf borderId="50" fillId="2" fontId="326" numFmtId="0" xfId="0" applyAlignment="1" applyBorder="1" applyFill="1" applyFont="1">
      <alignment horizontal="center" shrinkToFit="0" vertical="center" wrapText="1"/>
    </xf>
    <xf borderId="65" fillId="2" fontId="327" numFmtId="0" xfId="0" applyAlignment="1" applyBorder="1" applyFill="1" applyFont="1">
      <alignment horizontal="center" shrinkToFit="0" vertical="center" wrapText="1"/>
    </xf>
    <xf borderId="66" fillId="2" fontId="328" numFmtId="0" xfId="0" applyAlignment="1" applyBorder="1" applyFill="1" applyFont="1">
      <alignment horizontal="center" shrinkToFit="0" vertical="center" wrapText="1"/>
    </xf>
    <xf borderId="1" fillId="2" fontId="329" numFmtId="0" xfId="0" applyAlignment="1" applyBorder="1" applyFill="1" applyFont="1">
      <alignment vertical="center"/>
    </xf>
    <xf borderId="67" fillId="2" fontId="75" numFmtId="0" xfId="0" applyAlignment="1" applyBorder="1" applyFill="1" applyFont="1">
      <alignment vertical="center"/>
    </xf>
    <xf borderId="68" fillId="2" fontId="103" numFmtId="0" xfId="0" applyAlignment="1" applyBorder="1" applyFill="1" applyFont="1">
      <alignment vertical="center"/>
    </xf>
    <xf borderId="69" fillId="2" fontId="103" numFmtId="196" xfId="0" applyAlignment="1" applyBorder="1" applyFill="1" applyFont="1" applyNumberFormat="1">
      <alignment horizontal="center" vertical="center"/>
    </xf>
    <xf borderId="74" fillId="2" fontId="103" numFmtId="0" xfId="0" applyAlignment="1" applyBorder="1" applyFill="1" applyFont="1">
      <alignment horizontal="right" vertical="center"/>
    </xf>
    <xf borderId="39" fillId="2" fontId="103" numFmtId="0" xfId="0" applyAlignment="1" applyBorder="1" applyFill="1" applyFont="1">
      <alignment horizontal="right" vertical="center"/>
    </xf>
    <xf borderId="73" fillId="2" fontId="103" numFmtId="0" xfId="0" applyAlignment="1" applyBorder="1" applyFill="1" applyFont="1">
      <alignment horizontal="center" vertical="center"/>
    </xf>
    <xf borderId="76" fillId="2" fontId="103" numFmtId="196" xfId="0" applyAlignment="1" applyBorder="1" applyFill="1" applyFont="1" applyNumberFormat="1">
      <alignment horizontal="center" vertical="center"/>
    </xf>
    <xf borderId="1" fillId="2" fontId="330" numFmtId="9" xfId="0" applyBorder="1" applyFill="1" applyFont="1" applyNumberFormat="1"/>
    <xf borderId="1" fillId="2" fontId="249" numFmtId="0" xfId="0" applyAlignment="1" applyBorder="1" applyFill="1" applyFont="1">
      <alignment horizontal="left" vertical="center"/>
    </xf>
    <xf borderId="149" fillId="8" fontId="295" numFmtId="197" xfId="0" applyAlignment="1" applyBorder="1" applyFill="1" applyFont="1" applyNumberFormat="1">
      <alignment horizontal="center" vertical="center"/>
    </xf>
    <xf borderId="1" fillId="2" fontId="1" numFmtId="10" xfId="0" applyBorder="1" applyFill="1" applyFont="1" applyNumberFormat="1"/>
    <xf borderId="149" fillId="14" fontId="1" numFmtId="174" xfId="0" applyBorder="1" applyFill="1" applyFont="1" applyNumberFormat="1"/>
    <xf borderId="1" fillId="2" fontId="1" numFmtId="175" xfId="0" applyBorder="1" applyFill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6.xml"/><Relationship Id="rId22" Type="http://schemas.openxmlformats.org/officeDocument/2006/relationships/worksheet" Target="worksheets/sheet18.xml"/><Relationship Id="rId21" Type="http://schemas.openxmlformats.org/officeDocument/2006/relationships/worksheet" Target="worksheets/sheet17.xml"/><Relationship Id="rId24" Type="http://schemas.openxmlformats.org/officeDocument/2006/relationships/worksheet" Target="worksheets/sheet20.xml"/><Relationship Id="rId23" Type="http://schemas.openxmlformats.org/officeDocument/2006/relationships/worksheet" Target="worksheets/sheet1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9" Type="http://schemas.openxmlformats.org/officeDocument/2006/relationships/worksheet" Target="worksheets/sheet5.xml"/><Relationship Id="rId25" Type="http://customschemas.google.com/relationships/workbookmetadata" Target="metadata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19" Type="http://schemas.openxmlformats.org/officeDocument/2006/relationships/worksheet" Target="worksheets/sheet15.xml"/><Relationship Id="rId18" Type="http://schemas.openxmlformats.org/officeDocument/2006/relationships/worksheet" Target="worksheets/sheet14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accent2"/>
                </a:solidFill>
                <a:latin typeface="Calibri"/>
              </a:defRPr>
            </a:pPr>
            <a:r>
              <a:rPr b="1" i="0" sz="1600">
                <a:solidFill>
                  <a:schemeClr val="accent2"/>
                </a:solidFill>
                <a:latin typeface="Calibri"/>
              </a:rPr>
              <a:t>Current and Forecast Revenue Sources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Net Tuition</c:v>
          </c:tx>
          <c:spPr>
            <a:solidFill>
              <a:schemeClr val="accent1"/>
            </a:solidFill>
            <a:ln cmpd="sng">
              <a:noFill/>
            </a:ln>
          </c:spPr>
          <c:invertIfNegative val="0"/>
          <c:cat>
            <c:strRef>
              <c:f>'B Charts'!$AB$24:$AH$24</c:f>
            </c:strRef>
          </c:cat>
          <c:val>
            <c:numRef>
              <c:f>'B Charts'!$AB$25:$AH$25</c:f>
              <c:numCache/>
            </c:numRef>
          </c:val>
        </c:ser>
        <c:ser>
          <c:idx val="1"/>
          <c:order val="1"/>
          <c:tx>
            <c:v>Auxiliaries</c:v>
          </c:tx>
          <c:spPr>
            <a:solidFill>
              <a:schemeClr val="accent2"/>
            </a:solidFill>
            <a:ln cmpd="sng">
              <a:noFill/>
            </a:ln>
          </c:spPr>
          <c:invertIfNegative val="0"/>
          <c:cat>
            <c:strRef>
              <c:f>'B Charts'!$AB$24:$AH$24</c:f>
            </c:strRef>
          </c:cat>
          <c:val>
            <c:numRef>
              <c:f>'B Charts'!$AB$26:$AH$26</c:f>
              <c:numCache/>
            </c:numRef>
          </c:val>
        </c:ser>
        <c:ser>
          <c:idx val="2"/>
          <c:order val="2"/>
          <c:tx>
            <c:v>Non Student</c:v>
          </c:tx>
          <c:spPr>
            <a:solidFill>
              <a:schemeClr val="accent3"/>
            </a:solidFill>
            <a:ln cmpd="sng">
              <a:noFill/>
            </a:ln>
          </c:spPr>
          <c:invertIfNegative val="0"/>
          <c:cat>
            <c:strRef>
              <c:f>'B Charts'!$AB$24:$AH$24</c:f>
            </c:strRef>
          </c:cat>
          <c:val>
            <c:numRef>
              <c:f>'B Charts'!$AB$27:$AH$27</c:f>
              <c:numCache/>
            </c:numRef>
          </c:val>
        </c:ser>
        <c:ser>
          <c:idx val="3"/>
          <c:order val="3"/>
          <c:tx>
            <c:v>Released from Restriction</c:v>
          </c:tx>
          <c:spPr>
            <a:solidFill>
              <a:schemeClr val="accent4"/>
            </a:solidFill>
            <a:ln cmpd="sng">
              <a:noFill/>
            </a:ln>
          </c:spPr>
          <c:invertIfNegative val="0"/>
          <c:cat>
            <c:strRef>
              <c:f>'B Charts'!$AB$24:$AH$24</c:f>
            </c:strRef>
          </c:cat>
          <c:val>
            <c:numRef>
              <c:f>'B Charts'!$AB$28:$AH$28</c:f>
              <c:numCache/>
            </c:numRef>
          </c:val>
        </c:ser>
        <c:axId val="1978254010"/>
        <c:axId val="783732545"/>
      </c:barChart>
      <c:lineChart>
        <c:varyColors val="0"/>
        <c:ser>
          <c:idx val="4"/>
          <c:order val="4"/>
          <c:tx>
            <c:v>Total Revenue</c:v>
          </c:tx>
          <c:spPr>
            <a:ln cmpd="sng" w="28575">
              <a:solidFill>
                <a:schemeClr val="accent5"/>
              </a:solidFill>
            </a:ln>
          </c:spPr>
          <c:marker>
            <c:symbol val="none"/>
          </c:marker>
          <c:cat>
            <c:strRef>
              <c:f>'B Charts'!$AB$24:$AH$24</c:f>
            </c:strRef>
          </c:cat>
          <c:val>
            <c:numRef>
              <c:f>'B Charts'!$AB$29:$AH$29</c:f>
              <c:numCache/>
            </c:numRef>
          </c:val>
          <c:smooth val="0"/>
        </c:ser>
        <c:axId val="1978254010"/>
        <c:axId val="783732545"/>
      </c:lineChart>
      <c:catAx>
        <c:axId val="19782540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783732545"/>
      </c:catAx>
      <c:valAx>
        <c:axId val="78373254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197825401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Calibri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accent2"/>
                </a:solidFill>
                <a:latin typeface="Calibri"/>
              </a:defRPr>
            </a:pPr>
            <a:r>
              <a:rPr b="1" i="0" sz="1600">
                <a:solidFill>
                  <a:schemeClr val="accent2"/>
                </a:solidFill>
                <a:latin typeface="Calibri"/>
              </a:rPr>
              <a:t>Current and Forecast Net Tuition 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Traditional</c:v>
          </c:tx>
          <c:spPr>
            <a:solidFill>
              <a:schemeClr val="accent1"/>
            </a:solidFill>
            <a:ln cmpd="sng">
              <a:noFill/>
            </a:ln>
          </c:spPr>
          <c:invertIfNegative val="0"/>
          <c:cat>
            <c:strRef>
              <c:f>'B Charts'!$AB$19:$AH$19</c:f>
            </c:strRef>
          </c:cat>
          <c:val>
            <c:numRef>
              <c:f>'B Charts'!$AB$20:$AH$20</c:f>
              <c:numCache/>
            </c:numRef>
          </c:val>
        </c:ser>
        <c:ser>
          <c:idx val="1"/>
          <c:order val="1"/>
          <c:tx>
            <c:v>Non-Traditional</c:v>
          </c:tx>
          <c:spPr>
            <a:solidFill>
              <a:schemeClr val="accent2"/>
            </a:solidFill>
            <a:ln cmpd="sng">
              <a:noFill/>
            </a:ln>
          </c:spPr>
          <c:invertIfNegative val="0"/>
          <c:cat>
            <c:strRef>
              <c:f>'B Charts'!$AB$19:$AH$19</c:f>
            </c:strRef>
          </c:cat>
          <c:val>
            <c:numRef>
              <c:f>'B Charts'!$AB$21:$AH$21</c:f>
              <c:numCache/>
            </c:numRef>
          </c:val>
        </c:ser>
        <c:axId val="1164282776"/>
        <c:axId val="1828604123"/>
      </c:barChart>
      <c:lineChart>
        <c:varyColors val="0"/>
        <c:ser>
          <c:idx val="2"/>
          <c:order val="2"/>
          <c:tx>
            <c:v>Net Tuition Total</c:v>
          </c:tx>
          <c:spPr>
            <a:ln cmpd="sng" w="28575"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'B Charts'!$AB$19:$AH$19</c:f>
            </c:strRef>
          </c:cat>
          <c:val>
            <c:numRef>
              <c:f>'B Charts'!$AB$22:$AH$22</c:f>
              <c:numCache/>
            </c:numRef>
          </c:val>
          <c:smooth val="0"/>
        </c:ser>
        <c:axId val="1164282776"/>
        <c:axId val="1828604123"/>
      </c:lineChart>
      <c:catAx>
        <c:axId val="1164282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1828604123"/>
      </c:catAx>
      <c:valAx>
        <c:axId val="182860412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1164282776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Calibri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accent2"/>
                </a:solidFill>
                <a:latin typeface="Calibri"/>
              </a:defRPr>
            </a:pPr>
            <a:r>
              <a:rPr b="1" i="0" sz="1600">
                <a:solidFill>
                  <a:schemeClr val="accent2"/>
                </a:solidFill>
                <a:latin typeface="Calibri"/>
              </a:rPr>
              <a:t>Traditional Tuition Discount % (overall)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tx>
            <c:v>Tuition Discount %</c:v>
          </c:tx>
          <c:spPr>
            <a:ln cmpd="sng" w="28575">
              <a:solidFill>
                <a:schemeClr val="accent1"/>
              </a:solidFill>
            </a:ln>
          </c:spPr>
          <c:marker>
            <c:symbol val="circle"/>
            <c:size val="1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dLbls>
            <c:numFmt formatCode="General" sourceLinked="1"/>
            <c:txPr>
              <a:bodyPr/>
              <a:lstStyle/>
              <a:p>
                <a:pPr lvl="0">
                  <a:defRPr b="1" i="0" sz="900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'B Charts'!$AB$16:$AH$16</c:f>
            </c:strRef>
          </c:cat>
          <c:val>
            <c:numRef>
              <c:f>'B Charts'!$AB$17:$AH$17</c:f>
              <c:numCache/>
            </c:numRef>
          </c:val>
          <c:smooth val="0"/>
        </c:ser>
        <c:axId val="556165604"/>
        <c:axId val="46332146"/>
      </c:lineChart>
      <c:catAx>
        <c:axId val="5561656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Calibri"/>
              </a:defRPr>
            </a:pPr>
          </a:p>
        </c:txPr>
        <c:crossAx val="46332146"/>
      </c:catAx>
      <c:valAx>
        <c:axId val="4633214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556165604"/>
      </c:valAx>
    </c:plotArea>
    <c:plotVisOnly val="1"/>
  </c:chart>
  <c:spPr>
    <a:solidFill>
      <a:schemeClr val="lt1"/>
    </a:solidFill>
  </c:spPr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chemeClr val="accent2"/>
                </a:solidFill>
                <a:latin typeface="Calibri"/>
              </a:defRPr>
            </a:pPr>
            <a:r>
              <a:rPr b="0" i="0" sz="1400">
                <a:solidFill>
                  <a:schemeClr val="accent2"/>
                </a:solidFill>
                <a:latin typeface="Calibri"/>
              </a:rPr>
              <a:t>Forecast Fall Traditional Population</a:t>
            </a:r>
          </a:p>
        </c:rich>
      </c:tx>
      <c:layout>
        <c:manualLayout>
          <c:xMode val="edge"/>
          <c:yMode val="edge"/>
          <c:x val="0.18963368683092433"/>
          <c:y val="0.042252468638242176"/>
        </c:manualLayout>
      </c:layout>
      <c:overlay val="0"/>
    </c:title>
    <c:plotArea>
      <c:layout/>
      <c:barChart>
        <c:barDir val="col"/>
        <c:ser>
          <c:idx val="0"/>
          <c:order val="0"/>
          <c:tx>
            <c:v>New</c:v>
          </c:tx>
          <c:spPr>
            <a:solidFill>
              <a:schemeClr val="accent1"/>
            </a:solidFill>
            <a:ln cmpd="sng">
              <a:noFill/>
            </a:ln>
          </c:spPr>
          <c:invertIfNegative val="0"/>
          <c:cat>
            <c:strRef>
              <c:f>'B Charts'!$AB$11:$AF$11</c:f>
            </c:strRef>
          </c:cat>
          <c:val>
            <c:numRef>
              <c:f>'B Charts'!$AB$12:$AF$12</c:f>
              <c:numCache/>
            </c:numRef>
          </c:val>
        </c:ser>
        <c:ser>
          <c:idx val="1"/>
          <c:order val="1"/>
          <c:tx>
            <c:v>Returning</c:v>
          </c:tx>
          <c:spPr>
            <a:solidFill>
              <a:schemeClr val="accent2"/>
            </a:solidFill>
            <a:ln cmpd="sng">
              <a:noFill/>
            </a:ln>
          </c:spPr>
          <c:invertIfNegative val="0"/>
          <c:cat>
            <c:strRef>
              <c:f>'B Charts'!$AB$11:$AF$11</c:f>
            </c:strRef>
          </c:cat>
          <c:val>
            <c:numRef>
              <c:f>'B Charts'!$AB$13:$AF$13</c:f>
              <c:numCache/>
            </c:numRef>
          </c:val>
        </c:ser>
        <c:axId val="640452536"/>
        <c:axId val="724776009"/>
      </c:barChart>
      <c:lineChart>
        <c:varyColors val="0"/>
        <c:ser>
          <c:idx val="2"/>
          <c:order val="2"/>
          <c:tx>
            <c:v>Total Census</c:v>
          </c:tx>
          <c:spPr>
            <a:ln cmpd="sng" w="28575"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'B Charts'!$AB$11:$AF$11</c:f>
            </c:strRef>
          </c:cat>
          <c:val>
            <c:numRef>
              <c:f>'B Charts'!$AB$14:$AF$14</c:f>
              <c:numCache/>
            </c:numRef>
          </c:val>
          <c:smooth val="0"/>
        </c:ser>
        <c:axId val="640452536"/>
        <c:axId val="724776009"/>
      </c:lineChart>
      <c:catAx>
        <c:axId val="640452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724776009"/>
      </c:catAx>
      <c:valAx>
        <c:axId val="72477600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640452536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Calibri"/>
            </a:defRPr>
          </a:pPr>
        </a:p>
      </c:txPr>
    </c:legend>
    <c:plotVisOnly val="1"/>
  </c:chart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accent2"/>
                </a:solidFill>
                <a:latin typeface="Calibri"/>
              </a:defRPr>
            </a:pPr>
            <a:r>
              <a:rPr b="1" i="0" sz="1600">
                <a:solidFill>
                  <a:schemeClr val="accent2"/>
                </a:solidFill>
                <a:latin typeface="Calibri"/>
              </a:rPr>
              <a:t>Historical Fall Traditional Population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New</c:v>
          </c:tx>
          <c:spPr>
            <a:solidFill>
              <a:schemeClr val="accent1"/>
            </a:solidFill>
            <a:ln cmpd="sng">
              <a:noFill/>
            </a:ln>
          </c:spPr>
          <c:invertIfNegative val="0"/>
          <c:cat>
            <c:strRef>
              <c:f>'B Charts'!$AB$6:$AH$6</c:f>
            </c:strRef>
          </c:cat>
          <c:val>
            <c:numRef>
              <c:f>'B Charts'!$AB$7:$AH$7</c:f>
              <c:numCache/>
            </c:numRef>
          </c:val>
        </c:ser>
        <c:ser>
          <c:idx val="1"/>
          <c:order val="1"/>
          <c:tx>
            <c:v>Returning</c:v>
          </c:tx>
          <c:spPr>
            <a:solidFill>
              <a:schemeClr val="accent2"/>
            </a:solidFill>
            <a:ln cmpd="sng">
              <a:noFill/>
            </a:ln>
          </c:spPr>
          <c:invertIfNegative val="0"/>
          <c:cat>
            <c:strRef>
              <c:f>'B Charts'!$AB$6:$AH$6</c:f>
            </c:strRef>
          </c:cat>
          <c:val>
            <c:numRef>
              <c:f>'B Charts'!$AB$8:$AH$8</c:f>
              <c:numCache/>
            </c:numRef>
          </c:val>
        </c:ser>
        <c:axId val="911401545"/>
        <c:axId val="470320036"/>
      </c:barChart>
      <c:lineChart>
        <c:varyColors val="0"/>
        <c:ser>
          <c:idx val="2"/>
          <c:order val="2"/>
          <c:tx>
            <c:v>Total Census</c:v>
          </c:tx>
          <c:spPr>
            <a:ln cmpd="sng" w="28575"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'B Charts'!$AB$6:$AH$6</c:f>
            </c:strRef>
          </c:cat>
          <c:val>
            <c:numRef>
              <c:f>'B Charts'!$AB$9:$AH$9</c:f>
              <c:numCache/>
            </c:numRef>
          </c:val>
          <c:smooth val="0"/>
        </c:ser>
        <c:axId val="911401545"/>
        <c:axId val="470320036"/>
      </c:lineChart>
      <c:catAx>
        <c:axId val="91140154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470320036"/>
      </c:catAx>
      <c:valAx>
        <c:axId val="47032003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911401545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Calibri"/>
            </a:defRPr>
          </a:pPr>
        </a:p>
      </c:txPr>
    </c:legend>
    <c:plotVisOnly val="1"/>
  </c:chart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accent2"/>
                </a:solidFill>
                <a:latin typeface="Calibri"/>
              </a:defRPr>
            </a:pPr>
            <a:r>
              <a:rPr b="1" i="0" sz="1600">
                <a:solidFill>
                  <a:schemeClr val="accent2"/>
                </a:solidFill>
                <a:latin typeface="Calibri"/>
              </a:rPr>
              <a:t>Income by Net Asset Category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Unrestricted</c:v>
          </c:tx>
          <c:spPr>
            <a:solidFill>
              <a:schemeClr val="accent1"/>
            </a:solidFill>
            <a:ln cmpd="sng">
              <a:noFill/>
            </a:ln>
          </c:spPr>
          <c:invertIfNegative val="0"/>
          <c:cat>
            <c:strRef>
              <c:f>'B Charts'!$AB$31:$AH$31</c:f>
            </c:strRef>
          </c:cat>
          <c:val>
            <c:numRef>
              <c:f>'B Charts'!$AB$32:$AH$32</c:f>
              <c:numCache/>
            </c:numRef>
          </c:val>
        </c:ser>
        <c:ser>
          <c:idx val="1"/>
          <c:order val="1"/>
          <c:tx>
            <c:v>Temporarily</c:v>
          </c:tx>
          <c:spPr>
            <a:solidFill>
              <a:schemeClr val="accent2"/>
            </a:solidFill>
            <a:ln cmpd="sng">
              <a:noFill/>
            </a:ln>
          </c:spPr>
          <c:invertIfNegative val="0"/>
          <c:cat>
            <c:strRef>
              <c:f>'B Charts'!$AB$31:$AH$31</c:f>
            </c:strRef>
          </c:cat>
          <c:val>
            <c:numRef>
              <c:f>'B Charts'!$AB$33:$AH$33</c:f>
              <c:numCache/>
            </c:numRef>
          </c:val>
        </c:ser>
        <c:ser>
          <c:idx val="2"/>
          <c:order val="2"/>
          <c:tx>
            <c:v>Permanent</c:v>
          </c:tx>
          <c:spPr>
            <a:solidFill>
              <a:schemeClr val="accent3"/>
            </a:solidFill>
            <a:ln cmpd="sng">
              <a:noFill/>
            </a:ln>
          </c:spPr>
          <c:invertIfNegative val="0"/>
          <c:cat>
            <c:strRef>
              <c:f>'B Charts'!$AB$31:$AH$31</c:f>
            </c:strRef>
          </c:cat>
          <c:val>
            <c:numRef>
              <c:f>'B Charts'!$AB$34:$AH$34</c:f>
              <c:numCache/>
            </c:numRef>
          </c:val>
        </c:ser>
        <c:axId val="2087174352"/>
        <c:axId val="1452510963"/>
      </c:barChart>
      <c:lineChart>
        <c:varyColors val="0"/>
        <c:ser>
          <c:idx val="3"/>
          <c:order val="3"/>
          <c:tx>
            <c:v>Overall</c:v>
          </c:tx>
          <c:spPr>
            <a:ln cmpd="sng" w="28575">
              <a:solidFill>
                <a:schemeClr val="accent4"/>
              </a:solidFill>
            </a:ln>
          </c:spPr>
          <c:marker>
            <c:symbol val="none"/>
          </c:marker>
          <c:cat>
            <c:strRef>
              <c:f>'B Charts'!$AB$31:$AH$31</c:f>
            </c:strRef>
          </c:cat>
          <c:val>
            <c:numRef>
              <c:f>'B Charts'!$AB$35:$AH$35</c:f>
              <c:numCache/>
            </c:numRef>
          </c:val>
          <c:smooth val="0"/>
        </c:ser>
        <c:axId val="2087174352"/>
        <c:axId val="1452510963"/>
      </c:lineChart>
      <c:catAx>
        <c:axId val="20871743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1452510963"/>
      </c:catAx>
      <c:valAx>
        <c:axId val="145251096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2087174352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Calibri"/>
            </a:defRPr>
          </a:pPr>
        </a:p>
      </c:txPr>
    </c:legend>
    <c:plotVisOnly val="1"/>
  </c:chart>
</c:chartSpace>
</file>

<file path=xl/charts/chart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600">
                <a:solidFill>
                  <a:schemeClr val="accent2"/>
                </a:solidFill>
                <a:latin typeface="Calibri"/>
              </a:defRPr>
            </a:pPr>
            <a:r>
              <a:rPr b="0" i="0" sz="1600">
                <a:solidFill>
                  <a:schemeClr val="accent2"/>
                </a:solidFill>
                <a:latin typeface="Calibri"/>
              </a:rPr>
              <a:t>Asset Composition</a:t>
            </a:r>
          </a:p>
        </c:rich>
      </c:tx>
      <c:layout>
        <c:manualLayout>
          <c:xMode val="edge"/>
          <c:yMode val="edge"/>
          <c:x val="0.33596617122714856"/>
          <c:y val="0.03392957720307698"/>
        </c:manualLayout>
      </c:layout>
      <c:overlay val="0"/>
    </c:title>
    <c:plotArea>
      <c:layout/>
      <c:barChart>
        <c:barDir val="col"/>
        <c:ser>
          <c:idx val="0"/>
          <c:order val="0"/>
          <c:tx>
            <c:v>Cash</c:v>
          </c:tx>
          <c:spPr>
            <a:solidFill>
              <a:schemeClr val="accent1"/>
            </a:solidFill>
            <a:ln cmpd="sng">
              <a:noFill/>
            </a:ln>
          </c:spPr>
          <c:invertIfNegative val="0"/>
          <c:cat>
            <c:strRef>
              <c:f>'B Charts'!$AB$37:$AH$37</c:f>
            </c:strRef>
          </c:cat>
          <c:val>
            <c:numRef>
              <c:f>'B Charts'!$AB$38:$AH$38</c:f>
              <c:numCache/>
            </c:numRef>
          </c:val>
        </c:ser>
        <c:ser>
          <c:idx val="1"/>
          <c:order val="1"/>
          <c:tx>
            <c:v>Investments</c:v>
          </c:tx>
          <c:spPr>
            <a:solidFill>
              <a:schemeClr val="accent2"/>
            </a:solidFill>
            <a:ln cmpd="sng">
              <a:noFill/>
            </a:ln>
          </c:spPr>
          <c:invertIfNegative val="0"/>
          <c:cat>
            <c:strRef>
              <c:f>'B Charts'!$AB$37:$AH$37</c:f>
            </c:strRef>
          </c:cat>
          <c:val>
            <c:numRef>
              <c:f>'B Charts'!$AB$39:$AH$39</c:f>
              <c:numCache/>
            </c:numRef>
          </c:val>
        </c:ser>
        <c:ser>
          <c:idx val="2"/>
          <c:order val="2"/>
          <c:tx>
            <c:v>Fixed</c:v>
          </c:tx>
          <c:spPr>
            <a:solidFill>
              <a:schemeClr val="accent3"/>
            </a:solidFill>
            <a:ln cmpd="sng">
              <a:noFill/>
            </a:ln>
          </c:spPr>
          <c:invertIfNegative val="0"/>
          <c:cat>
            <c:strRef>
              <c:f>'B Charts'!$AB$37:$AH$37</c:f>
            </c:strRef>
          </c:cat>
          <c:val>
            <c:numRef>
              <c:f>'B Charts'!$AB$40:$AH$40</c:f>
              <c:numCache/>
            </c:numRef>
          </c:val>
        </c:ser>
        <c:ser>
          <c:idx val="3"/>
          <c:order val="3"/>
          <c:tx>
            <c:v>Other</c:v>
          </c:tx>
          <c:spPr>
            <a:solidFill>
              <a:schemeClr val="accent4"/>
            </a:solidFill>
            <a:ln cmpd="sng">
              <a:noFill/>
            </a:ln>
          </c:spPr>
          <c:invertIfNegative val="0"/>
          <c:cat>
            <c:strRef>
              <c:f>'B Charts'!$AB$37:$AH$37</c:f>
            </c:strRef>
          </c:cat>
          <c:val>
            <c:numRef>
              <c:f>'B Charts'!$AB$41:$AH$41</c:f>
              <c:numCache/>
            </c:numRef>
          </c:val>
        </c:ser>
        <c:axId val="1882010470"/>
        <c:axId val="1624634169"/>
      </c:barChart>
      <c:lineChart>
        <c:varyColors val="0"/>
        <c:ser>
          <c:idx val="4"/>
          <c:order val="4"/>
          <c:tx>
            <c:v>Total</c:v>
          </c:tx>
          <c:spPr>
            <a:ln cmpd="sng" w="28575">
              <a:solidFill>
                <a:schemeClr val="accent5"/>
              </a:solidFill>
            </a:ln>
          </c:spPr>
          <c:marker>
            <c:symbol val="none"/>
          </c:marker>
          <c:cat>
            <c:strRef>
              <c:f>'B Charts'!$AB$37:$AH$37</c:f>
            </c:strRef>
          </c:cat>
          <c:val>
            <c:numRef>
              <c:f>'B Charts'!$AB$42:$AH$42</c:f>
              <c:numCache/>
            </c:numRef>
          </c:val>
          <c:smooth val="0"/>
        </c:ser>
        <c:axId val="1882010470"/>
        <c:axId val="1624634169"/>
      </c:lineChart>
      <c:catAx>
        <c:axId val="188201047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1624634169"/>
      </c:catAx>
      <c:valAx>
        <c:axId val="162463416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188201047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Calibri"/>
            </a:defRPr>
          </a:pPr>
        </a:p>
      </c:txPr>
    </c:legend>
    <c:plotVisOnly val="1"/>
  </c:chart>
</c:chartSpace>
</file>

<file path=xl/charts/chart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600">
                <a:solidFill>
                  <a:schemeClr val="accent2"/>
                </a:solidFill>
                <a:latin typeface="Calibri"/>
              </a:defRPr>
            </a:pPr>
            <a:r>
              <a:rPr b="1" i="0" sz="1600">
                <a:solidFill>
                  <a:schemeClr val="accent2"/>
                </a:solidFill>
                <a:latin typeface="Calibri"/>
              </a:rPr>
              <a:t>Capitalization</a:t>
            </a:r>
          </a:p>
        </c:rich>
      </c:tx>
      <c:overlay val="0"/>
    </c:title>
    <c:plotArea>
      <c:layout/>
      <c:lineChart>
        <c:ser>
          <c:idx val="0"/>
          <c:order val="0"/>
          <c:tx>
            <c:v>Current Liabilities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'B Charts'!$AB$51:$AH$51</c:f>
            </c:strRef>
          </c:cat>
          <c:val>
            <c:numRef>
              <c:f>'B Charts'!$AB$52:$AH$52</c:f>
              <c:numCache/>
            </c:numRef>
          </c:val>
          <c:smooth val="0"/>
        </c:ser>
        <c:ser>
          <c:idx val="1"/>
          <c:order val="1"/>
          <c:tx>
            <c:v>Long-Term iabilities</c:v>
          </c:tx>
          <c:spPr>
            <a:ln cmpd="sng" w="28575">
              <a:solidFill>
                <a:schemeClr val="accent2"/>
              </a:solidFill>
            </a:ln>
          </c:spPr>
          <c:marker>
            <c:symbol val="none"/>
          </c:marker>
          <c:cat>
            <c:strRef>
              <c:f>'B Charts'!$AB$51:$AH$51</c:f>
            </c:strRef>
          </c:cat>
          <c:val>
            <c:numRef>
              <c:f>'B Charts'!$AB$53:$AH$53</c:f>
              <c:numCache/>
            </c:numRef>
          </c:val>
          <c:smooth val="0"/>
        </c:ser>
        <c:axId val="720163864"/>
        <c:axId val="1994934631"/>
      </c:lineChart>
      <c:catAx>
        <c:axId val="720163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1994934631"/>
      </c:catAx>
      <c:valAx>
        <c:axId val="199493463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Calibri"/>
              </a:defRPr>
            </a:pPr>
          </a:p>
        </c:txPr>
        <c:crossAx val="720163864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Calibri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10" Type="http://schemas.openxmlformats.org/officeDocument/2006/relationships/image" Target="../media/image2.png"/><Relationship Id="rId9" Type="http://schemas.openxmlformats.org/officeDocument/2006/relationships/image" Target="../media/image1.png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2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4.png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4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5.png"/><Relationship Id="rId3" Type="http://schemas.openxmlformats.org/officeDocument/2006/relationships/image" Target="../media/image2.png"/></Relationships>
</file>

<file path=xl/drawings/_rels/drawing18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571500</xdr:colOff>
      <xdr:row>11</xdr:row>
      <xdr:rowOff>9525</xdr:rowOff>
    </xdr:from>
    <xdr:ext cx="1095375" cy="295275"/>
    <xdr:sp>
      <xdr:nvSpPr>
        <xdr:cNvPr id="3" name="Shape 3"/>
        <xdr:cNvSpPr/>
      </xdr:nvSpPr>
      <xdr:spPr>
        <a:xfrm>
          <a:off x="4807838" y="3637125"/>
          <a:ext cx="1076325" cy="285750"/>
        </a:xfrm>
        <a:prstGeom prst="flowChartAlternateProcess">
          <a:avLst/>
        </a:prstGeom>
        <a:solidFill>
          <a:srgbClr val="C3623A"/>
        </a:solidFill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9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Clear Test</a:t>
          </a:r>
          <a:r>
            <a:rPr lang="en-US" sz="9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Data</a:t>
          </a:r>
          <a:endParaRPr sz="9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</xdr:col>
      <xdr:colOff>9525</xdr:colOff>
      <xdr:row>11</xdr:row>
      <xdr:rowOff>9525</xdr:rowOff>
    </xdr:from>
    <xdr:ext cx="1133475" cy="295275"/>
    <xdr:sp>
      <xdr:nvSpPr>
        <xdr:cNvPr id="4" name="Shape 4"/>
        <xdr:cNvSpPr/>
      </xdr:nvSpPr>
      <xdr:spPr>
        <a:xfrm>
          <a:off x="4788788" y="3637125"/>
          <a:ext cx="1114425" cy="285750"/>
        </a:xfrm>
        <a:prstGeom prst="flowChartAlternateProcess">
          <a:avLst/>
        </a:prstGeom>
        <a:solidFill>
          <a:srgbClr val="C3623A"/>
        </a:solidFill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9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Yearly Rollforward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9</xdr:col>
      <xdr:colOff>647700</xdr:colOff>
      <xdr:row>0</xdr:row>
      <xdr:rowOff>38100</xdr:rowOff>
    </xdr:from>
    <xdr:ext cx="3333750" cy="1123950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19050</xdr:colOff>
      <xdr:row>42</xdr:row>
      <xdr:rowOff>171450</xdr:rowOff>
    </xdr:from>
    <xdr:ext cx="4486275" cy="3257550"/>
    <xdr:graphicFrame>
      <xdr:nvGraphicFramePr>
        <xdr:cNvPr id="1542278883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7</xdr:col>
      <xdr:colOff>657225</xdr:colOff>
      <xdr:row>22</xdr:row>
      <xdr:rowOff>9525</xdr:rowOff>
    </xdr:from>
    <xdr:ext cx="4486275" cy="3228975"/>
    <xdr:graphicFrame>
      <xdr:nvGraphicFramePr>
        <xdr:cNvPr id="335492237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1</xdr:col>
      <xdr:colOff>9525</xdr:colOff>
      <xdr:row>22</xdr:row>
      <xdr:rowOff>0</xdr:rowOff>
    </xdr:from>
    <xdr:ext cx="4505325" cy="3228975"/>
    <xdr:graphicFrame>
      <xdr:nvGraphicFramePr>
        <xdr:cNvPr id="95049408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8</xdr:col>
      <xdr:colOff>0</xdr:colOff>
      <xdr:row>2</xdr:row>
      <xdr:rowOff>152400</xdr:rowOff>
    </xdr:from>
    <xdr:ext cx="4486275" cy="3267075"/>
    <xdr:graphicFrame>
      <xdr:nvGraphicFramePr>
        <xdr:cNvPr id="1183058536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1</xdr:col>
      <xdr:colOff>0</xdr:colOff>
      <xdr:row>2</xdr:row>
      <xdr:rowOff>171450</xdr:rowOff>
    </xdr:from>
    <xdr:ext cx="4505325" cy="3257550"/>
    <xdr:graphicFrame>
      <xdr:nvGraphicFramePr>
        <xdr:cNvPr id="132572731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676275</xdr:colOff>
      <xdr:row>43</xdr:row>
      <xdr:rowOff>0</xdr:rowOff>
    </xdr:from>
    <xdr:ext cx="4457700" cy="3238500"/>
    <xdr:graphicFrame>
      <xdr:nvGraphicFramePr>
        <xdr:cNvPr id="544734394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</xdr:col>
      <xdr:colOff>0</xdr:colOff>
      <xdr:row>61</xdr:row>
      <xdr:rowOff>171450</xdr:rowOff>
    </xdr:from>
    <xdr:ext cx="4514850" cy="3248025"/>
    <xdr:graphicFrame>
      <xdr:nvGraphicFramePr>
        <xdr:cNvPr id="59740993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8</xdr:col>
      <xdr:colOff>19050</xdr:colOff>
      <xdr:row>61</xdr:row>
      <xdr:rowOff>171450</xdr:rowOff>
    </xdr:from>
    <xdr:ext cx="4438650" cy="3257550"/>
    <xdr:graphicFrame>
      <xdr:nvGraphicFramePr>
        <xdr:cNvPr id="2001164556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12</xdr:col>
      <xdr:colOff>19050</xdr:colOff>
      <xdr:row>40</xdr:row>
      <xdr:rowOff>76200</xdr:rowOff>
    </xdr:from>
    <xdr:ext cx="1809750" cy="438150"/>
    <xdr:pic>
      <xdr:nvPicPr>
        <xdr:cNvPr id="0" name="image1.png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333375</xdr:colOff>
      <xdr:row>0</xdr:row>
      <xdr:rowOff>142875</xdr:rowOff>
    </xdr:from>
    <xdr:ext cx="1962150" cy="676275"/>
    <xdr:pic>
      <xdr:nvPicPr>
        <xdr:cNvPr id="0" name="image2.png" title="Image"/>
        <xdr:cNvPicPr preferRelativeResize="0"/>
      </xdr:nvPicPr>
      <xdr:blipFill>
        <a:blip cstate="print" r:embed="rId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16</xdr:col>
      <xdr:colOff>238125</xdr:colOff>
      <xdr:row>0</xdr:row>
      <xdr:rowOff>0</xdr:rowOff>
    </xdr:from>
    <xdr:ext cx="1285875" cy="4476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12</xdr:col>
      <xdr:colOff>962025</xdr:colOff>
      <xdr:row>0</xdr:row>
      <xdr:rowOff>0</xdr:rowOff>
    </xdr:from>
    <xdr:ext cx="1095375" cy="381000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16</xdr:col>
      <xdr:colOff>9525</xdr:colOff>
      <xdr:row>0</xdr:row>
      <xdr:rowOff>0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342900</xdr:colOff>
      <xdr:row>46</xdr:row>
      <xdr:rowOff>19050</xdr:rowOff>
    </xdr:from>
    <xdr:ext cx="876300" cy="904875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20</xdr:col>
      <xdr:colOff>600075</xdr:colOff>
      <xdr:row>0</xdr:row>
      <xdr:rowOff>0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15</xdr:col>
      <xdr:colOff>657225</xdr:colOff>
      <xdr:row>0</xdr:row>
      <xdr:rowOff>38100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13</xdr:col>
      <xdr:colOff>95250</xdr:colOff>
      <xdr:row>0</xdr:row>
      <xdr:rowOff>85725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15</xdr:col>
      <xdr:colOff>238125</xdr:colOff>
      <xdr:row>47</xdr:row>
      <xdr:rowOff>9525</xdr:rowOff>
    </xdr:from>
    <xdr:ext cx="1438275" cy="3333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333375</xdr:colOff>
      <xdr:row>0</xdr:row>
      <xdr:rowOff>38100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13</xdr:col>
      <xdr:colOff>247650</xdr:colOff>
      <xdr:row>0</xdr:row>
      <xdr:rowOff>0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13</xdr:col>
      <xdr:colOff>495300</xdr:colOff>
      <xdr:row>0</xdr:row>
      <xdr:rowOff>66675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28</xdr:col>
      <xdr:colOff>19050</xdr:colOff>
      <xdr:row>101</xdr:row>
      <xdr:rowOff>0</xdr:rowOff>
    </xdr:from>
    <xdr:ext cx="1428750" cy="3333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27</xdr:col>
      <xdr:colOff>190500</xdr:colOff>
      <xdr:row>201</xdr:row>
      <xdr:rowOff>285750</xdr:rowOff>
    </xdr:from>
    <xdr:ext cx="1438275" cy="3333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28</xdr:col>
      <xdr:colOff>0</xdr:colOff>
      <xdr:row>293</xdr:row>
      <xdr:rowOff>57150</xdr:rowOff>
    </xdr:from>
    <xdr:ext cx="1428750" cy="3429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16</xdr:col>
      <xdr:colOff>114300</xdr:colOff>
      <xdr:row>0</xdr:row>
      <xdr:rowOff>19050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0</xdr:colOff>
      <xdr:row>0</xdr:row>
      <xdr:rowOff>0</xdr:rowOff>
    </xdr:from>
    <xdr:ext cx="419100" cy="18097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13</xdr:col>
      <xdr:colOff>457200</xdr:colOff>
      <xdr:row>59</xdr:row>
      <xdr:rowOff>38100</xdr:rowOff>
    </xdr:from>
    <xdr:ext cx="1438275" cy="3333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476250</xdr:colOff>
      <xdr:row>125</xdr:row>
      <xdr:rowOff>66675</xdr:rowOff>
    </xdr:from>
    <xdr:ext cx="1438275" cy="3333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657225</xdr:colOff>
      <xdr:row>0</xdr:row>
      <xdr:rowOff>0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276225</xdr:colOff>
      <xdr:row>0</xdr:row>
      <xdr:rowOff>28575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381000</xdr:colOff>
      <xdr:row>48</xdr:row>
      <xdr:rowOff>28575</xdr:rowOff>
    </xdr:from>
    <xdr:ext cx="1428750" cy="3333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142875</xdr:colOff>
      <xdr:row>0</xdr:row>
      <xdr:rowOff>9525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15</xdr:col>
      <xdr:colOff>457200</xdr:colOff>
      <xdr:row>59</xdr:row>
      <xdr:rowOff>9525</xdr:rowOff>
    </xdr:from>
    <xdr:ext cx="1447800" cy="3429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1162050</xdr:colOff>
      <xdr:row>86</xdr:row>
      <xdr:rowOff>171450</xdr:rowOff>
    </xdr:from>
    <xdr:ext cx="419100" cy="323850"/>
    <xdr:pic>
      <xdr:nvPicPr>
        <xdr:cNvPr id="0" name="image5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409575</xdr:colOff>
      <xdr:row>0</xdr:row>
      <xdr:rowOff>38100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13</xdr:col>
      <xdr:colOff>38100</xdr:colOff>
      <xdr:row>0</xdr:row>
      <xdr:rowOff>85725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21</xdr:col>
      <xdr:colOff>190500</xdr:colOff>
      <xdr:row>0</xdr:row>
      <xdr:rowOff>133350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257175</xdr:colOff>
      <xdr:row>87</xdr:row>
      <xdr:rowOff>180975</xdr:rowOff>
    </xdr:from>
    <xdr:ext cx="1438275" cy="3429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876300</xdr:colOff>
      <xdr:row>0</xdr:row>
      <xdr:rowOff>114300</xdr:rowOff>
    </xdr:from>
    <xdr:ext cx="2038350" cy="714375"/>
    <xdr:pic>
      <xdr:nvPicPr>
        <xdr:cNvPr id="0" name="image2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cfocolleague.com/" TargetMode="External"/><Relationship Id="rId2" Type="http://schemas.openxmlformats.org/officeDocument/2006/relationships/hyperlink" Target="mailto:info@cfocolleague.com" TargetMode="External"/><Relationship Id="rId3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http://www.credohighered.com/services/student-success" TargetMode="External"/><Relationship Id="rId2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">
    <pageSetUpPr fitToPage="1"/>
  </sheetPr>
  <sheetViews>
    <sheetView workbookViewId="0"/>
  </sheetViews>
  <sheetFormatPr customHeight="1" defaultColWidth="12.63" defaultRowHeight="15.0" outlineLevelCol="1"/>
  <cols>
    <col customWidth="1" min="1" max="1" width="7.38"/>
    <col customWidth="1" min="2" max="2" width="7.0"/>
    <col customWidth="1" min="3" max="3" width="4.38"/>
    <col customWidth="1" min="4" max="4" width="7.13"/>
    <col customWidth="1" min="5" max="11" width="12.0"/>
    <col customWidth="1" min="12" max="12" width="12.63"/>
    <col customWidth="1" min="13" max="13" width="8.5"/>
    <col customWidth="1" min="14" max="14" width="8.13"/>
    <col customWidth="1" min="15" max="26" width="8.63"/>
  </cols>
  <sheetData>
    <row r="1" ht="56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6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ht="14.25" customHeight="1">
      <c r="A4" s="1"/>
      <c r="B4" s="1"/>
      <c r="C4" s="1"/>
      <c r="D4" s="1"/>
      <c r="E4" s="6" t="s">
        <v>0</v>
      </c>
      <c r="F4" s="7" t="s">
        <v>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ht="10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9"/>
      <c r="N5" s="10" t="s">
        <v>3</v>
      </c>
      <c r="O5" s="1"/>
      <c r="P5" s="1"/>
      <c r="Q5" s="1"/>
      <c r="R5" s="1"/>
      <c r="S5" s="1"/>
      <c r="T5" s="1"/>
    </row>
    <row r="6" ht="9.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2"/>
      <c r="N6" s="12"/>
      <c r="O6" s="1"/>
      <c r="P6" s="1"/>
      <c r="Q6" s="1"/>
      <c r="R6" s="1"/>
      <c r="S6" s="1"/>
      <c r="T6" s="1"/>
    </row>
    <row r="7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ht="18.0" customHeight="1">
      <c r="A8" s="1"/>
      <c r="B8" s="1"/>
      <c r="C8" s="1"/>
      <c r="D8" s="1"/>
      <c r="E8" s="1"/>
      <c r="F8" s="1"/>
      <c r="G8" s="18" t="s">
        <v>5</v>
      </c>
      <c r="H8" s="20"/>
      <c r="I8" s="20"/>
      <c r="J8" s="22"/>
      <c r="K8" s="1"/>
      <c r="L8" s="1"/>
      <c r="M8" s="1"/>
      <c r="N8" s="1"/>
      <c r="O8" s="1"/>
      <c r="P8" s="1"/>
      <c r="Q8" s="1"/>
      <c r="R8" s="1"/>
      <c r="S8" s="1"/>
      <c r="T8" s="1"/>
    </row>
    <row r="9" ht="9.0" customHeight="1">
      <c r="A9" s="1"/>
      <c r="B9" s="1"/>
      <c r="C9" s="1"/>
      <c r="D9" s="1"/>
      <c r="E9" s="1"/>
      <c r="F9" s="1"/>
      <c r="G9" s="24"/>
      <c r="H9" s="24"/>
      <c r="I9" s="24"/>
      <c r="J9" s="24"/>
      <c r="K9" s="1"/>
      <c r="L9" s="1"/>
      <c r="M9" s="1"/>
      <c r="N9" s="1"/>
      <c r="O9" s="1"/>
      <c r="P9" s="1"/>
      <c r="Q9" s="1"/>
      <c r="R9" s="1"/>
      <c r="S9" s="1"/>
      <c r="T9" s="1"/>
    </row>
    <row r="10" ht="14.25" customHeight="1">
      <c r="A10" s="1"/>
      <c r="B10" s="30" t="s">
        <v>7</v>
      </c>
      <c r="C10" s="31"/>
      <c r="D10" s="31"/>
      <c r="E10" s="32"/>
      <c r="F10" s="1"/>
      <c r="G10" s="36" t="s">
        <v>10</v>
      </c>
      <c r="H10" s="35"/>
      <c r="I10" s="35"/>
      <c r="J10" s="21"/>
      <c r="K10" s="1"/>
      <c r="L10" s="40" t="s">
        <v>7</v>
      </c>
      <c r="M10" s="31"/>
      <c r="N10" s="32"/>
      <c r="O10" s="1"/>
      <c r="P10" s="1"/>
      <c r="Q10" s="1"/>
      <c r="R10" s="1"/>
      <c r="S10" s="1"/>
      <c r="T10" s="1"/>
    </row>
    <row r="11" ht="9.0" customHeight="1">
      <c r="A11" s="1"/>
      <c r="B11" s="43"/>
      <c r="C11" s="44"/>
      <c r="D11" s="44"/>
      <c r="E11" s="45"/>
      <c r="F11" s="1"/>
      <c r="G11" s="46"/>
      <c r="H11" s="46"/>
      <c r="I11" s="1"/>
      <c r="J11" s="1"/>
      <c r="K11" s="1"/>
      <c r="L11" s="43"/>
      <c r="M11" s="44"/>
      <c r="N11" s="45"/>
      <c r="O11" s="1"/>
      <c r="P11" s="1"/>
      <c r="Q11" s="1"/>
      <c r="R11" s="1"/>
      <c r="S11" s="1"/>
      <c r="T11" s="1"/>
    </row>
    <row r="12" ht="17.25" customHeight="1">
      <c r="A12" s="1"/>
      <c r="B12" s="48"/>
      <c r="C12" s="51"/>
      <c r="D12" s="51"/>
      <c r="E12" s="53"/>
      <c r="F12" s="1"/>
      <c r="G12" s="54">
        <v>46307.0</v>
      </c>
      <c r="H12" s="1"/>
      <c r="I12" s="1"/>
      <c r="J12" s="56">
        <v>2026.0</v>
      </c>
      <c r="K12" s="1"/>
      <c r="L12" s="57"/>
      <c r="M12" s="58"/>
      <c r="N12" s="59"/>
      <c r="O12" s="1"/>
      <c r="P12" s="1"/>
      <c r="Q12" s="1"/>
      <c r="R12" s="1"/>
      <c r="S12" s="1"/>
      <c r="T12" s="1"/>
    </row>
    <row r="13" ht="14.25" customHeight="1">
      <c r="A13" s="1"/>
      <c r="B13" s="48"/>
      <c r="C13" s="51"/>
      <c r="D13" s="51"/>
      <c r="E13" s="53"/>
      <c r="F13" s="1"/>
      <c r="G13" s="61" t="s">
        <v>14</v>
      </c>
      <c r="H13" s="1"/>
      <c r="I13" s="62"/>
      <c r="J13" s="61" t="s">
        <v>15</v>
      </c>
      <c r="K13" s="1"/>
      <c r="L13" s="63"/>
      <c r="M13" s="64"/>
      <c r="N13" s="66"/>
      <c r="O13" s="1"/>
      <c r="P13" s="1"/>
      <c r="Q13" s="1"/>
      <c r="R13" s="1"/>
      <c r="S13" s="1"/>
      <c r="T13" s="1"/>
    </row>
    <row r="14" ht="14.25" customHeight="1">
      <c r="A14" s="1"/>
      <c r="B14" s="68" t="s">
        <v>16</v>
      </c>
      <c r="C14" s="70"/>
      <c r="D14" s="70"/>
      <c r="E14" s="71"/>
      <c r="F14" s="1"/>
      <c r="G14" s="1"/>
      <c r="H14" s="1"/>
      <c r="I14" s="1"/>
      <c r="J14" s="72" t="s">
        <v>17</v>
      </c>
      <c r="K14" s="1"/>
      <c r="L14" s="75" t="s">
        <v>21</v>
      </c>
      <c r="M14" s="70"/>
      <c r="N14" s="71"/>
      <c r="O14" s="1"/>
      <c r="P14" s="1"/>
      <c r="Q14" s="1"/>
      <c r="R14" s="1"/>
      <c r="S14" s="1"/>
      <c r="T14" s="1"/>
    </row>
    <row r="15" ht="14.25" customHeight="1">
      <c r="A15" s="1"/>
      <c r="B15" s="1"/>
      <c r="C15" s="1"/>
      <c r="D15" s="1"/>
      <c r="E15" s="1"/>
      <c r="F15" s="1"/>
      <c r="G15" s="1"/>
      <c r="H15" s="77" t="s">
        <v>22</v>
      </c>
      <c r="I15" s="2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ht="14.25" customHeight="1">
      <c r="A17" s="1"/>
      <c r="B17" s="84" t="s">
        <v>24</v>
      </c>
      <c r="C17" s="35"/>
      <c r="D17" s="35"/>
      <c r="E17" s="21"/>
      <c r="F17" s="87" t="s">
        <v>27</v>
      </c>
      <c r="G17" s="35"/>
      <c r="H17" s="35"/>
      <c r="I17" s="35"/>
      <c r="J17" s="35"/>
      <c r="K17" s="21"/>
      <c r="L17" s="1"/>
      <c r="M17" s="94" t="s">
        <v>29</v>
      </c>
      <c r="N17" s="1"/>
      <c r="O17" s="1"/>
      <c r="P17" s="1"/>
      <c r="Q17" s="1"/>
      <c r="R17" s="1"/>
      <c r="S17" s="1"/>
      <c r="T17" s="1"/>
    </row>
    <row r="18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ht="14.25" customHeight="1">
      <c r="A19" s="1"/>
      <c r="B19" s="1"/>
      <c r="C19" s="1"/>
      <c r="D19" s="1"/>
      <c r="E19" s="1"/>
      <c r="F19" s="95" t="s">
        <v>31</v>
      </c>
      <c r="G19" s="97"/>
      <c r="H19" s="97"/>
      <c r="I19" s="97"/>
      <c r="J19" s="97"/>
      <c r="K19" s="98"/>
      <c r="L19" s="1"/>
      <c r="M19" s="1"/>
      <c r="N19" s="1"/>
      <c r="O19" s="1"/>
      <c r="P19" s="1"/>
      <c r="Q19" s="1"/>
      <c r="R19" s="1"/>
      <c r="S19" s="1"/>
      <c r="T19" s="1"/>
    </row>
    <row r="20" ht="14.25" customHeight="1">
      <c r="A20" s="1"/>
      <c r="B20" s="1"/>
      <c r="C20" s="1"/>
      <c r="D20" s="1"/>
      <c r="E20" s="1"/>
      <c r="F20" s="100" t="s">
        <v>33</v>
      </c>
      <c r="G20" s="35"/>
      <c r="H20" s="35"/>
      <c r="I20" s="35"/>
      <c r="J20" s="35"/>
      <c r="K20" s="101"/>
      <c r="L20" s="1"/>
      <c r="M20" s="1"/>
      <c r="N20" s="1"/>
      <c r="O20" s="1"/>
      <c r="P20" s="1"/>
      <c r="Q20" s="1"/>
      <c r="R20" s="1"/>
      <c r="S20" s="1"/>
      <c r="T20" s="1"/>
    </row>
    <row r="21" ht="14.25" customHeight="1">
      <c r="A21" s="1"/>
      <c r="B21" s="1"/>
      <c r="C21" s="1"/>
      <c r="D21" s="1"/>
      <c r="E21" s="1"/>
      <c r="F21" s="103" t="s">
        <v>34</v>
      </c>
      <c r="G21" s="70"/>
      <c r="H21" s="70"/>
      <c r="I21" s="70"/>
      <c r="J21" s="70"/>
      <c r="K21" s="71"/>
      <c r="L21" s="1"/>
      <c r="M21" s="1"/>
      <c r="N21" s="1"/>
      <c r="O21" s="1"/>
      <c r="P21" s="1"/>
      <c r="Q21" s="1"/>
      <c r="R21" s="1"/>
      <c r="S21" s="1"/>
      <c r="T21" s="1"/>
    </row>
    <row r="22" ht="14.25" customHeight="1">
      <c r="A22" s="1"/>
      <c r="B22" s="1"/>
      <c r="C22" s="1"/>
      <c r="D22" s="1"/>
      <c r="E22" s="1"/>
      <c r="F22" s="105"/>
      <c r="G22" s="105"/>
      <c r="H22" s="105"/>
      <c r="I22" s="105"/>
      <c r="J22" s="105"/>
      <c r="K22" s="105"/>
      <c r="L22" s="1"/>
      <c r="M22" s="1"/>
      <c r="N22" s="1"/>
      <c r="O22" s="1"/>
      <c r="P22" s="1"/>
      <c r="Q22" s="1"/>
      <c r="R22" s="1"/>
      <c r="S22" s="1"/>
      <c r="T22" s="1"/>
    </row>
    <row r="23" ht="14.25" customHeight="1">
      <c r="A23" s="1"/>
      <c r="B23" s="106"/>
      <c r="C23" s="107"/>
      <c r="D23" s="107"/>
      <c r="E23" s="107"/>
      <c r="F23" s="107"/>
      <c r="G23" s="107"/>
      <c r="H23" s="107"/>
      <c r="I23" s="107"/>
      <c r="J23" s="107"/>
      <c r="K23" s="107"/>
      <c r="L23" s="108"/>
      <c r="M23" s="107"/>
      <c r="N23" s="110"/>
      <c r="O23" s="1"/>
      <c r="P23" s="1"/>
      <c r="Q23" s="1"/>
      <c r="R23" s="1"/>
      <c r="S23" s="1"/>
      <c r="T23" s="1"/>
    </row>
    <row r="24" ht="14.25" customHeight="1">
      <c r="A24" s="1"/>
      <c r="B24" s="112"/>
      <c r="C24" s="114" t="s">
        <v>39</v>
      </c>
      <c r="D24" s="115"/>
      <c r="E24" s="115"/>
      <c r="F24" s="115"/>
      <c r="G24" s="115"/>
      <c r="H24" s="115"/>
      <c r="I24" s="115"/>
      <c r="J24" s="115"/>
      <c r="K24" s="115"/>
      <c r="L24" s="116" t="s">
        <v>40</v>
      </c>
      <c r="M24" s="21"/>
      <c r="N24" s="117"/>
      <c r="O24" s="1"/>
      <c r="P24" s="1"/>
      <c r="Q24" s="1"/>
      <c r="R24" s="1"/>
      <c r="S24" s="1"/>
      <c r="T24" s="1"/>
    </row>
    <row r="25" ht="14.25" customHeight="1">
      <c r="A25" s="1"/>
      <c r="B25" s="112"/>
      <c r="C25" s="115"/>
      <c r="D25" s="115"/>
      <c r="E25" s="115"/>
      <c r="F25" s="119" t="str">
        <f>'F Population'!P6</f>
        <v>2026 - 27</v>
      </c>
      <c r="G25" s="119" t="str">
        <f>'F Population'!U6</f>
        <v>2027 - 28</v>
      </c>
      <c r="H25" s="119" t="str">
        <f>'F Population'!W6</f>
        <v>2028 - 29</v>
      </c>
      <c r="I25" s="119" t="str">
        <f>'F Population'!Y6</f>
        <v>2029 - 30</v>
      </c>
      <c r="J25" s="119" t="str">
        <f>'F Population'!AA6</f>
        <v>2030 - 31</v>
      </c>
      <c r="K25" s="119" t="str">
        <f>'F Population'!AC6</f>
        <v>2031 - 32</v>
      </c>
      <c r="L25" s="121" t="s">
        <v>45</v>
      </c>
      <c r="M25" s="121" t="s">
        <v>46</v>
      </c>
      <c r="N25" s="122"/>
      <c r="O25" s="1"/>
      <c r="P25" s="1"/>
      <c r="Q25" s="1"/>
      <c r="R25" s="1"/>
      <c r="S25" s="1"/>
      <c r="T25" s="1"/>
    </row>
    <row r="26" ht="4.5" customHeight="1">
      <c r="A26" s="1"/>
      <c r="B26" s="112"/>
      <c r="C26" s="115"/>
      <c r="D26" s="115"/>
      <c r="E26" s="115"/>
      <c r="F26" s="123"/>
      <c r="G26" s="123"/>
      <c r="H26" s="123"/>
      <c r="I26" s="123"/>
      <c r="J26" s="123"/>
      <c r="K26" s="123"/>
      <c r="L26" s="123"/>
      <c r="M26" s="124"/>
      <c r="N26" s="125"/>
      <c r="O26" s="1"/>
      <c r="P26" s="1"/>
      <c r="Q26" s="1"/>
      <c r="R26" s="1"/>
      <c r="S26" s="1"/>
      <c r="T26" s="1"/>
    </row>
    <row r="27" ht="14.25" customHeight="1">
      <c r="A27" s="1"/>
      <c r="B27" s="112"/>
      <c r="C27" s="114" t="s">
        <v>25</v>
      </c>
      <c r="D27" s="115"/>
      <c r="E27" s="115"/>
      <c r="F27" s="126">
        <f>'R Bal sheets'!H7</f>
        <v>22280024.49</v>
      </c>
      <c r="G27" s="126">
        <f>'R Bal sheets'!J7</f>
        <v>30918180.52</v>
      </c>
      <c r="H27" s="126">
        <f>'R Bal sheets'!L7</f>
        <v>43898407.05</v>
      </c>
      <c r="I27" s="126">
        <f>'R Bal sheets'!N7</f>
        <v>58452577.5</v>
      </c>
      <c r="J27" s="126">
        <f>'R Bal sheets'!P7</f>
        <v>74025225.71</v>
      </c>
      <c r="K27" s="126">
        <f>'R Bal sheets'!R7</f>
        <v>78797444.66</v>
      </c>
      <c r="L27" s="126">
        <f>K27-F27</f>
        <v>56517420.17</v>
      </c>
      <c r="M27" s="130">
        <f>K27/F27-1</f>
        <v>2.536685729</v>
      </c>
      <c r="N27" s="125"/>
      <c r="O27" s="1"/>
      <c r="P27" s="1"/>
      <c r="Q27" s="1"/>
      <c r="R27" s="1"/>
      <c r="S27" s="1"/>
      <c r="T27" s="1"/>
    </row>
    <row r="28" ht="21.75" customHeight="1">
      <c r="A28" s="1"/>
      <c r="B28" s="112"/>
      <c r="C28" s="114" t="s">
        <v>54</v>
      </c>
      <c r="D28" s="115"/>
      <c r="E28" s="115"/>
      <c r="F28" s="115"/>
      <c r="G28" s="115"/>
      <c r="H28" s="133"/>
      <c r="I28" s="115"/>
      <c r="J28" s="115"/>
      <c r="K28" s="115"/>
      <c r="L28" s="115"/>
      <c r="M28" s="134"/>
      <c r="N28" s="117"/>
      <c r="O28" s="1"/>
      <c r="P28" s="1"/>
      <c r="Q28" s="1"/>
      <c r="R28" s="1"/>
      <c r="S28" s="1"/>
      <c r="T28" s="1"/>
    </row>
    <row r="29" ht="18.0" customHeight="1">
      <c r="A29" s="1"/>
      <c r="B29" s="112"/>
      <c r="C29" s="115"/>
      <c r="D29" s="115" t="s">
        <v>55</v>
      </c>
      <c r="E29" s="115"/>
      <c r="F29" s="136">
        <f>'G Price-Aid'!F40</f>
        <v>0.49</v>
      </c>
      <c r="G29" s="136">
        <f>'G Price-Aid'!F62</f>
        <v>0.51</v>
      </c>
      <c r="H29" s="136">
        <f>'G Price-Aid'!J14</f>
        <v>0.51</v>
      </c>
      <c r="I29" s="136">
        <f>'G Price-Aid'!L14</f>
        <v>0.51</v>
      </c>
      <c r="J29" s="136">
        <f>'G Price-Aid'!N14</f>
        <v>0.51</v>
      </c>
      <c r="K29" s="136">
        <f>'G Price-Aid'!P14</f>
        <v>0.51</v>
      </c>
      <c r="L29" s="136"/>
      <c r="M29" s="137">
        <f t="shared" ref="M29:M32" si="1">K29/F29-1</f>
        <v>0.04081632653</v>
      </c>
      <c r="N29" s="117"/>
      <c r="O29" s="1"/>
      <c r="P29" s="1"/>
      <c r="Q29" s="1"/>
      <c r="R29" s="1"/>
      <c r="S29" s="1"/>
      <c r="T29" s="1"/>
    </row>
    <row r="30" ht="17.25" customHeight="1">
      <c r="A30" s="1"/>
      <c r="B30" s="112"/>
      <c r="C30" s="115"/>
      <c r="D30" s="115" t="s">
        <v>60</v>
      </c>
      <c r="E30" s="115"/>
      <c r="F30" s="138">
        <f>'F Population'!P9</f>
        <v>575</v>
      </c>
      <c r="G30" s="138">
        <f>'F Population'!U9</f>
        <v>580</v>
      </c>
      <c r="H30" s="138">
        <f>'F Population'!W9</f>
        <v>580</v>
      </c>
      <c r="I30" s="138">
        <f>'F Population'!Y9</f>
        <v>580</v>
      </c>
      <c r="J30" s="138">
        <f>'F Population'!AA9</f>
        <v>580</v>
      </c>
      <c r="K30" s="138">
        <f>'F Population'!AC9</f>
        <v>580</v>
      </c>
      <c r="L30" s="138">
        <f t="shared" ref="L30:L32" si="2">K30-F30</f>
        <v>5</v>
      </c>
      <c r="M30" s="140">
        <f t="shared" si="1"/>
        <v>0.008695652174</v>
      </c>
      <c r="N30" s="117"/>
      <c r="O30" s="1"/>
      <c r="P30" s="1"/>
      <c r="Q30" s="1"/>
      <c r="R30" s="1"/>
      <c r="S30" s="1"/>
      <c r="T30" s="1"/>
    </row>
    <row r="31" ht="17.25" customHeight="1">
      <c r="A31" s="1"/>
      <c r="B31" s="112"/>
      <c r="C31" s="115"/>
      <c r="D31" s="115" t="s">
        <v>65</v>
      </c>
      <c r="E31" s="115"/>
      <c r="F31" s="141">
        <f>'F Population'!P23</f>
        <v>50</v>
      </c>
      <c r="G31" s="141">
        <f>'F Population'!U23</f>
        <v>45</v>
      </c>
      <c r="H31" s="141">
        <f>'F Population'!W23</f>
        <v>45</v>
      </c>
      <c r="I31" s="141">
        <f>'F Population'!Y23</f>
        <v>45</v>
      </c>
      <c r="J31" s="141">
        <f>'F Population'!AA23</f>
        <v>45</v>
      </c>
      <c r="K31" s="141">
        <f>'F Population'!AC23</f>
        <v>45</v>
      </c>
      <c r="L31" s="141">
        <f t="shared" si="2"/>
        <v>-5</v>
      </c>
      <c r="M31" s="143">
        <f t="shared" si="1"/>
        <v>-0.1</v>
      </c>
      <c r="N31" s="117"/>
      <c r="O31" s="1"/>
      <c r="P31" s="1"/>
      <c r="Q31" s="1"/>
      <c r="R31" s="1"/>
      <c r="S31" s="1"/>
      <c r="T31" s="1"/>
    </row>
    <row r="32" ht="20.25" customHeight="1">
      <c r="A32" s="1"/>
      <c r="B32" s="112"/>
      <c r="C32" s="115"/>
      <c r="D32" s="114" t="s">
        <v>73</v>
      </c>
      <c r="E32" s="115"/>
      <c r="F32" s="144">
        <f t="shared" ref="F32:K32" si="3">F30+F31</f>
        <v>625</v>
      </c>
      <c r="G32" s="144">
        <f t="shared" si="3"/>
        <v>625</v>
      </c>
      <c r="H32" s="144">
        <f t="shared" si="3"/>
        <v>625</v>
      </c>
      <c r="I32" s="144">
        <f t="shared" si="3"/>
        <v>625</v>
      </c>
      <c r="J32" s="144">
        <f t="shared" si="3"/>
        <v>625</v>
      </c>
      <c r="K32" s="144">
        <f t="shared" si="3"/>
        <v>625</v>
      </c>
      <c r="L32" s="144">
        <f t="shared" si="2"/>
        <v>0</v>
      </c>
      <c r="M32" s="145">
        <f t="shared" si="1"/>
        <v>0</v>
      </c>
      <c r="N32" s="117"/>
      <c r="O32" s="1"/>
      <c r="P32" s="1"/>
      <c r="Q32" s="1"/>
      <c r="R32" s="1"/>
      <c r="S32" s="1"/>
      <c r="T32" s="1"/>
    </row>
    <row r="33" ht="6.0" customHeight="1">
      <c r="A33" s="1"/>
      <c r="B33" s="112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7"/>
      <c r="O33" s="1"/>
      <c r="P33" s="1"/>
      <c r="Q33" s="1"/>
      <c r="R33" s="1"/>
      <c r="S33" s="1"/>
      <c r="T33" s="1"/>
    </row>
    <row r="34" ht="18.0" customHeight="1">
      <c r="A34" s="1"/>
      <c r="B34" s="112"/>
      <c r="C34" s="114" t="s">
        <v>78</v>
      </c>
      <c r="D34" s="115"/>
      <c r="E34" s="115"/>
      <c r="F34" s="138"/>
      <c r="G34" s="138"/>
      <c r="H34" s="138"/>
      <c r="I34" s="138"/>
      <c r="J34" s="138"/>
      <c r="K34" s="138"/>
      <c r="L34" s="138"/>
      <c r="M34" s="134"/>
      <c r="N34" s="117"/>
      <c r="O34" s="1"/>
      <c r="P34" s="1"/>
      <c r="Q34" s="1"/>
      <c r="R34" s="1"/>
      <c r="S34" s="1"/>
      <c r="T34" s="1"/>
    </row>
    <row r="35" ht="18.0" customHeight="1">
      <c r="A35" s="1"/>
      <c r="B35" s="112"/>
      <c r="C35" s="115"/>
      <c r="D35" s="115" t="s">
        <v>79</v>
      </c>
      <c r="E35" s="115"/>
      <c r="F35" s="138">
        <f>'M Non student'!F9</f>
        <v>3400000</v>
      </c>
      <c r="G35" s="138">
        <f>'M Non student'!H9</f>
        <v>3500000</v>
      </c>
      <c r="H35" s="138">
        <f>'M Non student'!J9</f>
        <v>3600000</v>
      </c>
      <c r="I35" s="138">
        <f>'M Non student'!L9</f>
        <v>3700000</v>
      </c>
      <c r="J35" s="138">
        <f>'M Non student'!N9</f>
        <v>3800000</v>
      </c>
      <c r="K35" s="138">
        <f>'M Non student'!P9</f>
        <v>3900000</v>
      </c>
      <c r="L35" s="138">
        <f t="shared" ref="L35:L41" si="4">K35-F35</f>
        <v>500000</v>
      </c>
      <c r="M35" s="140">
        <f t="shared" ref="M35:M41" si="5">K35/F35-1</f>
        <v>0.1470588235</v>
      </c>
      <c r="N35" s="117"/>
      <c r="O35" s="1"/>
      <c r="P35" s="1"/>
      <c r="Q35" s="1"/>
      <c r="R35" s="1"/>
      <c r="S35" s="1"/>
      <c r="T35" s="1"/>
    </row>
    <row r="36" ht="18.0" customHeight="1">
      <c r="A36" s="1"/>
      <c r="B36" s="112"/>
      <c r="C36" s="115"/>
      <c r="D36" s="115" t="s">
        <v>83</v>
      </c>
      <c r="E36" s="115"/>
      <c r="F36" s="138">
        <f>'L Capital'!L101</f>
        <v>3600000</v>
      </c>
      <c r="G36" s="138">
        <f>'L Capital'!P101</f>
        <v>5400000</v>
      </c>
      <c r="H36" s="138">
        <f>'L Capital'!T101</f>
        <v>5300000</v>
      </c>
      <c r="I36" s="138">
        <f>'L Capital'!X101</f>
        <v>3000000</v>
      </c>
      <c r="J36" s="138">
        <f>'L Capital'!AB101</f>
        <v>3500000</v>
      </c>
      <c r="K36" s="138">
        <f>'L Capital'!AF101</f>
        <v>1000000</v>
      </c>
      <c r="L36" s="138">
        <f t="shared" si="4"/>
        <v>-2600000</v>
      </c>
      <c r="M36" s="140">
        <f t="shared" si="5"/>
        <v>-0.7222222222</v>
      </c>
      <c r="N36" s="117"/>
      <c r="O36" s="1"/>
      <c r="P36" s="1"/>
      <c r="Q36" s="1"/>
      <c r="R36" s="1"/>
      <c r="S36" s="1"/>
      <c r="T36" s="1"/>
    </row>
    <row r="37" ht="18.0" customHeight="1">
      <c r="A37" s="1"/>
      <c r="B37" s="112"/>
      <c r="C37" s="115"/>
      <c r="D37" s="115" t="s">
        <v>86</v>
      </c>
      <c r="E37" s="115"/>
      <c r="F37" s="138">
        <f>'M Non student'!F74</f>
        <v>3000000</v>
      </c>
      <c r="G37" s="138">
        <f>'M Non student'!H74</f>
        <v>3000000</v>
      </c>
      <c r="H37" s="138">
        <f>'M Non student'!J74</f>
        <v>3000000</v>
      </c>
      <c r="I37" s="138">
        <f>'M Non student'!L74</f>
        <v>3000000</v>
      </c>
      <c r="J37" s="138">
        <f>'M Non student'!N74</f>
        <v>3000000</v>
      </c>
      <c r="K37" s="138">
        <f>'M Non student'!P74</f>
        <v>3000000</v>
      </c>
      <c r="L37" s="138">
        <f t="shared" si="4"/>
        <v>0</v>
      </c>
      <c r="M37" s="140">
        <f t="shared" si="5"/>
        <v>0</v>
      </c>
      <c r="N37" s="117"/>
      <c r="O37" s="1"/>
      <c r="P37" s="1"/>
      <c r="Q37" s="1"/>
      <c r="R37" s="1"/>
      <c r="S37" s="1"/>
      <c r="T37" s="1"/>
    </row>
    <row r="38" ht="18.0" customHeight="1">
      <c r="A38" s="1"/>
      <c r="B38" s="112"/>
      <c r="C38" s="115"/>
      <c r="D38" s="115" t="s">
        <v>90</v>
      </c>
      <c r="E38" s="115"/>
      <c r="F38" s="138">
        <f>'M Non student'!F117</f>
        <v>900000</v>
      </c>
      <c r="G38" s="138" t="str">
        <f>'M Non student'!H117</f>
        <v/>
      </c>
      <c r="H38" s="138" t="str">
        <f>'M Non student'!J117</f>
        <v/>
      </c>
      <c r="I38" s="138" t="str">
        <f>'M Non student'!L117</f>
        <v/>
      </c>
      <c r="J38" s="138" t="str">
        <f>'M Non student'!N117</f>
        <v/>
      </c>
      <c r="K38" s="138" t="str">
        <f>'M Non student'!P117</f>
        <v/>
      </c>
      <c r="L38" s="138">
        <f t="shared" si="4"/>
        <v>-900000</v>
      </c>
      <c r="M38" s="140">
        <f t="shared" si="5"/>
        <v>-1</v>
      </c>
      <c r="N38" s="117"/>
      <c r="O38" s="1"/>
      <c r="P38" s="1"/>
      <c r="Q38" s="1"/>
      <c r="R38" s="1"/>
      <c r="S38" s="1"/>
      <c r="T38" s="1"/>
    </row>
    <row r="39" ht="18.0" customHeight="1">
      <c r="A39" s="1"/>
      <c r="B39" s="112"/>
      <c r="C39" s="115"/>
      <c r="D39" s="115" t="s">
        <v>94</v>
      </c>
      <c r="E39" s="115"/>
      <c r="F39" s="138">
        <f>'M Non student'!F44+'M Non student'!F48+'M Non student'!F52+'M Non student'!F56</f>
        <v>11800000</v>
      </c>
      <c r="G39" s="138">
        <f>'M Non student'!H44+'M Non student'!H48+'M Non student'!H52+'M Non student'!H56</f>
        <v>13100000</v>
      </c>
      <c r="H39" s="138">
        <f>'M Non student'!J44+'M Non student'!J48+'M Non student'!J52+'M Non student'!J56</f>
        <v>14550000</v>
      </c>
      <c r="I39" s="138">
        <f>'M Non student'!L44+'M Non student'!L48+'M Non student'!L52+'M Non student'!L56</f>
        <v>10950000</v>
      </c>
      <c r="J39" s="138">
        <f>'M Non student'!N44+'M Non student'!N48+'M Non student'!N52+'M Non student'!N56</f>
        <v>10900000</v>
      </c>
      <c r="K39" s="138">
        <f>'M Non student'!P44+'M Non student'!P48+'M Non student'!P52+'M Non student'!P56</f>
        <v>7466899</v>
      </c>
      <c r="L39" s="138">
        <f t="shared" si="4"/>
        <v>-4333101</v>
      </c>
      <c r="M39" s="140">
        <f t="shared" si="5"/>
        <v>-0.3672119492</v>
      </c>
      <c r="N39" s="117"/>
      <c r="O39" s="1"/>
      <c r="P39" s="1"/>
      <c r="Q39" s="1"/>
      <c r="R39" s="1"/>
      <c r="S39" s="1"/>
      <c r="T39" s="1"/>
    </row>
    <row r="40" ht="18.0" customHeight="1">
      <c r="A40" s="1"/>
      <c r="B40" s="112"/>
      <c r="C40" s="115"/>
      <c r="D40" s="115" t="s">
        <v>100</v>
      </c>
      <c r="E40" s="115"/>
      <c r="F40" s="141">
        <f>'M Non student'!F42+'M Non student'!F46+'M Non student'!F50+'M Non student'!F54</f>
        <v>12000000</v>
      </c>
      <c r="G40" s="141">
        <f>'M Non student'!H42+'M Non student'!H46+'M Non student'!H50+'M Non student'!H54</f>
        <v>12800000</v>
      </c>
      <c r="H40" s="141">
        <f>'M Non student'!J42+'M Non student'!J46+'M Non student'!J50+'M Non student'!J54</f>
        <v>13200000</v>
      </c>
      <c r="I40" s="141">
        <f>'M Non student'!L42+'M Non student'!L46+'M Non student'!L50+'M Non student'!L54</f>
        <v>8500000</v>
      </c>
      <c r="J40" s="141">
        <f>'M Non student'!N42+'M Non student'!N46+'M Non student'!N50+'M Non student'!N54</f>
        <v>7000000</v>
      </c>
      <c r="K40" s="141">
        <f>'M Non student'!P42+'M Non student'!P46+'M Non student'!P50+'M Non student'!P54</f>
        <v>7000000</v>
      </c>
      <c r="L40" s="141">
        <f t="shared" si="4"/>
        <v>-5000000</v>
      </c>
      <c r="M40" s="143">
        <f t="shared" si="5"/>
        <v>-0.4166666667</v>
      </c>
      <c r="N40" s="117"/>
      <c r="O40" s="1"/>
      <c r="P40" s="1"/>
      <c r="Q40" s="1"/>
      <c r="R40" s="1"/>
      <c r="S40" s="1"/>
      <c r="T40" s="1"/>
    </row>
    <row r="41" ht="21.0" customHeight="1">
      <c r="A41" s="1"/>
      <c r="B41" s="112"/>
      <c r="C41" s="115"/>
      <c r="D41" s="114" t="s">
        <v>108</v>
      </c>
      <c r="E41" s="115"/>
      <c r="F41" s="144">
        <f t="shared" ref="F41:K41" si="6">SUM(F35:F40)</f>
        <v>34700000</v>
      </c>
      <c r="G41" s="144">
        <f t="shared" si="6"/>
        <v>37800000</v>
      </c>
      <c r="H41" s="144">
        <f t="shared" si="6"/>
        <v>39650000</v>
      </c>
      <c r="I41" s="144">
        <f t="shared" si="6"/>
        <v>29150000</v>
      </c>
      <c r="J41" s="144">
        <f t="shared" si="6"/>
        <v>28200000</v>
      </c>
      <c r="K41" s="144">
        <f t="shared" si="6"/>
        <v>22366899</v>
      </c>
      <c r="L41" s="144">
        <f t="shared" si="4"/>
        <v>-12333101</v>
      </c>
      <c r="M41" s="145">
        <f t="shared" si="5"/>
        <v>-0.3554207781</v>
      </c>
      <c r="N41" s="117"/>
      <c r="O41" s="1"/>
      <c r="P41" s="1"/>
      <c r="Q41" s="1"/>
      <c r="R41" s="1"/>
      <c r="S41" s="1"/>
      <c r="T41" s="1"/>
    </row>
    <row r="42" ht="18.0" customHeight="1">
      <c r="A42" s="1"/>
      <c r="B42" s="167"/>
      <c r="C42" s="168"/>
      <c r="D42" s="168"/>
      <c r="E42" s="168"/>
      <c r="F42" s="169"/>
      <c r="G42" s="169"/>
      <c r="H42" s="169"/>
      <c r="I42" s="169"/>
      <c r="J42" s="169"/>
      <c r="K42" s="169"/>
      <c r="L42" s="168"/>
      <c r="M42" s="168"/>
      <c r="N42" s="170"/>
      <c r="O42" s="1"/>
      <c r="P42" s="1"/>
      <c r="Q42" s="1"/>
      <c r="R42" s="1"/>
      <c r="S42" s="1"/>
      <c r="T42" s="1"/>
    </row>
    <row r="43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3">
    <mergeCell ref="B17:E17"/>
    <mergeCell ref="F17:K17"/>
    <mergeCell ref="F19:K19"/>
    <mergeCell ref="F20:K20"/>
    <mergeCell ref="F21:K21"/>
    <mergeCell ref="L24:M24"/>
    <mergeCell ref="G8:J8"/>
    <mergeCell ref="B10:E11"/>
    <mergeCell ref="G10:J10"/>
    <mergeCell ref="L10:N11"/>
    <mergeCell ref="B14:E14"/>
    <mergeCell ref="L14:N14"/>
    <mergeCell ref="H15:I15"/>
  </mergeCells>
  <hyperlinks>
    <hyperlink r:id="rId1" ref="B17"/>
    <hyperlink r:id="rId2" ref="M17"/>
  </hyperlinks>
  <printOptions/>
  <pageMargins bottom="0.75" footer="0.0" header="0.0" left="0.7" right="0.7" top="0.75"/>
  <pageSetup orientation="landscape"/>
  <headerFooter>
    <oddFooter/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5">
    <pageSetUpPr/>
  </sheetPr>
  <sheetViews>
    <sheetView workbookViewId="0"/>
  </sheetViews>
  <sheetFormatPr customHeight="1" defaultColWidth="12.63" defaultRowHeight="15.0" outlineLevelCol="1"/>
  <cols>
    <col customWidth="1" min="1" max="1" width="5.0"/>
    <col customWidth="1" min="2" max="2" width="12.75"/>
    <col customWidth="1" min="3" max="34" width="8.63"/>
  </cols>
  <sheetData>
    <row r="1" ht="89.25" customHeight="1">
      <c r="A1" s="210"/>
      <c r="B1" s="210"/>
      <c r="C1" s="210"/>
      <c r="D1" s="210"/>
      <c r="E1" s="210"/>
      <c r="F1" s="213" t="str">
        <f>'A Cover'!G8</f>
        <v>Example University</v>
      </c>
      <c r="G1" s="35"/>
      <c r="H1" s="35"/>
      <c r="I1" s="35"/>
      <c r="J1" s="35"/>
      <c r="K1" s="21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</row>
    <row r="2" ht="9.7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</row>
    <row r="3" ht="14.25" customHeight="1">
      <c r="A3" s="210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</row>
    <row r="4" ht="14.25" customHeight="1">
      <c r="A4" s="210"/>
      <c r="B4" s="210"/>
      <c r="C4" s="210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0"/>
      <c r="T4" s="210"/>
      <c r="U4" s="210"/>
      <c r="V4" s="210"/>
      <c r="W4" s="210"/>
      <c r="X4" s="210"/>
      <c r="Y4" s="210"/>
      <c r="Z4" s="210"/>
    </row>
    <row r="5" ht="14.25" customHeight="1">
      <c r="A5" s="210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</row>
    <row r="6" ht="14.25" customHeight="1">
      <c r="A6" s="210"/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0"/>
      <c r="Z6" s="210"/>
      <c r="AA6" s="222" t="s">
        <v>123</v>
      </c>
      <c r="AB6" s="223" t="str">
        <f>'F Population'!D6</f>
        <v>2020 - 21</v>
      </c>
      <c r="AC6" s="223" t="str">
        <f>'F Population'!F6</f>
        <v>2021 - 22</v>
      </c>
      <c r="AD6" s="223" t="str">
        <f>'F Population'!H6</f>
        <v>2022 - 23</v>
      </c>
      <c r="AE6" s="223" t="str">
        <f>'F Population'!J6</f>
        <v>2023 - 24</v>
      </c>
      <c r="AF6" s="223" t="str">
        <f>'F Population'!L6</f>
        <v>2024 - 25</v>
      </c>
      <c r="AG6" s="223" t="str">
        <f>'F Population'!N6</f>
        <v>2025 - 26</v>
      </c>
      <c r="AH6" s="223" t="str">
        <f>'F Population'!P6</f>
        <v>2026 - 27</v>
      </c>
    </row>
    <row r="7" ht="14.25" customHeight="1">
      <c r="A7" s="210"/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0"/>
      <c r="T7" s="210"/>
      <c r="U7" s="210"/>
      <c r="V7" s="210"/>
      <c r="W7" s="210"/>
      <c r="X7" s="210"/>
      <c r="Y7" s="210"/>
      <c r="Z7" s="210"/>
      <c r="AA7" s="222" t="s">
        <v>168</v>
      </c>
      <c r="AB7" s="233">
        <f>'F Population'!D24</f>
        <v>567</v>
      </c>
      <c r="AC7" s="233">
        <f>'F Population'!F24</f>
        <v>526</v>
      </c>
      <c r="AD7" s="233">
        <f>'F Population'!H24</f>
        <v>447</v>
      </c>
      <c r="AE7" s="233">
        <f>'F Population'!J24</f>
        <v>428</v>
      </c>
      <c r="AF7" s="233">
        <f>'F Population'!L24</f>
        <v>545</v>
      </c>
      <c r="AG7" s="233">
        <f>'F Population'!N24</f>
        <v>579</v>
      </c>
      <c r="AH7" s="233">
        <f>'F Population'!P24</f>
        <v>625</v>
      </c>
    </row>
    <row r="8" ht="14.25" customHeight="1">
      <c r="A8" s="210"/>
      <c r="B8" s="210"/>
      <c r="C8" s="210"/>
      <c r="D8" s="210"/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0"/>
      <c r="P8" s="210"/>
      <c r="Q8" s="210"/>
      <c r="R8" s="210"/>
      <c r="S8" s="210"/>
      <c r="T8" s="210"/>
      <c r="U8" s="210"/>
      <c r="V8" s="210"/>
      <c r="W8" s="210"/>
      <c r="X8" s="210"/>
      <c r="Y8" s="210"/>
      <c r="Z8" s="210"/>
      <c r="AA8" s="222" t="s">
        <v>172</v>
      </c>
      <c r="AB8" s="233">
        <f>'F Population'!D25</f>
        <v>1275</v>
      </c>
      <c r="AC8" s="233">
        <f>'F Population'!F25</f>
        <v>1262</v>
      </c>
      <c r="AD8" s="233">
        <f>'F Population'!H25</f>
        <v>1281</v>
      </c>
      <c r="AE8" s="233">
        <f>'F Population'!J25</f>
        <v>1244</v>
      </c>
      <c r="AF8" s="233">
        <f>'F Population'!L25</f>
        <v>1188</v>
      </c>
      <c r="AG8" s="233">
        <f>'F Population'!N25</f>
        <v>1267</v>
      </c>
      <c r="AH8" s="233">
        <f>'F Population'!P25</f>
        <v>1363</v>
      </c>
    </row>
    <row r="9" ht="14.25" customHeight="1">
      <c r="A9" s="210"/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22" t="s">
        <v>174</v>
      </c>
      <c r="AB9" s="246">
        <f>'F Population'!D20</f>
        <v>1842</v>
      </c>
      <c r="AC9" s="246">
        <f>'F Population'!F20</f>
        <v>1788</v>
      </c>
      <c r="AD9" s="246">
        <f>'F Population'!H20</f>
        <v>1728</v>
      </c>
      <c r="AE9" s="246">
        <f>'F Population'!J20</f>
        <v>1672</v>
      </c>
      <c r="AF9" s="246">
        <f>'F Population'!L20</f>
        <v>1733</v>
      </c>
      <c r="AG9" s="246">
        <f>'F Population'!N20</f>
        <v>1846</v>
      </c>
      <c r="AH9" s="246">
        <f>'F Population'!P20</f>
        <v>1988</v>
      </c>
    </row>
    <row r="10" ht="14.25" customHeight="1">
      <c r="A10" s="210"/>
      <c r="B10" s="210"/>
      <c r="C10" s="210"/>
      <c r="D10" s="210"/>
      <c r="E10" s="210"/>
      <c r="F10" s="210"/>
      <c r="G10" s="210"/>
      <c r="H10" s="210"/>
      <c r="I10" s="210"/>
      <c r="J10" s="210"/>
      <c r="K10" s="210"/>
      <c r="L10" s="210"/>
      <c r="M10" s="210"/>
      <c r="N10" s="210"/>
      <c r="O10" s="210"/>
      <c r="P10" s="210"/>
      <c r="Q10" s="210"/>
      <c r="R10" s="210"/>
      <c r="S10" s="210"/>
      <c r="T10" s="210"/>
      <c r="U10" s="210"/>
      <c r="V10" s="210"/>
      <c r="W10" s="210"/>
      <c r="X10" s="210"/>
      <c r="Y10" s="210"/>
      <c r="Z10" s="210"/>
    </row>
    <row r="11" ht="14.25" customHeight="1">
      <c r="A11" s="210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0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B11" s="223" t="str">
        <f>'F Population'!U6</f>
        <v>2027 - 28</v>
      </c>
      <c r="AC11" s="223" t="str">
        <f>'F Population'!W6</f>
        <v>2028 - 29</v>
      </c>
      <c r="AD11" s="223" t="str">
        <f>'F Population'!Y6</f>
        <v>2029 - 30</v>
      </c>
      <c r="AE11" s="223" t="str">
        <f>'F Population'!AA6</f>
        <v>2030 - 31</v>
      </c>
      <c r="AF11" s="223" t="str">
        <f>'F Population'!AC6</f>
        <v>2031 - 32</v>
      </c>
    </row>
    <row r="12" ht="14.25" customHeight="1">
      <c r="A12" s="210"/>
      <c r="B12" s="210"/>
      <c r="C12" s="210"/>
      <c r="D12" s="210"/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22" t="s">
        <v>168</v>
      </c>
      <c r="AB12" s="263">
        <f>'F Population'!U24</f>
        <v>625</v>
      </c>
      <c r="AC12" s="263">
        <f>'F Population'!W24</f>
        <v>625</v>
      </c>
      <c r="AD12" s="263">
        <f>'F Population'!Y24</f>
        <v>625</v>
      </c>
      <c r="AE12" s="263">
        <f>'F Population'!AA24</f>
        <v>625</v>
      </c>
      <c r="AF12" s="263">
        <f>'F Population'!AC24</f>
        <v>625</v>
      </c>
    </row>
    <row r="13" ht="14.25" customHeight="1">
      <c r="A13" s="210"/>
      <c r="B13" s="210"/>
      <c r="C13" s="210"/>
      <c r="D13" s="210"/>
      <c r="E13" s="210"/>
      <c r="F13" s="210"/>
      <c r="G13" s="210"/>
      <c r="H13" s="210"/>
      <c r="I13" s="210"/>
      <c r="J13" s="210"/>
      <c r="K13" s="210"/>
      <c r="L13" s="210"/>
      <c r="M13" s="210"/>
      <c r="N13" s="210"/>
      <c r="O13" s="210"/>
      <c r="P13" s="210"/>
      <c r="Q13" s="210"/>
      <c r="R13" s="210"/>
      <c r="S13" s="210"/>
      <c r="T13" s="210"/>
      <c r="U13" s="210"/>
      <c r="V13" s="210"/>
      <c r="W13" s="210"/>
      <c r="X13" s="210"/>
      <c r="Y13" s="210"/>
      <c r="Z13" s="210"/>
      <c r="AA13" s="222" t="s">
        <v>172</v>
      </c>
      <c r="AB13" s="263">
        <f>'F Population'!U25</f>
        <v>1508</v>
      </c>
      <c r="AC13" s="263">
        <f>'F Population'!W25</f>
        <v>1541</v>
      </c>
      <c r="AD13" s="263">
        <f>'F Population'!Y25</f>
        <v>1613</v>
      </c>
      <c r="AE13" s="263">
        <f>'F Population'!AA25</f>
        <v>1631</v>
      </c>
      <c r="AF13" s="263">
        <f>'F Population'!AC25</f>
        <v>1633</v>
      </c>
    </row>
    <row r="14" ht="14.25" customHeight="1">
      <c r="A14" s="210"/>
      <c r="B14" s="210"/>
      <c r="C14" s="210"/>
      <c r="D14" s="210"/>
      <c r="E14" s="210"/>
      <c r="F14" s="210"/>
      <c r="G14" s="210"/>
      <c r="H14" s="210"/>
      <c r="I14" s="210"/>
      <c r="J14" s="210"/>
      <c r="K14" s="210"/>
      <c r="L14" s="210"/>
      <c r="M14" s="210"/>
      <c r="N14" s="210"/>
      <c r="O14" s="210"/>
      <c r="P14" s="210"/>
      <c r="Q14" s="210"/>
      <c r="R14" s="210"/>
      <c r="S14" s="210"/>
      <c r="T14" s="210"/>
      <c r="U14" s="210"/>
      <c r="V14" s="210"/>
      <c r="W14" s="210"/>
      <c r="X14" s="210"/>
      <c r="Y14" s="210"/>
      <c r="Z14" s="210"/>
      <c r="AA14" s="222" t="s">
        <v>174</v>
      </c>
      <c r="AB14" s="263">
        <f>'F Population'!U20</f>
        <v>2133</v>
      </c>
      <c r="AC14" s="263">
        <f>'F Population'!W20</f>
        <v>2166</v>
      </c>
      <c r="AD14" s="263">
        <f>'F Population'!Y20</f>
        <v>2238</v>
      </c>
      <c r="AE14" s="263">
        <f>'F Population'!AA20</f>
        <v>2256</v>
      </c>
      <c r="AF14" s="263">
        <f>'F Population'!AC20</f>
        <v>2258</v>
      </c>
    </row>
    <row r="15" ht="14.25" customHeight="1">
      <c r="A15" s="210"/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0"/>
      <c r="T15" s="210"/>
      <c r="U15" s="210"/>
      <c r="V15" s="210"/>
      <c r="W15" s="210"/>
      <c r="X15" s="210"/>
      <c r="Y15" s="210"/>
      <c r="Z15" s="210"/>
    </row>
    <row r="16" ht="14.25" customHeight="1">
      <c r="A16" s="210"/>
      <c r="B16" s="210"/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210"/>
      <c r="N16" s="210"/>
      <c r="O16" s="210"/>
      <c r="P16" s="210"/>
      <c r="Q16" s="210"/>
      <c r="R16" s="210"/>
      <c r="S16" s="210"/>
      <c r="T16" s="210"/>
      <c r="U16" s="210"/>
      <c r="V16" s="210"/>
      <c r="W16" s="210"/>
      <c r="X16" s="210"/>
      <c r="Y16" s="210"/>
      <c r="Z16" s="210"/>
      <c r="AB16" s="223" t="str">
        <f t="shared" ref="AB16:AC16" si="1">AG$6</f>
        <v>2025 - 26</v>
      </c>
      <c r="AC16" s="223" t="str">
        <f t="shared" si="1"/>
        <v>2026 - 27</v>
      </c>
      <c r="AD16" s="223" t="str">
        <f t="shared" ref="AD16:AH16" si="2">AB$11</f>
        <v>2027 - 28</v>
      </c>
      <c r="AE16" s="223" t="str">
        <f t="shared" si="2"/>
        <v>2028 - 29</v>
      </c>
      <c r="AF16" s="223" t="str">
        <f t="shared" si="2"/>
        <v>2029 - 30</v>
      </c>
      <c r="AG16" s="223" t="str">
        <f t="shared" si="2"/>
        <v>2030 - 31</v>
      </c>
      <c r="AH16" s="223" t="str">
        <f t="shared" si="2"/>
        <v>2031 - 32</v>
      </c>
    </row>
    <row r="17" ht="14.25" customHeight="1">
      <c r="A17" s="210"/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0"/>
      <c r="Y17" s="210"/>
      <c r="Z17" s="210"/>
      <c r="AA17" s="222" t="s">
        <v>178</v>
      </c>
      <c r="AB17" s="275">
        <f>'P Fcast 5yr'!F8</f>
        <v>0.5030000064</v>
      </c>
      <c r="AC17" s="275">
        <f>'P Fcast 5yr'!H8</f>
        <v>0.4645035173</v>
      </c>
      <c r="AD17" s="275">
        <f>'P Fcast 5yr'!J8</f>
        <v>0.5149576254</v>
      </c>
      <c r="AE17" s="275">
        <f>'P Fcast 5yr'!L8</f>
        <v>0.5306321637</v>
      </c>
      <c r="AF17" s="275">
        <f>'P Fcast 5yr'!N8</f>
        <v>0.534615472</v>
      </c>
      <c r="AG17" s="275">
        <f>'P Fcast 5yr'!P8</f>
        <v>0.5438148748</v>
      </c>
      <c r="AH17" s="275">
        <f>'P Fcast 5yr'!R8</f>
        <v>0.549050633</v>
      </c>
    </row>
    <row r="18" ht="14.25" customHeight="1">
      <c r="A18" s="210"/>
      <c r="B18" s="210"/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0"/>
      <c r="R18" s="210"/>
      <c r="S18" s="210"/>
      <c r="T18" s="210"/>
      <c r="U18" s="210"/>
      <c r="V18" s="210"/>
      <c r="W18" s="210"/>
      <c r="X18" s="210"/>
      <c r="Y18" s="210"/>
      <c r="Z18" s="210"/>
    </row>
    <row r="19" ht="14.25" customHeight="1">
      <c r="A19" s="210"/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10"/>
      <c r="M19" s="210"/>
      <c r="N19" s="210"/>
      <c r="O19" s="210"/>
      <c r="P19" s="210"/>
      <c r="Q19" s="210"/>
      <c r="R19" s="210"/>
      <c r="S19" s="210"/>
      <c r="T19" s="210"/>
      <c r="U19" s="210"/>
      <c r="V19" s="210"/>
      <c r="W19" s="210"/>
      <c r="X19" s="210"/>
      <c r="Y19" s="210"/>
      <c r="Z19" s="210"/>
      <c r="AB19" s="223" t="str">
        <f t="shared" ref="AB19:AC19" si="3">AG$6</f>
        <v>2025 - 26</v>
      </c>
      <c r="AC19" s="223" t="str">
        <f t="shared" si="3"/>
        <v>2026 - 27</v>
      </c>
      <c r="AD19" s="223" t="str">
        <f t="shared" ref="AD19:AH19" si="4">AB$11</f>
        <v>2027 - 28</v>
      </c>
      <c r="AE19" s="223" t="str">
        <f t="shared" si="4"/>
        <v>2028 - 29</v>
      </c>
      <c r="AF19" s="223" t="str">
        <f t="shared" si="4"/>
        <v>2029 - 30</v>
      </c>
      <c r="AG19" s="223" t="str">
        <f t="shared" si="4"/>
        <v>2030 - 31</v>
      </c>
      <c r="AH19" s="223" t="str">
        <f t="shared" si="4"/>
        <v>2031 - 32</v>
      </c>
    </row>
    <row r="20" ht="14.25" customHeight="1">
      <c r="A20" s="210"/>
      <c r="B20" s="210"/>
      <c r="C20" s="210"/>
      <c r="D20" s="210"/>
      <c r="E20" s="210"/>
      <c r="F20" s="210"/>
      <c r="G20" s="210"/>
      <c r="H20" s="210"/>
      <c r="I20" s="210"/>
      <c r="J20" s="210"/>
      <c r="K20" s="210"/>
      <c r="L20" s="210"/>
      <c r="M20" s="210"/>
      <c r="N20" s="210"/>
      <c r="O20" s="210"/>
      <c r="P20" s="210"/>
      <c r="Q20" s="210"/>
      <c r="R20" s="210"/>
      <c r="S20" s="210"/>
      <c r="T20" s="210"/>
      <c r="U20" s="210"/>
      <c r="V20" s="210"/>
      <c r="W20" s="210"/>
      <c r="X20" s="210"/>
      <c r="Y20" s="210"/>
      <c r="Z20" s="210"/>
      <c r="AA20" s="222" t="s">
        <v>179</v>
      </c>
      <c r="AB20" s="282">
        <f>'P Fcast 5yr'!E9/1000000</f>
        <v>25.53945</v>
      </c>
      <c r="AC20" s="282">
        <f>'P Fcast 5yr'!G9/1000000</f>
        <v>29.89079307</v>
      </c>
      <c r="AD20" s="282">
        <f>'P Fcast 5yr'!I9/1000000</f>
        <v>29.97798136</v>
      </c>
      <c r="AE20" s="282">
        <f>'P Fcast 5yr'!K9/1000000</f>
        <v>29.97679095</v>
      </c>
      <c r="AF20" s="282">
        <f>'P Fcast 5yr'!M9/1000000</f>
        <v>31.44232376</v>
      </c>
      <c r="AG20" s="282">
        <f>'P Fcast 5yr'!O9/1000000</f>
        <v>31.72921781</v>
      </c>
      <c r="AH20" s="282">
        <f>'P Fcast 5yr'!Q9/1000000</f>
        <v>32.02107909</v>
      </c>
    </row>
    <row r="21" ht="14.25" customHeight="1">
      <c r="A21" s="210"/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10"/>
      <c r="R21" s="210"/>
      <c r="S21" s="210"/>
      <c r="T21" s="210"/>
      <c r="U21" s="210"/>
      <c r="V21" s="210"/>
      <c r="W21" s="210"/>
      <c r="X21" s="210"/>
      <c r="Y21" s="210"/>
      <c r="Z21" s="210"/>
      <c r="AA21" s="222" t="s">
        <v>181</v>
      </c>
      <c r="AB21" s="282">
        <f>'P Fcast 5yr'!E13/1000000</f>
        <v>15.377881</v>
      </c>
      <c r="AC21" s="282">
        <f>'P Fcast 5yr'!G13/1000000</f>
        <v>17.808496</v>
      </c>
      <c r="AD21" s="282">
        <f>'P Fcast 5yr'!I13/1000000</f>
        <v>18.031822</v>
      </c>
      <c r="AE21" s="282">
        <f>'P Fcast 5yr'!K13/1000000</f>
        <v>18.308</v>
      </c>
      <c r="AF21" s="282">
        <f>'P Fcast 5yr'!M13/1000000</f>
        <v>18.622</v>
      </c>
      <c r="AG21" s="282">
        <f>'P Fcast 5yr'!O13/1000000</f>
        <v>19.025</v>
      </c>
      <c r="AH21" s="282">
        <f>'P Fcast 5yr'!Q13/1000000</f>
        <v>19.407</v>
      </c>
    </row>
    <row r="22" ht="14.25" customHeight="1">
      <c r="A22" s="210"/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10"/>
      <c r="M22" s="210"/>
      <c r="N22" s="210"/>
      <c r="O22" s="210"/>
      <c r="P22" s="210"/>
      <c r="Q22" s="210"/>
      <c r="R22" s="210"/>
      <c r="S22" s="210"/>
      <c r="T22" s="210"/>
      <c r="U22" s="210"/>
      <c r="V22" s="210"/>
      <c r="W22" s="210"/>
      <c r="X22" s="210"/>
      <c r="Y22" s="210"/>
      <c r="Z22" s="210"/>
      <c r="AA22" s="222" t="s">
        <v>183</v>
      </c>
      <c r="AB22" s="282">
        <f>'P Fcast 5yr'!E15/1000000</f>
        <v>40.917331</v>
      </c>
      <c r="AC22" s="282">
        <f>'P Fcast 5yr'!G15/1000000</f>
        <v>47.69928907</v>
      </c>
      <c r="AD22" s="282">
        <f>'P Fcast 5yr'!I15/1000000</f>
        <v>48.00980336</v>
      </c>
      <c r="AE22" s="282">
        <f>'P Fcast 5yr'!K15/1000000</f>
        <v>48.28479095</v>
      </c>
      <c r="AF22" s="282">
        <f>'P Fcast 5yr'!M15/1000000</f>
        <v>50.06432376</v>
      </c>
      <c r="AG22" s="282">
        <f>'P Fcast 5yr'!O15/1000000</f>
        <v>50.75421781</v>
      </c>
      <c r="AH22" s="282">
        <f>'P Fcast 5yr'!Q15/1000000</f>
        <v>51.42807909</v>
      </c>
    </row>
    <row r="23" ht="14.25" customHeight="1">
      <c r="A23" s="210"/>
      <c r="B23" s="210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0"/>
    </row>
    <row r="24" ht="14.25" customHeight="1">
      <c r="A24" s="210"/>
      <c r="B24" s="210"/>
      <c r="C24" s="210"/>
      <c r="D24" s="210"/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B24" s="223" t="str">
        <f t="shared" ref="AB24:AC24" si="5">AG$6</f>
        <v>2025 - 26</v>
      </c>
      <c r="AC24" s="223" t="str">
        <f t="shared" si="5"/>
        <v>2026 - 27</v>
      </c>
      <c r="AD24" s="223" t="str">
        <f t="shared" ref="AD24:AH24" si="6">AB$11</f>
        <v>2027 - 28</v>
      </c>
      <c r="AE24" s="223" t="str">
        <f t="shared" si="6"/>
        <v>2028 - 29</v>
      </c>
      <c r="AF24" s="223" t="str">
        <f t="shared" si="6"/>
        <v>2029 - 30</v>
      </c>
      <c r="AG24" s="223" t="str">
        <f t="shared" si="6"/>
        <v>2030 - 31</v>
      </c>
      <c r="AH24" s="223" t="str">
        <f t="shared" si="6"/>
        <v>2031 - 32</v>
      </c>
    </row>
    <row r="25" ht="14.25" customHeight="1">
      <c r="A25" s="210"/>
      <c r="B25" s="210"/>
      <c r="C25" s="210"/>
      <c r="D25" s="210"/>
      <c r="E25" s="210"/>
      <c r="F25" s="210"/>
      <c r="G25" s="210"/>
      <c r="H25" s="210"/>
      <c r="I25" s="210"/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/>
      <c r="U25" s="210"/>
      <c r="V25" s="210"/>
      <c r="W25" s="210"/>
      <c r="X25" s="210"/>
      <c r="Y25" s="210"/>
      <c r="Z25" s="210"/>
      <c r="AA25" s="222" t="s">
        <v>184</v>
      </c>
      <c r="AB25" s="282">
        <f t="shared" ref="AB25:AH25" si="7">AB22</f>
        <v>40.917331</v>
      </c>
      <c r="AC25" s="282">
        <f t="shared" si="7"/>
        <v>47.69928907</v>
      </c>
      <c r="AD25" s="282">
        <f t="shared" si="7"/>
        <v>48.00980336</v>
      </c>
      <c r="AE25" s="282">
        <f t="shared" si="7"/>
        <v>48.28479095</v>
      </c>
      <c r="AF25" s="282">
        <f t="shared" si="7"/>
        <v>50.06432376</v>
      </c>
      <c r="AG25" s="282">
        <f t="shared" si="7"/>
        <v>50.75421781</v>
      </c>
      <c r="AH25" s="282">
        <f t="shared" si="7"/>
        <v>51.42807909</v>
      </c>
    </row>
    <row r="26" ht="14.25" customHeight="1">
      <c r="A26" s="210"/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22" t="s">
        <v>186</v>
      </c>
      <c r="AB26" s="282">
        <f>'P Fcast 5yr'!E16/1000000</f>
        <v>9.4175</v>
      </c>
      <c r="AC26" s="282">
        <f>'P Fcast 5yr'!G16/1000000</f>
        <v>10.04401032</v>
      </c>
      <c r="AD26" s="282">
        <f>'P Fcast 5yr'!I16/1000000</f>
        <v>10.98013538</v>
      </c>
      <c r="AE26" s="282">
        <f>'P Fcast 5yr'!K16/1000000</f>
        <v>11.36083242</v>
      </c>
      <c r="AF26" s="282">
        <f>'P Fcast 5yr'!M16/1000000</f>
        <v>11.96066386</v>
      </c>
      <c r="AG26" s="282">
        <f>'P Fcast 5yr'!O16/1000000</f>
        <v>12.28531475</v>
      </c>
      <c r="AH26" s="282">
        <f>'P Fcast 5yr'!Q16/1000000</f>
        <v>12.52943413</v>
      </c>
    </row>
    <row r="27" ht="14.25" customHeight="1">
      <c r="A27" s="210"/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22" t="s">
        <v>188</v>
      </c>
      <c r="AB27" s="282">
        <f>'P Fcast 5yr'!E17/1000000</f>
        <v>6.623</v>
      </c>
      <c r="AC27" s="282">
        <f>'P Fcast 5yr'!G17/1000000</f>
        <v>5.542</v>
      </c>
      <c r="AD27" s="282">
        <f>'P Fcast 5yr'!I17/1000000</f>
        <v>5.67774148</v>
      </c>
      <c r="AE27" s="282">
        <f>'P Fcast 5yr'!K17/1000000</f>
        <v>5.77774148</v>
      </c>
      <c r="AF27" s="282">
        <f>'P Fcast 5yr'!M17/1000000</f>
        <v>5.87774148</v>
      </c>
      <c r="AG27" s="282">
        <f>'P Fcast 5yr'!O17/1000000</f>
        <v>5.97774148</v>
      </c>
      <c r="AH27" s="282">
        <f>'P Fcast 5yr'!Q17/1000000</f>
        <v>6.07774148</v>
      </c>
    </row>
    <row r="28" ht="14.25" customHeight="1">
      <c r="A28" s="210"/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0"/>
      <c r="T28" s="210"/>
      <c r="U28" s="210"/>
      <c r="V28" s="210"/>
      <c r="W28" s="210"/>
      <c r="X28" s="210"/>
      <c r="Y28" s="210"/>
      <c r="Z28" s="210"/>
      <c r="AA28" s="222" t="s">
        <v>189</v>
      </c>
      <c r="AB28" s="282">
        <f>'P Fcast 5yr'!E19/1000000</f>
        <v>5.774308</v>
      </c>
      <c r="AC28" s="282">
        <f>'P Fcast 5yr'!G19/1000000</f>
        <v>5.439130817</v>
      </c>
      <c r="AD28" s="282">
        <f>'P Fcast 5yr'!I19/1000000</f>
        <v>4.738920106</v>
      </c>
      <c r="AE28" s="282">
        <f>'P Fcast 5yr'!K19/1000000</f>
        <v>4.587287965</v>
      </c>
      <c r="AF28" s="282">
        <f>'P Fcast 5yr'!M19/1000000</f>
        <v>3.82442394</v>
      </c>
      <c r="AG28" s="282">
        <f>'P Fcast 5yr'!O19/1000000</f>
        <v>3.662763569</v>
      </c>
      <c r="AH28" s="282">
        <f>'P Fcast 5yr'!Q19/1000000</f>
        <v>3.509638854</v>
      </c>
    </row>
    <row r="29" ht="14.25" customHeight="1">
      <c r="A29" s="210"/>
      <c r="B29" s="210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10"/>
      <c r="U29" s="210"/>
      <c r="V29" s="210"/>
      <c r="W29" s="210"/>
      <c r="X29" s="210"/>
      <c r="Y29" s="210"/>
      <c r="Z29" s="210"/>
      <c r="AA29" s="222" t="s">
        <v>190</v>
      </c>
      <c r="AB29" s="282">
        <f t="shared" ref="AB29:AH29" si="8">SUM(AB25:AB28)</f>
        <v>62.732139</v>
      </c>
      <c r="AC29" s="282">
        <f t="shared" si="8"/>
        <v>68.72443021</v>
      </c>
      <c r="AD29" s="282">
        <f t="shared" si="8"/>
        <v>69.40660032</v>
      </c>
      <c r="AE29" s="282">
        <f t="shared" si="8"/>
        <v>70.01065281</v>
      </c>
      <c r="AF29" s="282">
        <f t="shared" si="8"/>
        <v>71.72715304</v>
      </c>
      <c r="AG29" s="282">
        <f t="shared" si="8"/>
        <v>72.68003761</v>
      </c>
      <c r="AH29" s="282">
        <f t="shared" si="8"/>
        <v>73.54489356</v>
      </c>
    </row>
    <row r="30" ht="14.25" customHeight="1">
      <c r="A30" s="210"/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0"/>
      <c r="T30" s="210"/>
      <c r="U30" s="210"/>
      <c r="V30" s="210"/>
      <c r="W30" s="210"/>
      <c r="X30" s="210"/>
      <c r="Y30" s="210"/>
      <c r="Z30" s="210"/>
    </row>
    <row r="31" ht="14.25" customHeight="1">
      <c r="A31" s="210"/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0"/>
      <c r="T31" s="210"/>
      <c r="U31" s="210"/>
      <c r="V31" s="210"/>
      <c r="W31" s="210"/>
      <c r="X31" s="210"/>
      <c r="Y31" s="210"/>
      <c r="Z31" s="210"/>
      <c r="AB31" s="223" t="str">
        <f t="shared" ref="AB31:AC31" si="9">AG$6</f>
        <v>2025 - 26</v>
      </c>
      <c r="AC31" s="223" t="str">
        <f t="shared" si="9"/>
        <v>2026 - 27</v>
      </c>
      <c r="AD31" s="223" t="str">
        <f t="shared" ref="AD31:AH31" si="10">AB$11</f>
        <v>2027 - 28</v>
      </c>
      <c r="AE31" s="223" t="str">
        <f t="shared" si="10"/>
        <v>2028 - 29</v>
      </c>
      <c r="AF31" s="223" t="str">
        <f t="shared" si="10"/>
        <v>2029 - 30</v>
      </c>
      <c r="AG31" s="223" t="str">
        <f t="shared" si="10"/>
        <v>2030 - 31</v>
      </c>
      <c r="AH31" s="223" t="str">
        <f t="shared" si="10"/>
        <v>2031 - 32</v>
      </c>
    </row>
    <row r="32" ht="14.25" customHeight="1">
      <c r="A32" s="210"/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0"/>
      <c r="T32" s="210"/>
      <c r="U32" s="210"/>
      <c r="V32" s="210"/>
      <c r="W32" s="210"/>
      <c r="X32" s="210"/>
      <c r="Y32" s="210"/>
      <c r="Z32" s="210"/>
      <c r="AA32" s="222" t="s">
        <v>191</v>
      </c>
      <c r="AB32" s="282">
        <f>'P Fcast 5yr'!E41/1000000</f>
        <v>1.0154</v>
      </c>
      <c r="AC32" s="282">
        <f>'P Fcast 5yr'!G41/1000000</f>
        <v>9.004159211</v>
      </c>
      <c r="AD32" s="282">
        <f>'P Fcast 5yr'!I41/1000000</f>
        <v>8.207301158</v>
      </c>
      <c r="AE32" s="282">
        <f>'P Fcast 5yr'!K41/1000000</f>
        <v>4.757884008</v>
      </c>
      <c r="AF32" s="282">
        <f>'P Fcast 5yr'!M41/1000000</f>
        <v>3.400797127</v>
      </c>
      <c r="AG32" s="282">
        <f>'P Fcast 5yr'!O41/1000000</f>
        <v>2.898214799</v>
      </c>
      <c r="AH32" s="282">
        <f>'P Fcast 5yr'!Q41/1000000</f>
        <v>2.202613143</v>
      </c>
    </row>
    <row r="33" ht="14.25" customHeight="1">
      <c r="A33" s="210"/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210"/>
      <c r="U33" s="210"/>
      <c r="V33" s="210"/>
      <c r="W33" s="210"/>
      <c r="X33" s="210"/>
      <c r="Y33" s="210"/>
      <c r="Z33" s="210"/>
      <c r="AA33" s="222" t="s">
        <v>192</v>
      </c>
      <c r="AB33" s="282">
        <f>'P Fcast 5yr'!E42/1000000</f>
        <v>5.974337</v>
      </c>
      <c r="AC33" s="282">
        <f>'P Fcast 5yr'!G42/1000000</f>
        <v>4.949337403</v>
      </c>
      <c r="AD33" s="282">
        <f>'P Fcast 5yr'!I42/1000000</f>
        <v>3.896774598</v>
      </c>
      <c r="AE33" s="282">
        <f>'P Fcast 5yr'!K42/1000000</f>
        <v>5.473209415</v>
      </c>
      <c r="AF33" s="282">
        <f>'P Fcast 5yr'!M42/1000000</f>
        <v>5.246692256</v>
      </c>
      <c r="AG33" s="282">
        <f>'P Fcast 5yr'!O42/1000000</f>
        <v>5.591533972</v>
      </c>
      <c r="AH33" s="282">
        <f>'P Fcast 5yr'!Q42/1000000</f>
        <v>3.413326577</v>
      </c>
    </row>
    <row r="34" ht="14.25" customHeight="1">
      <c r="A34" s="210"/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0"/>
      <c r="T34" s="210"/>
      <c r="U34" s="210"/>
      <c r="V34" s="210"/>
      <c r="W34" s="210"/>
      <c r="X34" s="210"/>
      <c r="Y34" s="210"/>
      <c r="Z34" s="210"/>
      <c r="AA34" s="222" t="s">
        <v>193</v>
      </c>
      <c r="AB34" s="282">
        <f>'P Fcast 5yr'!E43/1000000</f>
        <v>3.071226</v>
      </c>
      <c r="AC34" s="282">
        <f>'P Fcast 5yr'!G43/1000000</f>
        <v>8</v>
      </c>
      <c r="AD34" s="282">
        <f>'P Fcast 5yr'!I43/1000000</f>
        <v>8</v>
      </c>
      <c r="AE34" s="282">
        <f>'P Fcast 5yr'!K43/1000000</f>
        <v>7</v>
      </c>
      <c r="AF34" s="282">
        <f>'P Fcast 5yr'!M43/1000000</f>
        <v>7.2</v>
      </c>
      <c r="AG34" s="282">
        <f>'P Fcast 5yr'!O43/1000000</f>
        <v>7.063</v>
      </c>
      <c r="AH34" s="282">
        <f>'P Fcast 5yr'!Q43/1000000</f>
        <v>3</v>
      </c>
    </row>
    <row r="35" ht="14.25" customHeight="1">
      <c r="A35" s="210"/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0"/>
      <c r="Y35" s="210"/>
      <c r="Z35" s="210"/>
      <c r="AA35" s="222" t="s">
        <v>195</v>
      </c>
      <c r="AB35" s="282">
        <f t="shared" ref="AB35:AH35" si="11">SUM(AB32:AB34)</f>
        <v>10.060963</v>
      </c>
      <c r="AC35" s="282">
        <f t="shared" si="11"/>
        <v>21.95349661</v>
      </c>
      <c r="AD35" s="282">
        <f t="shared" si="11"/>
        <v>20.10407576</v>
      </c>
      <c r="AE35" s="282">
        <f t="shared" si="11"/>
        <v>17.23109342</v>
      </c>
      <c r="AF35" s="282">
        <f t="shared" si="11"/>
        <v>15.84748938</v>
      </c>
      <c r="AG35" s="282">
        <f t="shared" si="11"/>
        <v>15.55274877</v>
      </c>
      <c r="AH35" s="282">
        <f t="shared" si="11"/>
        <v>8.61593972</v>
      </c>
    </row>
    <row r="36" ht="14.25" customHeight="1">
      <c r="A36" s="210"/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</row>
    <row r="37" ht="14.25" customHeight="1">
      <c r="A37" s="210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B37" s="223" t="str">
        <f t="shared" ref="AB37:AC37" si="12">AG$6</f>
        <v>2025 - 26</v>
      </c>
      <c r="AC37" s="223" t="str">
        <f t="shared" si="12"/>
        <v>2026 - 27</v>
      </c>
      <c r="AD37" s="223" t="str">
        <f t="shared" ref="AD37:AH37" si="13">AB$11</f>
        <v>2027 - 28</v>
      </c>
      <c r="AE37" s="223" t="str">
        <f t="shared" si="13"/>
        <v>2028 - 29</v>
      </c>
      <c r="AF37" s="223" t="str">
        <f t="shared" si="13"/>
        <v>2029 - 30</v>
      </c>
      <c r="AG37" s="223" t="str">
        <f t="shared" si="13"/>
        <v>2030 - 31</v>
      </c>
      <c r="AH37" s="223" t="str">
        <f t="shared" si="13"/>
        <v>2031 - 32</v>
      </c>
    </row>
    <row r="38" ht="14.25" customHeight="1">
      <c r="A38" s="210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22" t="s">
        <v>25</v>
      </c>
      <c r="AB38" s="282">
        <f>'R Bal sheets'!F7/1000000</f>
        <v>6.514</v>
      </c>
      <c r="AC38" s="282">
        <f>'R Bal sheets'!H7/1000000</f>
        <v>22.28002449</v>
      </c>
      <c r="AD38" s="282">
        <f>'R Bal sheets'!J7/1000000</f>
        <v>30.91818052</v>
      </c>
      <c r="AE38" s="282">
        <f>'R Bal sheets'!L7/1000000</f>
        <v>43.89840705</v>
      </c>
      <c r="AF38" s="282">
        <f>'R Bal sheets'!N7/1000000</f>
        <v>58.4525775</v>
      </c>
      <c r="AG38" s="282">
        <f>'R Bal sheets'!P7/1000000</f>
        <v>74.02522571</v>
      </c>
      <c r="AH38" s="282">
        <f>'R Bal sheets'!R7/1000000</f>
        <v>78.79744466</v>
      </c>
    </row>
    <row r="39" ht="14.25" customHeight="1">
      <c r="A39" s="210"/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22" t="s">
        <v>41</v>
      </c>
      <c r="AB39" s="282">
        <f>'R Bal sheets'!F13/1000000</f>
        <v>91.599695</v>
      </c>
      <c r="AC39" s="282">
        <f>'R Bal sheets'!H13/1000000</f>
        <v>101.0088044</v>
      </c>
      <c r="AD39" s="282">
        <f>'R Bal sheets'!J13/1000000</f>
        <v>111.105579</v>
      </c>
      <c r="AE39" s="282">
        <f>'R Bal sheets'!L13/1000000</f>
        <v>121.1787884</v>
      </c>
      <c r="AF39" s="282">
        <f>'R Bal sheets'!N13/1000000</f>
        <v>130.2254807</v>
      </c>
      <c r="AG39" s="282">
        <f>'R Bal sheets'!P13/1000000</f>
        <v>139.4170146</v>
      </c>
      <c r="AH39" s="282">
        <f>'R Bal sheets'!R13/1000000</f>
        <v>148.3933412</v>
      </c>
    </row>
    <row r="40" ht="14.25" customHeight="1">
      <c r="A40" s="210"/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22" t="s">
        <v>198</v>
      </c>
      <c r="AB40" s="282">
        <f>'R Bal sheets'!F15/1000000</f>
        <v>104.402945</v>
      </c>
      <c r="AC40" s="282">
        <f>'R Bal sheets'!H15/1000000</f>
        <v>107.8933092</v>
      </c>
      <c r="AD40" s="282">
        <f>'R Bal sheets'!J15/1000000</f>
        <v>107.1758584</v>
      </c>
      <c r="AE40" s="282">
        <f>'R Bal sheets'!L15/1000000</f>
        <v>102.0205424</v>
      </c>
      <c r="AF40" s="282">
        <f>'R Bal sheets'!N15/1000000</f>
        <v>96.03102965</v>
      </c>
      <c r="AG40" s="282">
        <f>'R Bal sheets'!P15/1000000</f>
        <v>90.06948622</v>
      </c>
      <c r="AH40" s="282">
        <f>'R Bal sheets'!R15/1000000</f>
        <v>84.13335275</v>
      </c>
    </row>
    <row r="41" ht="22.5" customHeight="1">
      <c r="A41" s="210"/>
      <c r="B41" s="210"/>
      <c r="C41" s="210"/>
      <c r="D41" s="210"/>
      <c r="E41" s="210"/>
      <c r="F41" s="213" t="str">
        <f>'A Cover'!G8</f>
        <v>Example University</v>
      </c>
      <c r="G41" s="35"/>
      <c r="H41" s="35"/>
      <c r="I41" s="35"/>
      <c r="J41" s="35"/>
      <c r="K41" s="21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22" t="s">
        <v>153</v>
      </c>
      <c r="AB41" s="282">
        <f t="shared" ref="AB41:AH41" si="14">AB42-SUM(AB38:AB40)</f>
        <v>13.748899</v>
      </c>
      <c r="AC41" s="282">
        <f t="shared" si="14"/>
        <v>14.66744999</v>
      </c>
      <c r="AD41" s="282">
        <f t="shared" si="14"/>
        <v>14.71569972</v>
      </c>
      <c r="AE41" s="282">
        <f t="shared" si="14"/>
        <v>13.43182179</v>
      </c>
      <c r="AF41" s="282">
        <f t="shared" si="14"/>
        <v>11.22176718</v>
      </c>
      <c r="AG41" s="282">
        <f t="shared" si="14"/>
        <v>7.424078282</v>
      </c>
      <c r="AH41" s="282">
        <f t="shared" si="14"/>
        <v>7.049752425</v>
      </c>
    </row>
    <row r="42" ht="9.75" customHeight="1">
      <c r="A42" s="210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22" t="s">
        <v>126</v>
      </c>
      <c r="AB42" s="282">
        <f>'R Bal sheets'!F20/1000000</f>
        <v>216.265539</v>
      </c>
      <c r="AC42" s="282">
        <f>'R Bal sheets'!H20/1000000</f>
        <v>245.8495881</v>
      </c>
      <c r="AD42" s="282">
        <f>'R Bal sheets'!J20/1000000</f>
        <v>263.9153177</v>
      </c>
      <c r="AE42" s="282">
        <f>'R Bal sheets'!L20/1000000</f>
        <v>280.5295597</v>
      </c>
      <c r="AF42" s="282">
        <f>'R Bal sheets'!N20/1000000</f>
        <v>295.930855</v>
      </c>
      <c r="AG42" s="282">
        <f>'R Bal sheets'!P20/1000000</f>
        <v>310.9358049</v>
      </c>
      <c r="AH42" s="282">
        <f>'R Bal sheets'!R20/1000000</f>
        <v>318.3738911</v>
      </c>
    </row>
    <row r="43" ht="14.25" customHeight="1">
      <c r="A43" s="210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</row>
    <row r="44" ht="14.25" customHeight="1">
      <c r="A44" s="210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B44" s="223" t="str">
        <f t="shared" ref="AB44:AC44" si="15">AG$6</f>
        <v>2025 - 26</v>
      </c>
      <c r="AC44" s="223" t="str">
        <f t="shared" si="15"/>
        <v>2026 - 27</v>
      </c>
      <c r="AD44" s="223" t="str">
        <f t="shared" ref="AD44:AH44" si="16">AB$11</f>
        <v>2027 - 28</v>
      </c>
      <c r="AE44" s="223" t="str">
        <f t="shared" si="16"/>
        <v>2028 - 29</v>
      </c>
      <c r="AF44" s="223" t="str">
        <f t="shared" si="16"/>
        <v>2029 - 30</v>
      </c>
      <c r="AG44" s="223" t="str">
        <f t="shared" si="16"/>
        <v>2030 - 31</v>
      </c>
      <c r="AH44" s="223" t="str">
        <f t="shared" si="16"/>
        <v>2031 - 32</v>
      </c>
    </row>
    <row r="45" ht="14.25" customHeight="1">
      <c r="A45" s="210"/>
      <c r="B45" s="210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22" t="s">
        <v>200</v>
      </c>
      <c r="AB45" s="304">
        <f>'R Bal sheets'!F70</f>
        <v>0.4245222409</v>
      </c>
      <c r="AC45" s="304">
        <f>'R Bal sheets'!H70</f>
        <v>0.6572229386</v>
      </c>
      <c r="AD45" s="304">
        <f>'R Bal sheets'!J70</f>
        <v>0.7643955511</v>
      </c>
      <c r="AE45" s="304">
        <f>'R Bal sheets'!L70</f>
        <v>0.8948588937</v>
      </c>
      <c r="AF45" s="304">
        <f>'R Bal sheets'!N70</f>
        <v>1.01667021</v>
      </c>
      <c r="AG45" s="304">
        <f>'R Bal sheets'!P70</f>
        <v>1.126620454</v>
      </c>
      <c r="AH45" s="304">
        <f>'R Bal sheets'!R70</f>
        <v>1.215499471</v>
      </c>
    </row>
    <row r="46" ht="14.25" customHeight="1">
      <c r="A46" s="210"/>
      <c r="B46" s="210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22" t="s">
        <v>201</v>
      </c>
      <c r="AB46" s="304">
        <f>'R Bal sheets'!F74</f>
        <v>0.01618628053</v>
      </c>
      <c r="AC46" s="304">
        <f>'R Bal sheets'!H74</f>
        <v>0.1267398329</v>
      </c>
      <c r="AD46" s="304">
        <f>'R Bal sheets'!J74</f>
        <v>0.1138773119</v>
      </c>
      <c r="AE46" s="304">
        <f>'R Bal sheets'!L74</f>
        <v>0.06512609621</v>
      </c>
      <c r="AF46" s="304">
        <f>'R Bal sheets'!N74</f>
        <v>0.04526142648</v>
      </c>
      <c r="AG46" s="304">
        <f>'R Bal sheets'!P74</f>
        <v>0.03790732594</v>
      </c>
      <c r="AH46" s="304">
        <f>'R Bal sheets'!R74</f>
        <v>0.02834808307</v>
      </c>
    </row>
    <row r="47" ht="14.25" customHeight="1">
      <c r="A47" s="210"/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22" t="s">
        <v>202</v>
      </c>
      <c r="AB47" s="304">
        <f>'R Bal sheets'!F78</f>
        <v>0.06175783821</v>
      </c>
      <c r="AC47" s="304">
        <f>'R Bal sheets'!H78</f>
        <v>0.1269202034</v>
      </c>
      <c r="AD47" s="304">
        <f>'R Bal sheets'!J78</f>
        <v>0.1031378336</v>
      </c>
      <c r="AE47" s="304">
        <f>'R Bal sheets'!L78</f>
        <v>0.08013402373</v>
      </c>
      <c r="AF47" s="304">
        <f>'R Bal sheets'!N78</f>
        <v>0.06823181696</v>
      </c>
      <c r="AG47" s="304">
        <f>'R Bal sheets'!P78</f>
        <v>0.06268564725</v>
      </c>
      <c r="AH47" s="304">
        <f>'R Bal sheets'!R78</f>
        <v>0.03267825027</v>
      </c>
    </row>
    <row r="48" ht="14.25" customHeight="1">
      <c r="A48" s="210"/>
      <c r="B48" s="210"/>
      <c r="C48" s="210"/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22" t="s">
        <v>203</v>
      </c>
      <c r="AB48" s="304">
        <f>'R Bal sheets'!F82</f>
        <v>0.9881682589</v>
      </c>
      <c r="AC48" s="304">
        <f>'R Bal sheets'!H82</f>
        <v>1.287487552</v>
      </c>
      <c r="AD48" s="304">
        <f>'R Bal sheets'!J82</f>
        <v>1.625776977</v>
      </c>
      <c r="AE48" s="304">
        <f>'R Bal sheets'!L82</f>
        <v>2.007987779</v>
      </c>
      <c r="AF48" s="304">
        <f>'R Bal sheets'!N82</f>
        <v>2.422631659</v>
      </c>
      <c r="AG48" s="304">
        <f>'R Bal sheets'!P82</f>
        <v>2.842059254</v>
      </c>
      <c r="AH48" s="304">
        <f>'R Bal sheets'!R82</f>
        <v>3.329483171</v>
      </c>
    </row>
    <row r="49" ht="14.25" customHeight="1">
      <c r="A49" s="210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22" t="s">
        <v>204</v>
      </c>
      <c r="AB49" s="304">
        <f>'R Bal sheets'!F66</f>
        <v>3.663242281</v>
      </c>
      <c r="AC49" s="304">
        <f>'R Bal sheets'!H66</f>
        <v>3.738420107</v>
      </c>
      <c r="AD49" s="304">
        <f>'R Bal sheets'!J66</f>
        <v>4.421093456</v>
      </c>
      <c r="AE49" s="304">
        <f>'R Bal sheets'!L66</f>
        <v>5.284260339</v>
      </c>
      <c r="AF49" s="304">
        <f>'R Bal sheets'!N66</f>
        <v>6.224080442</v>
      </c>
      <c r="AG49" s="304">
        <f>'R Bal sheets'!P66</f>
        <v>7.270586322</v>
      </c>
      <c r="AH49" s="304">
        <f>'R Bal sheets'!R66</f>
        <v>8.188808947</v>
      </c>
    </row>
    <row r="50" ht="14.25" customHeight="1">
      <c r="A50" s="210"/>
      <c r="B50" s="210"/>
      <c r="C50" s="210"/>
      <c r="D50" s="210"/>
      <c r="E50" s="210"/>
      <c r="F50" s="210"/>
      <c r="G50" s="210"/>
      <c r="H50" s="210"/>
      <c r="I50" s="210"/>
      <c r="J50" s="210"/>
      <c r="K50" s="210"/>
      <c r="L50" s="210"/>
      <c r="M50" s="210"/>
      <c r="N50" s="210"/>
      <c r="O50" s="210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</row>
    <row r="51" ht="14.25" customHeight="1">
      <c r="A51" s="210"/>
      <c r="B51" s="210"/>
      <c r="C51" s="210"/>
      <c r="D51" s="210"/>
      <c r="E51" s="210"/>
      <c r="F51" s="210"/>
      <c r="G51" s="210"/>
      <c r="H51" s="210"/>
      <c r="I51" s="210"/>
      <c r="J51" s="210"/>
      <c r="K51" s="210"/>
      <c r="L51" s="210"/>
      <c r="M51" s="210"/>
      <c r="N51" s="210"/>
      <c r="O51" s="210"/>
      <c r="P51" s="210"/>
      <c r="Q51" s="210"/>
      <c r="R51" s="210"/>
      <c r="S51" s="210"/>
      <c r="T51" s="210"/>
      <c r="U51" s="210"/>
      <c r="V51" s="210"/>
      <c r="W51" s="210"/>
      <c r="X51" s="210"/>
      <c r="Y51" s="210"/>
      <c r="Z51" s="210"/>
      <c r="AB51" s="223" t="str">
        <f t="shared" ref="AB51:AC51" si="17">AG$6</f>
        <v>2025 - 26</v>
      </c>
      <c r="AC51" s="223" t="str">
        <f t="shared" si="17"/>
        <v>2026 - 27</v>
      </c>
      <c r="AD51" s="223" t="str">
        <f t="shared" ref="AD51:AH51" si="18">AB$11</f>
        <v>2027 - 28</v>
      </c>
      <c r="AE51" s="223" t="str">
        <f t="shared" si="18"/>
        <v>2028 - 29</v>
      </c>
      <c r="AF51" s="223" t="str">
        <f t="shared" si="18"/>
        <v>2029 - 30</v>
      </c>
      <c r="AG51" s="223" t="str">
        <f t="shared" si="18"/>
        <v>2030 - 31</v>
      </c>
      <c r="AH51" s="223" t="str">
        <f t="shared" si="18"/>
        <v>2031 - 32</v>
      </c>
    </row>
    <row r="52" ht="14.25" customHeight="1">
      <c r="A52" s="210"/>
      <c r="B52" s="210"/>
      <c r="C52" s="210"/>
      <c r="D52" s="210"/>
      <c r="E52" s="210"/>
      <c r="F52" s="210"/>
      <c r="G52" s="210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22" t="s">
        <v>205</v>
      </c>
      <c r="AB52" s="282">
        <f>'R Bal sheets'!F24/1000000</f>
        <v>12.45</v>
      </c>
      <c r="AC52" s="282">
        <f>'R Bal sheets'!H24/1000000</f>
        <v>12.88498768</v>
      </c>
      <c r="AD52" s="282">
        <f>'R Bal sheets'!J24/1000000</f>
        <v>13.70137515</v>
      </c>
      <c r="AE52" s="282">
        <f>'R Bal sheets'!L24/1000000</f>
        <v>13.9692351</v>
      </c>
      <c r="AF52" s="282">
        <f>'R Bal sheets'!N24/1000000</f>
        <v>14.44824859</v>
      </c>
      <c r="AG52" s="282">
        <f>'R Bal sheets'!P24/1000000</f>
        <v>14.85770574</v>
      </c>
      <c r="AH52" s="282">
        <f>'R Bal sheets'!R24/1000000</f>
        <v>15.29274494</v>
      </c>
    </row>
    <row r="53" ht="14.25" customHeight="1">
      <c r="A53" s="210"/>
      <c r="B53" s="210"/>
      <c r="C53" s="210"/>
      <c r="D53" s="210"/>
      <c r="E53" s="210"/>
      <c r="F53" s="210"/>
      <c r="G53" s="210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22" t="s">
        <v>206</v>
      </c>
      <c r="AB53" s="282" t="str">
        <f>('R Bal sheets'!F28+'R Bal sheets'!#REF!+'R Bal sheets'!F30)/1000000</f>
        <v>#ERROR!</v>
      </c>
      <c r="AC53" s="282" t="str">
        <f>('R Bal sheets'!H28+'R Bal sheets'!#REF!+'R Bal sheets'!H30)/1000000</f>
        <v>#ERROR!</v>
      </c>
      <c r="AD53" s="282" t="str">
        <f>('R Bal sheets'!J28+'R Bal sheets'!#REF!+'R Bal sheets'!J30)/1000000</f>
        <v>#ERROR!</v>
      </c>
      <c r="AE53" s="282" t="str">
        <f>('R Bal sheets'!L28+'R Bal sheets'!#REF!+'R Bal sheets'!L30)/1000000</f>
        <v>#ERROR!</v>
      </c>
      <c r="AF53" s="282" t="str">
        <f>('R Bal sheets'!N28+'R Bal sheets'!#REF!+'R Bal sheets'!N30)/1000000</f>
        <v>#ERROR!</v>
      </c>
      <c r="AG53" s="282" t="str">
        <f>('R Bal sheets'!P28+'R Bal sheets'!#REF!+'R Bal sheets'!P30)/1000000</f>
        <v>#ERROR!</v>
      </c>
      <c r="AH53" s="282" t="str">
        <f>('R Bal sheets'!R28+'R Bal sheets'!#REF!+'R Bal sheets'!R30)/1000000</f>
        <v>#ERROR!</v>
      </c>
    </row>
    <row r="54" ht="14.25" customHeight="1">
      <c r="A54" s="210"/>
      <c r="B54" s="210"/>
      <c r="C54" s="210"/>
      <c r="D54" s="210"/>
      <c r="E54" s="210"/>
      <c r="F54" s="210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22" t="s">
        <v>208</v>
      </c>
      <c r="AB54" s="282">
        <f>SUM('R Bal sheets'!F34:F38)/1000000</f>
        <v>172.970859</v>
      </c>
      <c r="AC54" s="282">
        <f>SUM('R Bal sheets'!H34:H38)/1000000</f>
        <v>194.9243556</v>
      </c>
      <c r="AD54" s="282">
        <f>SUM('R Bal sheets'!J34:J38)/1000000</f>
        <v>215.0284314</v>
      </c>
      <c r="AE54" s="282">
        <f>SUM('R Bal sheets'!L34:L38)/1000000</f>
        <v>232.2595248</v>
      </c>
      <c r="AF54" s="282">
        <f>SUM('R Bal sheets'!N34:N38)/1000000</f>
        <v>248.1070142</v>
      </c>
      <c r="AG54" s="282">
        <f>SUM('R Bal sheets'!P34:P38)/1000000</f>
        <v>263.6597629</v>
      </c>
      <c r="AH54" s="282">
        <f>SUM('R Bal sheets'!R34:R38)/1000000</f>
        <v>272.2757027</v>
      </c>
    </row>
    <row r="55" ht="14.25" customHeight="1">
      <c r="A55" s="210"/>
      <c r="B55" s="210"/>
      <c r="C55" s="210"/>
      <c r="D55" s="210"/>
      <c r="E55" s="210"/>
      <c r="F55" s="210"/>
      <c r="G55" s="210"/>
      <c r="H55" s="210"/>
      <c r="I55" s="210"/>
      <c r="J55" s="210"/>
      <c r="K55" s="210"/>
      <c r="L55" s="210"/>
      <c r="M55" s="210"/>
      <c r="N55" s="210"/>
      <c r="O55" s="210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</row>
    <row r="56" ht="14.25" customHeight="1">
      <c r="A56" s="210"/>
      <c r="B56" s="210"/>
      <c r="C56" s="210"/>
      <c r="D56" s="210"/>
      <c r="E56" s="210"/>
      <c r="F56" s="210"/>
      <c r="G56" s="210"/>
      <c r="H56" s="210"/>
      <c r="I56" s="210"/>
      <c r="J56" s="210"/>
      <c r="K56" s="210"/>
      <c r="L56" s="210"/>
      <c r="M56" s="210"/>
      <c r="N56" s="210"/>
      <c r="O56" s="210"/>
      <c r="P56" s="210"/>
      <c r="Q56" s="210"/>
      <c r="R56" s="210"/>
      <c r="S56" s="210"/>
      <c r="T56" s="210"/>
      <c r="U56" s="210"/>
      <c r="V56" s="210"/>
      <c r="W56" s="210"/>
      <c r="X56" s="210"/>
      <c r="Y56" s="210"/>
      <c r="Z56" s="210"/>
    </row>
    <row r="57" ht="14.25" customHeight="1">
      <c r="A57" s="210"/>
      <c r="B57" s="210"/>
      <c r="C57" s="210"/>
      <c r="D57" s="210"/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</row>
    <row r="58" ht="14.25" customHeight="1">
      <c r="A58" s="210"/>
      <c r="B58" s="210"/>
      <c r="C58" s="210"/>
      <c r="D58" s="210"/>
      <c r="E58" s="210"/>
      <c r="F58" s="210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</row>
    <row r="59" ht="14.25" customHeight="1">
      <c r="A59" s="210"/>
      <c r="B59" s="210"/>
      <c r="C59" s="210"/>
      <c r="D59" s="210"/>
      <c r="E59" s="210"/>
      <c r="F59" s="210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</row>
    <row r="60" ht="14.25" customHeight="1">
      <c r="A60" s="210"/>
      <c r="B60" s="210"/>
      <c r="C60" s="210"/>
      <c r="D60" s="210"/>
      <c r="E60" s="210"/>
      <c r="F60" s="210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</row>
    <row r="61" ht="14.25" customHeight="1">
      <c r="A61" s="210"/>
      <c r="B61" s="210"/>
      <c r="C61" s="210"/>
      <c r="D61" s="210"/>
      <c r="E61" s="210"/>
      <c r="F61" s="210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</row>
    <row r="62" ht="14.25" customHeight="1">
      <c r="A62" s="210"/>
      <c r="B62" s="210"/>
      <c r="C62" s="210"/>
      <c r="D62" s="210"/>
      <c r="E62" s="210"/>
      <c r="F62" s="210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</row>
    <row r="63" ht="14.25" customHeight="1">
      <c r="A63" s="210"/>
      <c r="B63" s="210"/>
      <c r="C63" s="210"/>
      <c r="D63" s="210"/>
      <c r="E63" s="210"/>
      <c r="F63" s="210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</row>
    <row r="64" ht="14.25" customHeight="1">
      <c r="A64" s="210"/>
      <c r="B64" s="210"/>
      <c r="C64" s="210"/>
      <c r="D64" s="210"/>
      <c r="E64" s="210"/>
      <c r="F64" s="210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</row>
    <row r="65" ht="14.25" customHeight="1">
      <c r="A65" s="210"/>
      <c r="B65" s="210"/>
      <c r="C65" s="210"/>
      <c r="D65" s="210"/>
      <c r="E65" s="210"/>
      <c r="F65" s="210"/>
      <c r="G65" s="210"/>
      <c r="H65" s="210"/>
      <c r="I65" s="210"/>
      <c r="J65" s="210"/>
      <c r="K65" s="210"/>
      <c r="L65" s="210"/>
      <c r="M65" s="210"/>
      <c r="N65" s="210"/>
      <c r="O65" s="210"/>
      <c r="P65" s="210"/>
      <c r="Q65" s="210"/>
      <c r="R65" s="210"/>
      <c r="S65" s="210"/>
      <c r="T65" s="210"/>
      <c r="U65" s="210"/>
      <c r="V65" s="210"/>
      <c r="W65" s="210"/>
      <c r="X65" s="210"/>
      <c r="Y65" s="210"/>
      <c r="Z65" s="210"/>
    </row>
    <row r="66" ht="14.25" customHeight="1">
      <c r="A66" s="210"/>
      <c r="B66" s="210"/>
      <c r="C66" s="210"/>
      <c r="D66" s="210"/>
      <c r="E66" s="210"/>
      <c r="F66" s="210"/>
      <c r="G66" s="210"/>
      <c r="H66" s="210"/>
      <c r="I66" s="210"/>
      <c r="J66" s="210"/>
      <c r="K66" s="210"/>
      <c r="L66" s="210"/>
      <c r="M66" s="210"/>
      <c r="N66" s="210"/>
      <c r="O66" s="210"/>
      <c r="P66" s="210"/>
      <c r="Q66" s="210"/>
      <c r="R66" s="210"/>
      <c r="S66" s="210"/>
      <c r="T66" s="210"/>
      <c r="U66" s="210"/>
      <c r="V66" s="210"/>
      <c r="W66" s="210"/>
      <c r="X66" s="210"/>
      <c r="Y66" s="210"/>
      <c r="Z66" s="210"/>
    </row>
    <row r="67" ht="14.25" customHeight="1">
      <c r="A67" s="210"/>
      <c r="B67" s="210"/>
      <c r="C67" s="210"/>
      <c r="D67" s="210"/>
      <c r="E67" s="210"/>
      <c r="F67" s="210"/>
      <c r="G67" s="210"/>
      <c r="H67" s="210"/>
      <c r="I67" s="210"/>
      <c r="J67" s="210"/>
      <c r="K67" s="210"/>
      <c r="L67" s="210"/>
      <c r="M67" s="210"/>
      <c r="N67" s="210"/>
      <c r="O67" s="210"/>
      <c r="P67" s="210"/>
      <c r="Q67" s="210"/>
      <c r="R67" s="210"/>
      <c r="S67" s="210"/>
      <c r="T67" s="210"/>
      <c r="U67" s="210"/>
      <c r="V67" s="210"/>
      <c r="W67" s="210"/>
      <c r="X67" s="210"/>
      <c r="Y67" s="210"/>
      <c r="Z67" s="210"/>
    </row>
    <row r="68" ht="14.25" customHeight="1">
      <c r="A68" s="210"/>
      <c r="B68" s="210"/>
      <c r="C68" s="210"/>
      <c r="D68" s="210"/>
      <c r="E68" s="210"/>
      <c r="F68" s="210"/>
      <c r="G68" s="210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0"/>
      <c r="S68" s="210"/>
      <c r="T68" s="210"/>
      <c r="U68" s="210"/>
      <c r="V68" s="210"/>
      <c r="W68" s="210"/>
      <c r="X68" s="210"/>
      <c r="Y68" s="210"/>
      <c r="Z68" s="210"/>
    </row>
    <row r="69" ht="14.25" customHeight="1">
      <c r="A69" s="210"/>
      <c r="B69" s="210"/>
      <c r="C69" s="210"/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0"/>
      <c r="S69" s="210"/>
      <c r="T69" s="210"/>
      <c r="U69" s="210"/>
      <c r="V69" s="210"/>
      <c r="W69" s="210"/>
      <c r="X69" s="210"/>
      <c r="Y69" s="210"/>
      <c r="Z69" s="210"/>
    </row>
    <row r="70" ht="14.25" customHeight="1">
      <c r="A70" s="210"/>
      <c r="B70" s="210"/>
      <c r="C70" s="210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0"/>
      <c r="S70" s="210"/>
      <c r="T70" s="210"/>
      <c r="U70" s="210"/>
      <c r="V70" s="210"/>
      <c r="W70" s="210"/>
      <c r="X70" s="210"/>
      <c r="Y70" s="210"/>
      <c r="Z70" s="210"/>
    </row>
    <row r="71" ht="14.25" customHeight="1">
      <c r="A71" s="210"/>
      <c r="B71" s="210"/>
      <c r="C71" s="210"/>
      <c r="D71" s="210"/>
      <c r="E71" s="210"/>
      <c r="F71" s="210"/>
      <c r="G71" s="210"/>
      <c r="H71" s="210"/>
      <c r="I71" s="210"/>
      <c r="J71" s="210"/>
      <c r="K71" s="210"/>
      <c r="L71" s="210"/>
      <c r="M71" s="210"/>
      <c r="N71" s="210"/>
      <c r="O71" s="210"/>
      <c r="P71" s="210"/>
      <c r="Q71" s="210"/>
      <c r="R71" s="210"/>
      <c r="S71" s="210"/>
      <c r="T71" s="210"/>
      <c r="U71" s="210"/>
      <c r="V71" s="210"/>
      <c r="W71" s="210"/>
      <c r="X71" s="210"/>
      <c r="Y71" s="210"/>
      <c r="Z71" s="210"/>
    </row>
    <row r="72" ht="14.25" customHeight="1">
      <c r="A72" s="210"/>
      <c r="B72" s="210"/>
      <c r="C72" s="210"/>
      <c r="D72" s="210"/>
      <c r="E72" s="210"/>
      <c r="F72" s="210"/>
      <c r="G72" s="210"/>
      <c r="H72" s="210"/>
      <c r="I72" s="210"/>
      <c r="J72" s="210"/>
      <c r="K72" s="210"/>
      <c r="L72" s="210"/>
      <c r="M72" s="210"/>
      <c r="N72" s="210"/>
      <c r="O72" s="210"/>
      <c r="P72" s="210"/>
      <c r="Q72" s="210"/>
      <c r="R72" s="210"/>
      <c r="S72" s="210"/>
      <c r="T72" s="210"/>
      <c r="U72" s="210"/>
      <c r="V72" s="210"/>
      <c r="W72" s="210"/>
      <c r="X72" s="210"/>
      <c r="Y72" s="210"/>
      <c r="Z72" s="210"/>
    </row>
    <row r="73" ht="14.25" customHeight="1">
      <c r="A73" s="210"/>
      <c r="B73" s="210"/>
      <c r="C73" s="210"/>
      <c r="D73" s="210"/>
      <c r="E73" s="210"/>
      <c r="F73" s="210"/>
      <c r="G73" s="210"/>
      <c r="H73" s="210"/>
      <c r="I73" s="210"/>
      <c r="J73" s="210"/>
      <c r="K73" s="210"/>
      <c r="L73" s="210"/>
      <c r="M73" s="210"/>
      <c r="N73" s="210"/>
      <c r="O73" s="210"/>
      <c r="P73" s="210"/>
      <c r="Q73" s="210"/>
      <c r="R73" s="210"/>
      <c r="S73" s="210"/>
      <c r="T73" s="210"/>
      <c r="U73" s="210"/>
      <c r="V73" s="210"/>
      <c r="W73" s="210"/>
      <c r="X73" s="210"/>
      <c r="Y73" s="210"/>
      <c r="Z73" s="210"/>
    </row>
    <row r="74" ht="14.25" customHeight="1">
      <c r="A74" s="210"/>
      <c r="B74" s="210"/>
      <c r="C74" s="210"/>
      <c r="D74" s="210"/>
      <c r="E74" s="210"/>
      <c r="F74" s="210"/>
      <c r="G74" s="210"/>
      <c r="H74" s="210"/>
      <c r="I74" s="210"/>
      <c r="J74" s="210"/>
      <c r="K74" s="210"/>
      <c r="L74" s="210"/>
      <c r="M74" s="210"/>
      <c r="N74" s="210"/>
      <c r="O74" s="210"/>
      <c r="P74" s="210"/>
      <c r="Q74" s="210"/>
      <c r="R74" s="210"/>
      <c r="S74" s="210"/>
      <c r="T74" s="210"/>
      <c r="U74" s="210"/>
      <c r="V74" s="210"/>
      <c r="W74" s="210"/>
      <c r="X74" s="210"/>
      <c r="Y74" s="210"/>
      <c r="Z74" s="210"/>
    </row>
    <row r="75" ht="14.25" customHeight="1">
      <c r="A75" s="210"/>
      <c r="B75" s="210"/>
      <c r="C75" s="210"/>
      <c r="D75" s="210"/>
      <c r="E75" s="210"/>
      <c r="F75" s="210"/>
      <c r="G75" s="210"/>
      <c r="H75" s="210"/>
      <c r="I75" s="210"/>
      <c r="J75" s="210"/>
      <c r="K75" s="210"/>
      <c r="L75" s="210"/>
      <c r="M75" s="210"/>
      <c r="N75" s="210"/>
      <c r="O75" s="210"/>
      <c r="P75" s="210"/>
      <c r="Q75" s="210"/>
      <c r="R75" s="210"/>
      <c r="S75" s="210"/>
      <c r="T75" s="210"/>
      <c r="U75" s="210"/>
      <c r="V75" s="210"/>
      <c r="W75" s="210"/>
      <c r="X75" s="210"/>
      <c r="Y75" s="210"/>
      <c r="Z75" s="210"/>
    </row>
    <row r="76" ht="14.25" customHeight="1">
      <c r="A76" s="210"/>
      <c r="B76" s="210"/>
      <c r="C76" s="210"/>
      <c r="D76" s="210"/>
      <c r="E76" s="210"/>
      <c r="F76" s="210"/>
      <c r="G76" s="210"/>
      <c r="H76" s="210"/>
      <c r="I76" s="210"/>
      <c r="J76" s="210"/>
      <c r="K76" s="210"/>
      <c r="L76" s="210"/>
      <c r="M76" s="210"/>
      <c r="N76" s="210"/>
      <c r="O76" s="210"/>
      <c r="P76" s="210"/>
      <c r="Q76" s="210"/>
      <c r="R76" s="210"/>
      <c r="S76" s="210"/>
      <c r="T76" s="210"/>
      <c r="U76" s="210"/>
      <c r="V76" s="210"/>
      <c r="W76" s="210"/>
      <c r="X76" s="210"/>
      <c r="Y76" s="210"/>
      <c r="Z76" s="210"/>
    </row>
    <row r="77" ht="14.25" customHeight="1">
      <c r="A77" s="210"/>
      <c r="B77" s="210"/>
      <c r="C77" s="210"/>
      <c r="D77" s="210"/>
      <c r="E77" s="210"/>
      <c r="F77" s="210"/>
      <c r="G77" s="210"/>
      <c r="H77" s="210"/>
      <c r="I77" s="210"/>
      <c r="J77" s="210"/>
      <c r="K77" s="210"/>
      <c r="L77" s="210"/>
      <c r="M77" s="210"/>
      <c r="N77" s="210"/>
      <c r="O77" s="210"/>
      <c r="P77" s="210"/>
      <c r="Q77" s="210"/>
      <c r="R77" s="210"/>
      <c r="S77" s="210"/>
      <c r="T77" s="210"/>
      <c r="U77" s="210"/>
      <c r="V77" s="210"/>
      <c r="W77" s="210"/>
      <c r="X77" s="210"/>
      <c r="Y77" s="210"/>
      <c r="Z77" s="210"/>
    </row>
    <row r="78" ht="14.25" customHeight="1">
      <c r="A78" s="210"/>
      <c r="B78" s="210"/>
      <c r="C78" s="210"/>
      <c r="D78" s="210"/>
      <c r="E78" s="210"/>
      <c r="F78" s="210"/>
      <c r="G78" s="210"/>
      <c r="H78" s="210"/>
      <c r="I78" s="210"/>
      <c r="J78" s="210"/>
      <c r="K78" s="210"/>
      <c r="L78" s="210"/>
      <c r="M78" s="210"/>
      <c r="N78" s="210"/>
      <c r="O78" s="210"/>
      <c r="P78" s="210"/>
      <c r="Q78" s="210"/>
      <c r="R78" s="210"/>
      <c r="S78" s="210"/>
      <c r="T78" s="210"/>
      <c r="U78" s="210"/>
      <c r="V78" s="210"/>
      <c r="W78" s="210"/>
      <c r="X78" s="210"/>
      <c r="Y78" s="210"/>
      <c r="Z78" s="210"/>
    </row>
    <row r="79" ht="14.25" customHeight="1">
      <c r="A79" s="210"/>
      <c r="B79" s="210"/>
      <c r="C79" s="210"/>
      <c r="D79" s="210"/>
      <c r="E79" s="210"/>
      <c r="F79" s="210"/>
      <c r="G79" s="210"/>
      <c r="H79" s="210"/>
      <c r="I79" s="210"/>
      <c r="J79" s="210"/>
      <c r="K79" s="210"/>
      <c r="L79" s="210"/>
      <c r="M79" s="210"/>
      <c r="N79" s="210"/>
      <c r="O79" s="210"/>
      <c r="P79" s="210"/>
      <c r="Q79" s="210"/>
      <c r="R79" s="210"/>
      <c r="S79" s="210"/>
      <c r="T79" s="210"/>
      <c r="U79" s="210"/>
      <c r="V79" s="210"/>
      <c r="W79" s="210"/>
      <c r="X79" s="210"/>
      <c r="Y79" s="210"/>
      <c r="Z79" s="210"/>
    </row>
    <row r="80" ht="14.25" customHeight="1">
      <c r="A80" s="210"/>
      <c r="B80" s="210"/>
      <c r="C80" s="210"/>
      <c r="D80" s="210"/>
      <c r="E80" s="210"/>
      <c r="F80" s="210"/>
      <c r="G80" s="210"/>
      <c r="H80" s="210"/>
      <c r="I80" s="210"/>
      <c r="J80" s="210"/>
      <c r="K80" s="210"/>
      <c r="L80" s="210"/>
      <c r="M80" s="210"/>
      <c r="N80" s="210"/>
      <c r="O80" s="210"/>
      <c r="P80" s="210"/>
      <c r="Q80" s="210"/>
      <c r="R80" s="210"/>
      <c r="S80" s="210"/>
      <c r="T80" s="210"/>
      <c r="U80" s="210"/>
      <c r="V80" s="210"/>
      <c r="W80" s="210"/>
      <c r="X80" s="210"/>
      <c r="Y80" s="210"/>
      <c r="Z80" s="210"/>
    </row>
    <row r="81" ht="14.25" customHeight="1">
      <c r="A81" s="210"/>
      <c r="B81" s="210"/>
      <c r="C81" s="210"/>
      <c r="D81" s="210"/>
      <c r="E81" s="210"/>
      <c r="F81" s="210"/>
      <c r="G81" s="210"/>
      <c r="H81" s="210"/>
      <c r="I81" s="210"/>
      <c r="J81" s="210"/>
      <c r="K81" s="210"/>
      <c r="L81" s="210"/>
      <c r="M81" s="210"/>
      <c r="N81" s="210"/>
      <c r="O81" s="210"/>
      <c r="P81" s="210"/>
      <c r="Q81" s="210"/>
      <c r="R81" s="210"/>
      <c r="S81" s="210"/>
      <c r="T81" s="210"/>
      <c r="U81" s="210"/>
      <c r="V81" s="210"/>
      <c r="W81" s="210"/>
      <c r="X81" s="210"/>
      <c r="Y81" s="210"/>
      <c r="Z81" s="210"/>
    </row>
    <row r="82" ht="14.25" customHeight="1">
      <c r="A82" s="210"/>
      <c r="B82" s="210"/>
      <c r="C82" s="210"/>
      <c r="D82" s="210"/>
      <c r="E82" s="210"/>
      <c r="F82" s="210"/>
      <c r="G82" s="210"/>
      <c r="H82" s="210"/>
      <c r="I82" s="210"/>
      <c r="J82" s="210"/>
      <c r="K82" s="210"/>
      <c r="L82" s="210"/>
      <c r="M82" s="210"/>
      <c r="N82" s="210"/>
      <c r="O82" s="210"/>
      <c r="P82" s="210"/>
      <c r="Q82" s="210"/>
      <c r="R82" s="210"/>
      <c r="S82" s="210"/>
      <c r="T82" s="210"/>
      <c r="U82" s="210"/>
      <c r="V82" s="210"/>
      <c r="W82" s="210"/>
      <c r="X82" s="210"/>
      <c r="Y82" s="210"/>
      <c r="Z82" s="210"/>
    </row>
    <row r="83" ht="14.25" customHeight="1">
      <c r="A83" s="210"/>
      <c r="B83" s="210"/>
      <c r="C83" s="210"/>
      <c r="D83" s="210"/>
      <c r="E83" s="210"/>
      <c r="F83" s="210"/>
      <c r="G83" s="210"/>
      <c r="H83" s="210"/>
      <c r="I83" s="210"/>
      <c r="J83" s="210"/>
      <c r="K83" s="210"/>
      <c r="L83" s="210"/>
      <c r="M83" s="210"/>
      <c r="N83" s="210"/>
      <c r="O83" s="210"/>
      <c r="P83" s="210"/>
      <c r="Q83" s="210"/>
      <c r="R83" s="210"/>
      <c r="S83" s="210"/>
      <c r="T83" s="210"/>
      <c r="U83" s="210"/>
      <c r="V83" s="210"/>
      <c r="W83" s="210"/>
      <c r="X83" s="210"/>
      <c r="Y83" s="210"/>
      <c r="Z83" s="210"/>
    </row>
    <row r="84" ht="14.25" customHeight="1">
      <c r="A84" s="210"/>
      <c r="B84" s="210"/>
      <c r="C84" s="210"/>
      <c r="D84" s="210"/>
      <c r="E84" s="210"/>
      <c r="F84" s="210"/>
      <c r="G84" s="210"/>
      <c r="H84" s="210"/>
      <c r="I84" s="210"/>
      <c r="J84" s="210"/>
      <c r="K84" s="210"/>
      <c r="L84" s="210"/>
      <c r="M84" s="210"/>
      <c r="N84" s="210"/>
      <c r="O84" s="210"/>
      <c r="P84" s="210"/>
      <c r="Q84" s="210"/>
      <c r="R84" s="210"/>
      <c r="S84" s="210"/>
      <c r="T84" s="210"/>
      <c r="U84" s="210"/>
      <c r="V84" s="210"/>
      <c r="W84" s="210"/>
      <c r="X84" s="210"/>
      <c r="Y84" s="210"/>
      <c r="Z84" s="210"/>
    </row>
    <row r="85" ht="14.25" customHeight="1">
      <c r="A85" s="210"/>
      <c r="B85" s="210"/>
      <c r="C85" s="210"/>
      <c r="D85" s="210"/>
      <c r="E85" s="210"/>
      <c r="F85" s="210"/>
      <c r="G85" s="210"/>
      <c r="H85" s="210"/>
      <c r="I85" s="210"/>
      <c r="J85" s="210"/>
      <c r="K85" s="210"/>
      <c r="L85" s="210"/>
      <c r="M85" s="210"/>
      <c r="N85" s="210"/>
      <c r="O85" s="210"/>
      <c r="P85" s="210"/>
      <c r="Q85" s="210"/>
      <c r="R85" s="210"/>
      <c r="S85" s="210"/>
      <c r="T85" s="210"/>
      <c r="U85" s="210"/>
      <c r="V85" s="210"/>
      <c r="W85" s="210"/>
      <c r="X85" s="210"/>
      <c r="Y85" s="210"/>
      <c r="Z85" s="210"/>
    </row>
    <row r="86" ht="14.25" customHeight="1">
      <c r="A86" s="210"/>
      <c r="B86" s="210"/>
      <c r="C86" s="210"/>
      <c r="D86" s="210"/>
      <c r="E86" s="210"/>
      <c r="F86" s="210"/>
      <c r="G86" s="210"/>
      <c r="H86" s="210"/>
      <c r="I86" s="210"/>
      <c r="J86" s="210"/>
      <c r="K86" s="210"/>
      <c r="L86" s="210"/>
      <c r="M86" s="210"/>
      <c r="N86" s="210"/>
      <c r="O86" s="210"/>
      <c r="P86" s="210"/>
      <c r="Q86" s="210"/>
      <c r="R86" s="210"/>
      <c r="S86" s="210"/>
      <c r="T86" s="210"/>
      <c r="U86" s="210"/>
      <c r="V86" s="210"/>
      <c r="W86" s="210"/>
      <c r="X86" s="210"/>
      <c r="Y86" s="210"/>
      <c r="Z86" s="210"/>
    </row>
    <row r="87" ht="14.25" customHeight="1">
      <c r="A87" s="210"/>
      <c r="B87" s="210"/>
      <c r="C87" s="210"/>
      <c r="D87" s="210"/>
      <c r="E87" s="210"/>
      <c r="F87" s="210"/>
      <c r="G87" s="210"/>
      <c r="H87" s="210"/>
      <c r="I87" s="210"/>
      <c r="J87" s="210"/>
      <c r="K87" s="210"/>
      <c r="L87" s="210"/>
      <c r="M87" s="210"/>
      <c r="N87" s="210"/>
      <c r="O87" s="210"/>
      <c r="P87" s="210"/>
      <c r="Q87" s="210"/>
      <c r="R87" s="210"/>
      <c r="S87" s="210"/>
      <c r="T87" s="210"/>
      <c r="U87" s="210"/>
      <c r="V87" s="210"/>
      <c r="W87" s="210"/>
      <c r="X87" s="210"/>
      <c r="Y87" s="210"/>
      <c r="Z87" s="210"/>
    </row>
    <row r="88" ht="14.25" customHeight="1">
      <c r="A88" s="210"/>
      <c r="B88" s="210"/>
      <c r="C88" s="210"/>
      <c r="D88" s="210"/>
      <c r="E88" s="210"/>
      <c r="F88" s="210"/>
      <c r="G88" s="210"/>
      <c r="H88" s="210"/>
      <c r="I88" s="210"/>
      <c r="J88" s="210"/>
      <c r="K88" s="210"/>
      <c r="L88" s="210"/>
      <c r="M88" s="210"/>
      <c r="N88" s="210"/>
      <c r="O88" s="210"/>
      <c r="P88" s="210"/>
      <c r="Q88" s="210"/>
      <c r="R88" s="210"/>
      <c r="S88" s="210"/>
      <c r="T88" s="210"/>
      <c r="U88" s="210"/>
      <c r="V88" s="210"/>
      <c r="W88" s="210"/>
      <c r="X88" s="210"/>
      <c r="Y88" s="210"/>
      <c r="Z88" s="210"/>
    </row>
    <row r="89" ht="14.25" customHeight="1">
      <c r="A89" s="210"/>
      <c r="B89" s="210"/>
      <c r="C89" s="210"/>
      <c r="D89" s="210"/>
      <c r="E89" s="210"/>
      <c r="F89" s="210"/>
      <c r="G89" s="210"/>
      <c r="H89" s="210"/>
      <c r="I89" s="210"/>
      <c r="J89" s="210"/>
      <c r="K89" s="210"/>
      <c r="L89" s="210"/>
      <c r="M89" s="210"/>
      <c r="N89" s="210"/>
      <c r="O89" s="210"/>
      <c r="P89" s="210"/>
      <c r="Q89" s="210"/>
      <c r="R89" s="210"/>
      <c r="S89" s="210"/>
      <c r="T89" s="210"/>
      <c r="U89" s="210"/>
      <c r="V89" s="210"/>
      <c r="W89" s="210"/>
      <c r="X89" s="210"/>
      <c r="Y89" s="210"/>
      <c r="Z89" s="210"/>
    </row>
    <row r="90" ht="14.25" customHeight="1">
      <c r="A90" s="210"/>
      <c r="B90" s="210"/>
      <c r="C90" s="210"/>
      <c r="D90" s="210"/>
      <c r="E90" s="210"/>
      <c r="F90" s="210"/>
      <c r="G90" s="210"/>
      <c r="H90" s="210"/>
      <c r="I90" s="210"/>
      <c r="J90" s="210"/>
      <c r="K90" s="210"/>
      <c r="L90" s="210"/>
      <c r="M90" s="210"/>
      <c r="N90" s="210"/>
      <c r="O90" s="210"/>
      <c r="P90" s="210"/>
      <c r="Q90" s="210"/>
      <c r="R90" s="210"/>
      <c r="S90" s="210"/>
      <c r="T90" s="210"/>
      <c r="U90" s="210"/>
      <c r="V90" s="210"/>
      <c r="W90" s="210"/>
      <c r="X90" s="210"/>
      <c r="Y90" s="210"/>
      <c r="Z90" s="210"/>
    </row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F1:K1"/>
    <mergeCell ref="F41:K41"/>
  </mergeCells>
  <printOptions horizontalCentered="1" verticalCentered="1"/>
  <pageMargins bottom="0.75" footer="0.0" header="0.0" left="0.5" right="0.0" top="0.75"/>
  <pageSetup scale="9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2">
    <pageSetUpPr fitToPage="1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0" outlineLevelCol="1"/>
  <cols>
    <col customWidth="1" min="1" max="1" width="5.38"/>
    <col customWidth="1" min="2" max="2" width="3.75"/>
    <col customWidth="1" min="3" max="3" width="25.0"/>
    <col customWidth="1" min="4" max="4" width="1.38"/>
    <col customWidth="1" min="5" max="5" width="4.38"/>
    <col customWidth="1" min="6" max="6" width="4.13"/>
    <col customWidth="1" min="7" max="7" width="12.63"/>
    <col customWidth="1" min="8" max="8" width="5.75"/>
    <col customWidth="1" min="9" max="9" width="12.75"/>
    <col customWidth="1" min="10" max="10" width="5.75"/>
    <col customWidth="1" min="11" max="11" width="12.75"/>
    <col customWidth="1" min="12" max="12" width="5.75"/>
    <col customWidth="1" min="13" max="13" width="12.75"/>
    <col customWidth="1" min="14" max="14" width="6.0"/>
    <col customWidth="1" min="15" max="15" width="12.75"/>
    <col customWidth="1" min="16" max="16" width="5.38"/>
    <col customWidth="1" min="17" max="17" width="12.75"/>
    <col customWidth="1" min="18" max="18" width="5.13"/>
    <col customWidth="1" min="19" max="19" width="12.75"/>
    <col customWidth="1" min="20" max="20" width="5.63"/>
    <col customWidth="1" min="21" max="21" width="6.88"/>
    <col customWidth="1" min="22" max="28" width="8.63"/>
  </cols>
  <sheetData>
    <row r="1" ht="45.75" customHeight="1">
      <c r="A1" s="1"/>
      <c r="B1" s="1"/>
      <c r="C1" s="2" t="str">
        <f>'A Cover'!G8</f>
        <v>Example University</v>
      </c>
      <c r="D1" s="3"/>
      <c r="E1" s="1"/>
      <c r="F1" s="1"/>
      <c r="G1" s="1"/>
      <c r="H1" s="4"/>
      <c r="I1" s="4"/>
      <c r="J1" s="4"/>
      <c r="K1" s="4"/>
      <c r="L1" s="4"/>
      <c r="M1" s="4"/>
      <c r="N1" s="1"/>
      <c r="O1" s="1"/>
      <c r="P1" s="1"/>
      <c r="Q1" s="1"/>
      <c r="R1" s="5"/>
      <c r="S1" s="5"/>
      <c r="T1" s="1"/>
      <c r="U1" s="1"/>
      <c r="V1" s="1"/>
    </row>
    <row r="2" ht="14.25" customHeight="1">
      <c r="A2" s="15"/>
      <c r="B2" s="15"/>
      <c r="C2" s="17" t="s">
        <v>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9">
        <f>'A Cover'!G12</f>
        <v>46307</v>
      </c>
      <c r="S2" s="21"/>
      <c r="T2" s="5"/>
      <c r="U2" s="1"/>
      <c r="V2" s="1"/>
    </row>
    <row r="3" ht="18.0" customHeight="1">
      <c r="A3" s="15"/>
      <c r="B3" s="15"/>
      <c r="C3" s="15"/>
      <c r="D3" s="1"/>
      <c r="E3" s="1"/>
      <c r="F3" s="1"/>
      <c r="G3" s="23" t="s">
        <v>6</v>
      </c>
      <c r="H3" s="25"/>
      <c r="I3" s="23" t="str">
        <f>IF('J Proj CY'!F151&gt;1,"Projected","Budget")</f>
        <v>Projected</v>
      </c>
      <c r="J3" s="28"/>
      <c r="K3" s="33" t="s">
        <v>8</v>
      </c>
      <c r="L3" s="35"/>
      <c r="M3" s="35"/>
      <c r="N3" s="35"/>
      <c r="O3" s="35"/>
      <c r="P3" s="35"/>
      <c r="Q3" s="35"/>
      <c r="R3" s="35"/>
      <c r="S3" s="21"/>
      <c r="T3" s="39"/>
      <c r="U3" s="1"/>
      <c r="V3" s="1"/>
    </row>
    <row r="4" ht="14.25" customHeight="1">
      <c r="A4" s="41"/>
      <c r="B4" s="42"/>
      <c r="C4" s="42"/>
      <c r="D4" s="1"/>
      <c r="E4" s="1"/>
      <c r="F4" s="1"/>
      <c r="G4" s="50" t="str">
        <f>'F Population'!N6</f>
        <v>2025 - 26</v>
      </c>
      <c r="H4" s="52"/>
      <c r="I4" s="50" t="str">
        <f>'F Population'!P6</f>
        <v>2026 - 27</v>
      </c>
      <c r="J4" s="52"/>
      <c r="K4" s="50" t="str">
        <f>'F Population'!U6</f>
        <v>2027 - 28</v>
      </c>
      <c r="L4" s="52"/>
      <c r="M4" s="50" t="str">
        <f>'F Population'!W6</f>
        <v>2028 - 29</v>
      </c>
      <c r="N4" s="52"/>
      <c r="O4" s="50" t="str">
        <f>'F Population'!Y6</f>
        <v>2029 - 30</v>
      </c>
      <c r="P4" s="52"/>
      <c r="Q4" s="50" t="str">
        <f>'F Population'!AA6</f>
        <v>2030 - 31</v>
      </c>
      <c r="R4" s="65"/>
      <c r="S4" s="50" t="str">
        <f>'F Population'!AC6</f>
        <v>2031 - 32</v>
      </c>
      <c r="T4" s="1"/>
      <c r="U4" s="1"/>
      <c r="V4" s="1"/>
    </row>
    <row r="5" ht="4.5" customHeight="1">
      <c r="A5" s="67"/>
      <c r="B5" s="15"/>
      <c r="C5" s="1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ht="15.0" customHeight="1">
      <c r="A6" s="41" t="s">
        <v>18</v>
      </c>
      <c r="B6" s="42" t="s">
        <v>20</v>
      </c>
      <c r="C6" s="74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ht="4.5" customHeight="1">
      <c r="A7" s="67"/>
      <c r="B7" s="15"/>
      <c r="C7" s="1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ht="12.75" customHeight="1">
      <c r="A8" s="67"/>
      <c r="B8" s="15"/>
      <c r="C8" s="15" t="s">
        <v>23</v>
      </c>
      <c r="D8" s="1"/>
      <c r="E8" s="1"/>
      <c r="F8" s="1"/>
      <c r="G8" s="80">
        <f>'F Population'!N20</f>
        <v>1846</v>
      </c>
      <c r="H8" s="81"/>
      <c r="I8" s="80">
        <f>'F Population'!P20</f>
        <v>1988</v>
      </c>
      <c r="J8" s="81"/>
      <c r="K8" s="80">
        <f>'F Population'!U20</f>
        <v>2133</v>
      </c>
      <c r="L8" s="81"/>
      <c r="M8" s="80">
        <f>'F Population'!W20</f>
        <v>2166</v>
      </c>
      <c r="N8" s="81"/>
      <c r="O8" s="80">
        <f>'F Population'!Y20</f>
        <v>2238</v>
      </c>
      <c r="P8" s="81"/>
      <c r="Q8" s="80">
        <f>'F Population'!AA20</f>
        <v>2256</v>
      </c>
      <c r="R8" s="81"/>
      <c r="S8" s="80">
        <f>'F Population'!AC20</f>
        <v>2258</v>
      </c>
      <c r="T8" s="1"/>
      <c r="U8" s="1"/>
      <c r="V8" s="1"/>
    </row>
    <row r="9" ht="19.5" customHeight="1">
      <c r="A9" s="67"/>
      <c r="B9" s="15"/>
      <c r="C9" s="15" t="s">
        <v>26</v>
      </c>
      <c r="D9" s="1"/>
      <c r="E9" s="1"/>
      <c r="F9" s="1"/>
      <c r="G9" s="86">
        <f>-'E Budg CY'!L8/'E Budg CY'!L6</f>
        <v>0.5030000064</v>
      </c>
      <c r="H9" s="88"/>
      <c r="I9" s="86">
        <f>-'E Budg CY'!F8/'E Budg CY'!F6</f>
        <v>0.4454970566</v>
      </c>
      <c r="J9" s="88"/>
      <c r="K9" s="86">
        <f>-'P Fcast 5yr'!I8/'P Fcast 5yr'!I7</f>
        <v>0.5149576254</v>
      </c>
      <c r="L9" s="88"/>
      <c r="M9" s="86">
        <f>-'P Fcast 5yr'!K8/'P Fcast 5yr'!K7</f>
        <v>0.5306321637</v>
      </c>
      <c r="N9" s="88"/>
      <c r="O9" s="86">
        <f>-'P Fcast 5yr'!M8/'P Fcast 5yr'!M7</f>
        <v>0.534615472</v>
      </c>
      <c r="P9" s="88"/>
      <c r="Q9" s="86">
        <f>-'P Fcast 5yr'!O8/'P Fcast 5yr'!O7</f>
        <v>0.5438148748</v>
      </c>
      <c r="R9" s="88"/>
      <c r="S9" s="86">
        <f>-'P Fcast 5yr'!Q8/'P Fcast 5yr'!Q7</f>
        <v>0.549050633</v>
      </c>
      <c r="T9" s="1"/>
      <c r="U9" s="1"/>
      <c r="V9" s="1"/>
    </row>
    <row r="10" ht="6.0" customHeight="1">
      <c r="A10" s="67"/>
      <c r="B10" s="15"/>
      <c r="C10" s="15"/>
      <c r="D10" s="1"/>
      <c r="E10" s="1"/>
      <c r="F10" s="1"/>
      <c r="G10" s="99"/>
      <c r="H10" s="15"/>
      <c r="I10" s="99"/>
      <c r="J10" s="15"/>
      <c r="K10" s="99"/>
      <c r="L10" s="15"/>
      <c r="M10" s="99"/>
      <c r="N10" s="15"/>
      <c r="O10" s="99"/>
      <c r="P10" s="15"/>
      <c r="Q10" s="99"/>
      <c r="R10" s="15"/>
      <c r="S10" s="99"/>
      <c r="T10" s="1"/>
      <c r="U10" s="1"/>
      <c r="V10" s="1"/>
    </row>
    <row r="11" ht="3.0" customHeight="1">
      <c r="A11" s="67"/>
      <c r="B11" s="15"/>
      <c r="C11" s="15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ht="18.75" customHeight="1">
      <c r="A12" s="15"/>
      <c r="B12" s="15"/>
      <c r="C12" s="15" t="s">
        <v>35</v>
      </c>
      <c r="D12" s="1"/>
      <c r="E12" s="1"/>
      <c r="F12" s="1"/>
      <c r="G12" s="81">
        <f>G54-G16-G14-G36</f>
        <v>31313758</v>
      </c>
      <c r="H12" s="81"/>
      <c r="I12" s="81">
        <f>I54-I16-I14-I36</f>
        <v>37649923.89</v>
      </c>
      <c r="J12" s="81"/>
      <c r="K12" s="81">
        <f>K54-K16-K14-K36</f>
        <v>37381735.02</v>
      </c>
      <c r="L12" s="81"/>
      <c r="M12" s="81">
        <f>M54-M16-M14-M36</f>
        <v>37609916.27</v>
      </c>
      <c r="N12" s="81"/>
      <c r="O12" s="81">
        <f>O54-O16-O14-O36</f>
        <v>38676358.81</v>
      </c>
      <c r="P12" s="81"/>
      <c r="Q12" s="81">
        <f>Q54-Q16-Q14-Q36</f>
        <v>39167212.68</v>
      </c>
      <c r="R12" s="81"/>
      <c r="S12" s="81">
        <f>S54-S16-S14-S36</f>
        <v>39684663.39</v>
      </c>
      <c r="T12" s="15"/>
      <c r="U12" s="1"/>
      <c r="V12" s="1"/>
    </row>
    <row r="13" ht="4.5" customHeight="1">
      <c r="A13" s="15"/>
      <c r="B13" s="15"/>
      <c r="C13" s="15"/>
      <c r="D13" s="1"/>
      <c r="E13" s="1"/>
      <c r="F13" s="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15"/>
      <c r="U13" s="1"/>
      <c r="V13" s="1"/>
    </row>
    <row r="14" ht="14.25" customHeight="1">
      <c r="A14" s="15"/>
      <c r="B14" s="15"/>
      <c r="C14" s="15" t="s">
        <v>43</v>
      </c>
      <c r="D14" s="1"/>
      <c r="E14" s="1"/>
      <c r="F14" s="1"/>
      <c r="G14" s="81">
        <f>'P Fcast 5yr'!E16</f>
        <v>9417500</v>
      </c>
      <c r="H14" s="81"/>
      <c r="I14" s="81">
        <f>'P Fcast 5yr'!G16</f>
        <v>10044010.32</v>
      </c>
      <c r="J14" s="81"/>
      <c r="K14" s="81">
        <f>'P Fcast 5yr'!I16</f>
        <v>10980135.38</v>
      </c>
      <c r="L14" s="81"/>
      <c r="M14" s="81">
        <f>'P Fcast 5yr'!K16</f>
        <v>11360832.42</v>
      </c>
      <c r="N14" s="81"/>
      <c r="O14" s="81">
        <f>'P Fcast 5yr'!M16</f>
        <v>11960663.86</v>
      </c>
      <c r="P14" s="81"/>
      <c r="Q14" s="81">
        <f>'P Fcast 5yr'!O16</f>
        <v>12285314.75</v>
      </c>
      <c r="R14" s="81"/>
      <c r="S14" s="81">
        <f>'P Fcast 5yr'!Q16</f>
        <v>12529434.13</v>
      </c>
      <c r="T14" s="15"/>
      <c r="U14" s="1"/>
      <c r="V14" s="1"/>
    </row>
    <row r="15" ht="4.5" customHeight="1">
      <c r="A15" s="15"/>
      <c r="B15" s="15"/>
      <c r="C15" s="15"/>
      <c r="D15" s="1"/>
      <c r="E15" s="1"/>
      <c r="F15" s="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15"/>
      <c r="U15" s="1"/>
      <c r="V15" s="1"/>
    </row>
    <row r="16" ht="14.25" customHeight="1">
      <c r="A16" s="15"/>
      <c r="B16" s="15"/>
      <c r="C16" s="15" t="s">
        <v>48</v>
      </c>
      <c r="D16" s="1"/>
      <c r="E16" s="1"/>
      <c r="F16" s="1"/>
      <c r="G16" s="81">
        <f>'P Fcast 5yr'!E17</f>
        <v>6623000</v>
      </c>
      <c r="H16" s="81"/>
      <c r="I16" s="81">
        <f>'P Fcast 5yr'!G17</f>
        <v>5542000</v>
      </c>
      <c r="J16" s="81"/>
      <c r="K16" s="81">
        <f>'P Fcast 5yr'!I17</f>
        <v>5677741.48</v>
      </c>
      <c r="L16" s="81"/>
      <c r="M16" s="81">
        <f>'P Fcast 5yr'!K17</f>
        <v>5777741.48</v>
      </c>
      <c r="N16" s="81"/>
      <c r="O16" s="81">
        <f>'P Fcast 5yr'!M17</f>
        <v>5877741.48</v>
      </c>
      <c r="P16" s="81"/>
      <c r="Q16" s="81">
        <f>'P Fcast 5yr'!O17</f>
        <v>5977741.48</v>
      </c>
      <c r="R16" s="81"/>
      <c r="S16" s="81">
        <f>'P Fcast 5yr'!Q17</f>
        <v>6077741.48</v>
      </c>
      <c r="T16" s="129"/>
      <c r="U16" s="1"/>
      <c r="V16" s="1"/>
    </row>
    <row r="17" ht="4.5" customHeight="1">
      <c r="A17" s="15"/>
      <c r="B17" s="15"/>
      <c r="C17" s="15"/>
      <c r="D17" s="1"/>
      <c r="E17" s="1"/>
      <c r="F17" s="1"/>
      <c r="G17" s="99"/>
      <c r="H17" s="15"/>
      <c r="I17" s="99"/>
      <c r="J17" s="15"/>
      <c r="K17" s="99"/>
      <c r="L17" s="15"/>
      <c r="M17" s="99"/>
      <c r="N17" s="15"/>
      <c r="O17" s="99"/>
      <c r="P17" s="15"/>
      <c r="Q17" s="99"/>
      <c r="R17" s="15"/>
      <c r="S17" s="99"/>
      <c r="T17" s="15"/>
      <c r="U17" s="1"/>
      <c r="V17" s="1"/>
    </row>
    <row r="18" ht="20.25" customHeight="1">
      <c r="A18" s="15"/>
      <c r="B18" s="15"/>
      <c r="C18" s="15" t="s">
        <v>52</v>
      </c>
      <c r="D18" s="1"/>
      <c r="E18" s="1"/>
      <c r="F18" s="1"/>
      <c r="G18" s="81">
        <f>SUM(G12:G16)</f>
        <v>47354258</v>
      </c>
      <c r="H18" s="81"/>
      <c r="I18" s="81">
        <f>SUM(I12:I16)</f>
        <v>53235934.21</v>
      </c>
      <c r="J18" s="81"/>
      <c r="K18" s="81">
        <f>SUM(K12:K16)</f>
        <v>54039611.88</v>
      </c>
      <c r="L18" s="81"/>
      <c r="M18" s="81">
        <f>SUM(M12:M16)</f>
        <v>54748490.17</v>
      </c>
      <c r="N18" s="81"/>
      <c r="O18" s="81">
        <f>SUM(O12:O16)</f>
        <v>56514764.15</v>
      </c>
      <c r="P18" s="81"/>
      <c r="Q18" s="81">
        <f>SUM(Q12:Q16)</f>
        <v>57430268.91</v>
      </c>
      <c r="R18" s="81"/>
      <c r="S18" s="81">
        <f>SUM(S12:S16)</f>
        <v>58291839</v>
      </c>
      <c r="T18" s="15"/>
      <c r="U18" s="1"/>
      <c r="V18" s="1"/>
    </row>
    <row r="19" ht="6.75" customHeight="1">
      <c r="A19" s="15"/>
      <c r="B19" s="15"/>
      <c r="C19" s="15"/>
      <c r="D19" s="1"/>
      <c r="E19" s="1"/>
      <c r="F19" s="1"/>
      <c r="G19" s="99"/>
      <c r="H19" s="15"/>
      <c r="I19" s="99"/>
      <c r="J19" s="15"/>
      <c r="K19" s="99"/>
      <c r="L19" s="15"/>
      <c r="M19" s="99"/>
      <c r="N19" s="15"/>
      <c r="O19" s="99"/>
      <c r="P19" s="15"/>
      <c r="Q19" s="99"/>
      <c r="R19" s="15"/>
      <c r="S19" s="99"/>
      <c r="T19" s="15"/>
      <c r="U19" s="1"/>
      <c r="V19" s="1"/>
    </row>
    <row r="20" ht="19.5" customHeight="1">
      <c r="A20" s="15"/>
      <c r="B20" s="15"/>
      <c r="C20" s="1" t="s">
        <v>58</v>
      </c>
      <c r="D20" s="1"/>
      <c r="E20" s="1"/>
      <c r="F20" s="1"/>
      <c r="G20" s="81">
        <f>-'P Fcast 5yr'!E24-'P Fcast 5yr'!E25</f>
        <v>-39297411.71</v>
      </c>
      <c r="H20" s="1"/>
      <c r="I20" s="81">
        <f>-'P Fcast 5yr'!G24-'P Fcast 5yr'!G25</f>
        <v>-40514830.83</v>
      </c>
      <c r="J20" s="1"/>
      <c r="K20" s="81">
        <f>-'P Fcast 5yr'!I24-'P Fcast 5yr'!I25</f>
        <v>-44329292</v>
      </c>
      <c r="L20" s="1"/>
      <c r="M20" s="81">
        <f>-'P Fcast 5yr'!K24-'P Fcast 5yr'!K25</f>
        <v>-45761825.57</v>
      </c>
      <c r="N20" s="1"/>
      <c r="O20" s="81">
        <f>-'P Fcast 5yr'!M24-'P Fcast 5yr'!M25</f>
        <v>-47432374.71</v>
      </c>
      <c r="P20" s="1"/>
      <c r="Q20" s="81">
        <f>-'P Fcast 5yr'!O24-'P Fcast 5yr'!O25</f>
        <v>-48829514.64</v>
      </c>
      <c r="R20" s="1"/>
      <c r="S20" s="81">
        <f>-'P Fcast 5yr'!Q24-'P Fcast 5yr'!Q25</f>
        <v>-50171930</v>
      </c>
      <c r="T20" s="15"/>
      <c r="U20" s="1"/>
      <c r="V20" s="1"/>
    </row>
    <row r="21" ht="4.5" customHeight="1">
      <c r="A21" s="15"/>
      <c r="B21" s="1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5"/>
      <c r="U21" s="1"/>
      <c r="V21" s="1"/>
    </row>
    <row r="22" ht="15.75" customHeight="1">
      <c r="A22" s="15"/>
      <c r="B22" s="15"/>
      <c r="C22" s="1" t="s">
        <v>70</v>
      </c>
      <c r="D22" s="1"/>
      <c r="E22" s="1"/>
      <c r="F22" s="1"/>
      <c r="G22" s="81">
        <f>-'P Fcast 5yr'!E27</f>
        <v>-6339780</v>
      </c>
      <c r="H22" s="15"/>
      <c r="I22" s="81">
        <f>-'P Fcast 5yr'!G27</f>
        <v>-6801342</v>
      </c>
      <c r="J22" s="15"/>
      <c r="K22" s="81">
        <f>-'P Fcast 5yr'!I27</f>
        <v>-6750000</v>
      </c>
      <c r="L22" s="15"/>
      <c r="M22" s="81">
        <f>-'P Fcast 5yr'!K27</f>
        <v>-6950862.342</v>
      </c>
      <c r="N22" s="15"/>
      <c r="O22" s="81">
        <f>-'P Fcast 5yr'!M27</f>
        <v>-7195682.881</v>
      </c>
      <c r="P22" s="15"/>
      <c r="Q22" s="81">
        <f>-'P Fcast 5yr'!O27</f>
        <v>-7393371.247</v>
      </c>
      <c r="R22" s="15"/>
      <c r="S22" s="81">
        <f>-'P Fcast 5yr'!Q27</f>
        <v>-7580221.008</v>
      </c>
      <c r="T22" s="15"/>
      <c r="U22" s="1"/>
      <c r="V22" s="1"/>
    </row>
    <row r="23" ht="4.5" customHeight="1">
      <c r="A23" s="15"/>
      <c r="B23" s="15"/>
      <c r="C23" s="1"/>
      <c r="D23" s="1"/>
      <c r="E23" s="1"/>
      <c r="F23" s="1"/>
      <c r="G23" s="81"/>
      <c r="H23" s="15"/>
      <c r="I23" s="81"/>
      <c r="J23" s="15"/>
      <c r="K23" s="81"/>
      <c r="L23" s="15"/>
      <c r="M23" s="81"/>
      <c r="N23" s="15"/>
      <c r="O23" s="81"/>
      <c r="P23" s="15"/>
      <c r="Q23" s="81"/>
      <c r="R23" s="15"/>
      <c r="S23" s="81"/>
      <c r="T23" s="15"/>
      <c r="U23" s="1"/>
      <c r="V23" s="1"/>
    </row>
    <row r="24" ht="16.5" customHeight="1">
      <c r="A24" s="15"/>
      <c r="B24" s="15"/>
      <c r="C24" s="15" t="s">
        <v>76</v>
      </c>
      <c r="D24" s="1"/>
      <c r="E24" s="1"/>
      <c r="F24" s="1"/>
      <c r="G24" s="81">
        <f>-'P Fcast 5yr'!E33-'P Fcast 5yr'!E29-'P Fcast 5yr'!E30-'P Fcast 5yr'!E28</f>
        <v>-8329731.288</v>
      </c>
      <c r="H24" s="81"/>
      <c r="I24" s="81">
        <f>-'P Fcast 5yr'!G33-'P Fcast 5yr'!G29-'P Fcast 5yr'!G30-'P Fcast 5yr'!G28</f>
        <v>-8873428.172</v>
      </c>
      <c r="J24" s="81"/>
      <c r="K24" s="81">
        <f>-'P Fcast 5yr'!I33-'P Fcast 5yr'!I29-'P Fcast 5yr'!I30-'P Fcast 5yr'!I28</f>
        <v>-8688840.724</v>
      </c>
      <c r="L24" s="81"/>
      <c r="M24" s="81">
        <f>-'P Fcast 5yr'!K33-'P Fcast 5yr'!K29-'P Fcast 5yr'!K30-'P Fcast 5yr'!K28</f>
        <v>-8937918.251</v>
      </c>
      <c r="N24" s="81"/>
      <c r="O24" s="81">
        <f>-'P Fcast 5yr'!M33-'P Fcast 5yr'!M29-'P Fcast 5yr'!M30-'P Fcast 5yr'!M28</f>
        <v>-9277909.439</v>
      </c>
      <c r="P24" s="81"/>
      <c r="Q24" s="81">
        <f>-'P Fcast 5yr'!O33-'P Fcast 5yr'!O29-'P Fcast 5yr'!O30-'P Fcast 5yr'!O28</f>
        <v>-9474168.228</v>
      </c>
      <c r="R24" s="81"/>
      <c r="S24" s="81">
        <f>-'P Fcast 5yr'!Q33-'P Fcast 5yr'!Q29-'P Fcast 5yr'!Q30-'P Fcast 5yr'!Q28</f>
        <v>-9664074.856</v>
      </c>
      <c r="T24" s="15"/>
      <c r="U24" s="1"/>
      <c r="V24" s="1"/>
    </row>
    <row r="25" ht="5.25" customHeight="1">
      <c r="A25" s="1"/>
      <c r="B25" s="15"/>
      <c r="C25" s="15"/>
      <c r="D25" s="1"/>
      <c r="E25" s="1"/>
      <c r="F25" s="1"/>
      <c r="G25" s="99"/>
      <c r="H25" s="15"/>
      <c r="I25" s="99"/>
      <c r="J25" s="15"/>
      <c r="K25" s="99"/>
      <c r="L25" s="15"/>
      <c r="M25" s="99"/>
      <c r="N25" s="15"/>
      <c r="O25" s="99"/>
      <c r="P25" s="15"/>
      <c r="Q25" s="99"/>
      <c r="R25" s="15"/>
      <c r="S25" s="99"/>
      <c r="T25" s="1"/>
      <c r="U25" s="1"/>
      <c r="V25" s="1"/>
    </row>
    <row r="26" ht="21.0" customHeight="1">
      <c r="A26" s="1"/>
      <c r="B26" s="1"/>
      <c r="C26" s="1" t="s">
        <v>84</v>
      </c>
      <c r="D26" s="1"/>
      <c r="E26" s="1"/>
      <c r="F26" s="1"/>
      <c r="G26" s="81">
        <f>SUM(G20:G24)</f>
        <v>-53966923</v>
      </c>
      <c r="H26" s="81"/>
      <c r="I26" s="81">
        <f>SUM(I20:I24)</f>
        <v>-56189601</v>
      </c>
      <c r="J26" s="81"/>
      <c r="K26" s="81">
        <f>SUM(K20:K24)</f>
        <v>-59768132.72</v>
      </c>
      <c r="L26" s="81"/>
      <c r="M26" s="81">
        <f>SUM(M20:M24)</f>
        <v>-61650606.17</v>
      </c>
      <c r="N26" s="81"/>
      <c r="O26" s="81">
        <f>SUM(O20:O24)</f>
        <v>-63905967.03</v>
      </c>
      <c r="P26" s="81"/>
      <c r="Q26" s="81">
        <f>SUM(Q20:Q24)</f>
        <v>-65697054.11</v>
      </c>
      <c r="R26" s="81"/>
      <c r="S26" s="81">
        <f>SUM(S20:S24)</f>
        <v>-67416225.86</v>
      </c>
      <c r="T26" s="1"/>
      <c r="U26" s="1"/>
      <c r="V26" s="1"/>
    </row>
    <row r="27" ht="4.5" customHeight="1">
      <c r="A27" s="15"/>
      <c r="B27" s="15"/>
      <c r="C27" s="1"/>
      <c r="D27" s="1"/>
      <c r="E27" s="1"/>
      <c r="F27" s="1"/>
      <c r="G27" s="99"/>
      <c r="H27" s="15"/>
      <c r="I27" s="99"/>
      <c r="J27" s="15"/>
      <c r="K27" s="99"/>
      <c r="L27" s="15"/>
      <c r="M27" s="99"/>
      <c r="N27" s="15"/>
      <c r="O27" s="99"/>
      <c r="P27" s="15"/>
      <c r="Q27" s="99"/>
      <c r="R27" s="15"/>
      <c r="S27" s="99"/>
      <c r="T27" s="15"/>
      <c r="U27" s="1"/>
      <c r="V27" s="1"/>
    </row>
    <row r="28" ht="4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ht="17.25" customHeight="1">
      <c r="A29" s="1"/>
      <c r="B29" s="1"/>
      <c r="C29" s="15" t="s">
        <v>89</v>
      </c>
      <c r="D29" s="1"/>
      <c r="E29" s="1"/>
      <c r="F29" s="1"/>
      <c r="G29" s="81">
        <f>'P Fcast 5yr'!E38+'P Fcast 5yr'!E39</f>
        <v>627229</v>
      </c>
      <c r="H29" s="1"/>
      <c r="I29" s="81">
        <f>'P Fcast 5yr'!G38+'P Fcast 5yr'!G39</f>
        <v>2564702</v>
      </c>
      <c r="J29" s="1"/>
      <c r="K29" s="81">
        <f>'P Fcast 5yr'!I38+'P Fcast 5yr'!I39</f>
        <v>4460000</v>
      </c>
      <c r="L29" s="1"/>
      <c r="M29" s="81">
        <f>'P Fcast 5yr'!K38+'P Fcast 5yr'!K39</f>
        <v>1800000</v>
      </c>
      <c r="N29" s="1"/>
      <c r="O29" s="81">
        <f>'P Fcast 5yr'!M38+'P Fcast 5yr'!M39</f>
        <v>500000</v>
      </c>
      <c r="P29" s="1"/>
      <c r="Q29" s="81">
        <f>'P Fcast 5yr'!O38+'P Fcast 5yr'!O39</f>
        <v>500000</v>
      </c>
      <c r="R29" s="1"/>
      <c r="S29" s="81">
        <f>'P Fcast 5yr'!Q38+'P Fcast 5yr'!Q39</f>
        <v>500000</v>
      </c>
      <c r="T29" s="1"/>
      <c r="U29" s="1"/>
      <c r="V29" s="1"/>
    </row>
    <row r="30" ht="4.5" customHeight="1">
      <c r="A30" s="1"/>
      <c r="B30" s="1"/>
      <c r="C30" s="1"/>
      <c r="D30" s="1"/>
      <c r="E30" s="1"/>
      <c r="F30" s="1"/>
      <c r="G30" s="99"/>
      <c r="H30" s="15"/>
      <c r="I30" s="99"/>
      <c r="J30" s="15"/>
      <c r="K30" s="99"/>
      <c r="L30" s="15"/>
      <c r="M30" s="99"/>
      <c r="N30" s="15"/>
      <c r="O30" s="99"/>
      <c r="P30" s="15"/>
      <c r="Q30" s="99"/>
      <c r="R30" s="15"/>
      <c r="S30" s="99"/>
      <c r="T30" s="1"/>
      <c r="U30" s="1"/>
      <c r="V30" s="1"/>
    </row>
    <row r="31" ht="4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ht="16.5" customHeight="1">
      <c r="A32" s="15"/>
      <c r="B32" s="15"/>
      <c r="C32" s="1" t="s">
        <v>97</v>
      </c>
      <c r="D32" s="1"/>
      <c r="E32" s="1"/>
      <c r="F32" s="1"/>
      <c r="G32" s="157">
        <f>G18+G26+G29</f>
        <v>-5985436</v>
      </c>
      <c r="H32" s="157"/>
      <c r="I32" s="157">
        <f>I18+I26+I29</f>
        <v>-388964.789</v>
      </c>
      <c r="J32" s="157"/>
      <c r="K32" s="157">
        <f>K18+K26+K29</f>
        <v>-1268520.842</v>
      </c>
      <c r="L32" s="157"/>
      <c r="M32" s="157">
        <f>M18+M26+M29</f>
        <v>-5102115.992</v>
      </c>
      <c r="N32" s="157"/>
      <c r="O32" s="157">
        <f>O18+O26+O29</f>
        <v>-6891202.873</v>
      </c>
      <c r="P32" s="157"/>
      <c r="Q32" s="157">
        <f>Q18+Q26+Q29</f>
        <v>-7766785.201</v>
      </c>
      <c r="R32" s="157"/>
      <c r="S32" s="157">
        <f>S18+S26+S29</f>
        <v>-8624386.857</v>
      </c>
      <c r="T32" s="15"/>
      <c r="U32" s="1"/>
      <c r="V32" s="1"/>
    </row>
    <row r="33" ht="5.25" customHeight="1">
      <c r="A33" s="1"/>
      <c r="B33" s="15"/>
      <c r="C33" s="15"/>
      <c r="D33" s="1"/>
      <c r="E33" s="1"/>
      <c r="F33" s="1"/>
      <c r="G33" s="99"/>
      <c r="H33" s="15"/>
      <c r="I33" s="99"/>
      <c r="J33" s="15"/>
      <c r="K33" s="99"/>
      <c r="L33" s="15"/>
      <c r="M33" s="99"/>
      <c r="N33" s="15"/>
      <c r="O33" s="99"/>
      <c r="P33" s="15"/>
      <c r="Q33" s="99"/>
      <c r="R33" s="15"/>
      <c r="S33" s="99"/>
      <c r="T33" s="1"/>
      <c r="U33" s="1"/>
      <c r="V33" s="1"/>
    </row>
    <row r="34" ht="4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ht="17.25" customHeight="1">
      <c r="A35" s="161" t="s">
        <v>103</v>
      </c>
      <c r="B35" s="162" t="s">
        <v>105</v>
      </c>
      <c r="C35" s="163"/>
      <c r="D35" s="164"/>
      <c r="E35" s="164"/>
      <c r="F35" s="164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6"/>
      <c r="U35" s="1"/>
      <c r="V35" s="1"/>
    </row>
    <row r="36" ht="21.0" customHeight="1">
      <c r="A36" s="166"/>
      <c r="B36" s="166"/>
      <c r="C36" s="166" t="s">
        <v>35</v>
      </c>
      <c r="D36" s="164"/>
      <c r="E36" s="164"/>
      <c r="F36" s="164"/>
      <c r="G36" s="165">
        <f>'P Fcast 5yr'!E13</f>
        <v>15377881</v>
      </c>
      <c r="H36" s="165"/>
      <c r="I36" s="165">
        <f>'P Fcast 5yr'!G13</f>
        <v>17808496</v>
      </c>
      <c r="J36" s="165"/>
      <c r="K36" s="165">
        <f>'P Fcast 5yr'!I13</f>
        <v>18031822</v>
      </c>
      <c r="L36" s="165"/>
      <c r="M36" s="165">
        <f>'P Fcast 5yr'!K13</f>
        <v>18308000</v>
      </c>
      <c r="N36" s="165"/>
      <c r="O36" s="165">
        <f>'P Fcast 5yr'!M13</f>
        <v>18622000</v>
      </c>
      <c r="P36" s="165"/>
      <c r="Q36" s="165">
        <f>'P Fcast 5yr'!O13</f>
        <v>19025000</v>
      </c>
      <c r="R36" s="165"/>
      <c r="S36" s="165">
        <f>'P Fcast 5yr'!Q13</f>
        <v>19407000</v>
      </c>
      <c r="T36" s="166"/>
      <c r="U36" s="1"/>
      <c r="V36" s="1"/>
    </row>
    <row r="37" ht="18.0" customHeight="1">
      <c r="A37" s="166"/>
      <c r="B37" s="166"/>
      <c r="C37" s="166" t="s">
        <v>111</v>
      </c>
      <c r="D37" s="164"/>
      <c r="E37" s="164"/>
      <c r="F37" s="164"/>
      <c r="G37" s="165">
        <f>-'P Fcast 5yr'!E26</f>
        <v>-8377045</v>
      </c>
      <c r="H37" s="165"/>
      <c r="I37" s="165">
        <f>-'P Fcast 5yr'!G26</f>
        <v>-8415372</v>
      </c>
      <c r="J37" s="165"/>
      <c r="K37" s="165">
        <f>-'P Fcast 5yr'!I26</f>
        <v>-8556000</v>
      </c>
      <c r="L37" s="165"/>
      <c r="M37" s="165">
        <f>-'P Fcast 5yr'!K26</f>
        <v>-8448000</v>
      </c>
      <c r="N37" s="165"/>
      <c r="O37" s="165">
        <f>-'P Fcast 5yr'!M26</f>
        <v>-8330000</v>
      </c>
      <c r="P37" s="165"/>
      <c r="Q37" s="165">
        <f>-'P Fcast 5yr'!O26</f>
        <v>-8360000</v>
      </c>
      <c r="R37" s="165"/>
      <c r="S37" s="165">
        <f>-'P Fcast 5yr'!Q26</f>
        <v>-8580000</v>
      </c>
      <c r="T37" s="166"/>
      <c r="U37" s="1"/>
      <c r="V37" s="1"/>
    </row>
    <row r="38" ht="9.75" customHeight="1">
      <c r="A38" s="166"/>
      <c r="B38" s="166"/>
      <c r="C38" s="166"/>
      <c r="D38" s="164"/>
      <c r="E38" s="164"/>
      <c r="F38" s="164"/>
      <c r="G38" s="171"/>
      <c r="H38" s="166"/>
      <c r="I38" s="171"/>
      <c r="J38" s="166"/>
      <c r="K38" s="171"/>
      <c r="L38" s="166"/>
      <c r="M38" s="171"/>
      <c r="N38" s="166"/>
      <c r="O38" s="171"/>
      <c r="P38" s="166"/>
      <c r="Q38" s="171"/>
      <c r="R38" s="166"/>
      <c r="S38" s="171"/>
      <c r="T38" s="166"/>
      <c r="U38" s="1"/>
      <c r="V38" s="1"/>
    </row>
    <row r="39" ht="18.0" customHeight="1">
      <c r="A39" s="166"/>
      <c r="B39" s="166"/>
      <c r="C39" s="166" t="s">
        <v>115</v>
      </c>
      <c r="D39" s="164"/>
      <c r="E39" s="164"/>
      <c r="F39" s="164"/>
      <c r="G39" s="172">
        <f>G36+G37</f>
        <v>7000836</v>
      </c>
      <c r="H39" s="172"/>
      <c r="I39" s="172">
        <f>I36+I37</f>
        <v>9393124</v>
      </c>
      <c r="J39" s="172"/>
      <c r="K39" s="172">
        <f>K36+K37</f>
        <v>9475822</v>
      </c>
      <c r="L39" s="172"/>
      <c r="M39" s="172">
        <f>M36+M37</f>
        <v>9860000</v>
      </c>
      <c r="N39" s="172"/>
      <c r="O39" s="172">
        <f>O36+O37</f>
        <v>10292000</v>
      </c>
      <c r="P39" s="172"/>
      <c r="Q39" s="172">
        <f>Q36+Q37</f>
        <v>10665000</v>
      </c>
      <c r="R39" s="172"/>
      <c r="S39" s="172">
        <f>S36+S37</f>
        <v>10827000</v>
      </c>
      <c r="T39" s="166"/>
      <c r="U39" s="1"/>
      <c r="V39" s="1"/>
    </row>
    <row r="40" ht="5.25" customHeight="1">
      <c r="A40" s="166"/>
      <c r="B40" s="166"/>
      <c r="C40" s="166"/>
      <c r="D40" s="164"/>
      <c r="E40" s="164"/>
      <c r="F40" s="164"/>
      <c r="G40" s="171"/>
      <c r="H40" s="166"/>
      <c r="I40" s="171"/>
      <c r="J40" s="166"/>
      <c r="K40" s="171"/>
      <c r="L40" s="166"/>
      <c r="M40" s="171"/>
      <c r="N40" s="166"/>
      <c r="O40" s="171"/>
      <c r="P40" s="166"/>
      <c r="Q40" s="171"/>
      <c r="R40" s="166"/>
      <c r="S40" s="171"/>
      <c r="T40" s="166"/>
      <c r="U40" s="1"/>
      <c r="V40" s="1"/>
    </row>
    <row r="41" ht="6.75" customHeight="1">
      <c r="A41" s="166"/>
      <c r="B41" s="166"/>
      <c r="C41" s="166"/>
      <c r="D41" s="164"/>
      <c r="E41" s="164"/>
      <c r="F41" s="164"/>
      <c r="G41" s="165"/>
      <c r="H41" s="166"/>
      <c r="I41" s="165"/>
      <c r="J41" s="166"/>
      <c r="K41" s="165"/>
      <c r="L41" s="166"/>
      <c r="M41" s="165"/>
      <c r="N41" s="166"/>
      <c r="O41" s="165"/>
      <c r="P41" s="166"/>
      <c r="Q41" s="165"/>
      <c r="R41" s="166"/>
      <c r="S41" s="165"/>
      <c r="T41" s="166"/>
      <c r="U41" s="1"/>
      <c r="V41" s="1"/>
    </row>
    <row r="42" ht="14.25" customHeight="1">
      <c r="A42" s="41" t="s">
        <v>121</v>
      </c>
      <c r="B42" s="42" t="s">
        <v>122</v>
      </c>
      <c r="C42" s="42"/>
      <c r="D42" s="1"/>
      <c r="E42" s="1"/>
      <c r="F42" s="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15"/>
      <c r="U42" s="1"/>
      <c r="V42" s="1"/>
    </row>
    <row r="43" ht="3.75" customHeight="1">
      <c r="A43" s="41"/>
      <c r="B43" s="42"/>
      <c r="C43" s="42"/>
      <c r="D43" s="1"/>
      <c r="E43" s="1"/>
      <c r="F43" s="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15"/>
      <c r="U43" s="1"/>
      <c r="V43" s="1"/>
    </row>
    <row r="44" ht="14.25" customHeight="1">
      <c r="A44" s="41"/>
      <c r="B44" s="42"/>
      <c r="C44" s="15" t="s">
        <v>128</v>
      </c>
      <c r="D44" s="1"/>
      <c r="E44" s="1"/>
      <c r="F44" s="1"/>
      <c r="G44" s="81">
        <f>'P Fcast 5yr'!E42</f>
        <v>5974337</v>
      </c>
      <c r="H44" s="81"/>
      <c r="I44" s="81">
        <f>'P Fcast 5yr'!G42</f>
        <v>4949337.403</v>
      </c>
      <c r="J44" s="81"/>
      <c r="K44" s="81">
        <f>'P Fcast 5yr'!I42</f>
        <v>3896774.598</v>
      </c>
      <c r="L44" s="81"/>
      <c r="M44" s="81">
        <f>'P Fcast 5yr'!K42</f>
        <v>5473209.415</v>
      </c>
      <c r="N44" s="81"/>
      <c r="O44" s="81">
        <f>'P Fcast 5yr'!M42</f>
        <v>5246692.256</v>
      </c>
      <c r="P44" s="81"/>
      <c r="Q44" s="81">
        <f>'P Fcast 5yr'!O42</f>
        <v>5591533.972</v>
      </c>
      <c r="R44" s="81"/>
      <c r="S44" s="81">
        <f>'P Fcast 5yr'!Q42</f>
        <v>3413326.577</v>
      </c>
      <c r="T44" s="15"/>
      <c r="U44" s="1"/>
      <c r="V44" s="1"/>
    </row>
    <row r="45" ht="3.75" customHeight="1">
      <c r="A45" s="41"/>
      <c r="B45" s="42"/>
      <c r="C45" s="42"/>
      <c r="D45" s="1"/>
      <c r="E45" s="1"/>
      <c r="F45" s="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15"/>
      <c r="U45" s="1"/>
      <c r="V45" s="1"/>
    </row>
    <row r="46" ht="14.25" customHeight="1">
      <c r="A46" s="41"/>
      <c r="B46" s="42"/>
      <c r="C46" s="15" t="s">
        <v>80</v>
      </c>
      <c r="D46" s="1"/>
      <c r="E46" s="1"/>
      <c r="F46" s="1"/>
      <c r="G46" s="81">
        <f>'P Fcast 5yr'!E43</f>
        <v>3071226</v>
      </c>
      <c r="H46" s="81"/>
      <c r="I46" s="81">
        <f>'P Fcast 5yr'!G43</f>
        <v>8000000</v>
      </c>
      <c r="J46" s="81"/>
      <c r="K46" s="81">
        <f>'P Fcast 5yr'!I43</f>
        <v>8000000</v>
      </c>
      <c r="L46" s="81"/>
      <c r="M46" s="81">
        <f>'P Fcast 5yr'!K43</f>
        <v>7000000</v>
      </c>
      <c r="N46" s="81"/>
      <c r="O46" s="81">
        <f>'P Fcast 5yr'!M43</f>
        <v>7200000</v>
      </c>
      <c r="P46" s="81"/>
      <c r="Q46" s="81">
        <f>'P Fcast 5yr'!O43</f>
        <v>7063000</v>
      </c>
      <c r="R46" s="81"/>
      <c r="S46" s="81">
        <f>'P Fcast 5yr'!Q43</f>
        <v>3000000</v>
      </c>
      <c r="T46" s="15"/>
      <c r="U46" s="1"/>
      <c r="V46" s="1"/>
    </row>
    <row r="47" ht="4.5" customHeight="1">
      <c r="A47" s="15"/>
      <c r="B47" s="15"/>
      <c r="C47" s="15"/>
      <c r="D47" s="1"/>
      <c r="E47" s="1"/>
      <c r="F47" s="1"/>
      <c r="G47" s="99"/>
      <c r="H47" s="15"/>
      <c r="I47" s="99"/>
      <c r="J47" s="15"/>
      <c r="K47" s="99"/>
      <c r="L47" s="15"/>
      <c r="M47" s="99"/>
      <c r="N47" s="15"/>
      <c r="O47" s="99"/>
      <c r="P47" s="15"/>
      <c r="Q47" s="99"/>
      <c r="R47" s="15"/>
      <c r="S47" s="99"/>
      <c r="T47" s="15"/>
      <c r="U47" s="1"/>
      <c r="V47" s="1"/>
    </row>
    <row r="48" ht="3.75" customHeight="1">
      <c r="A48" s="41"/>
      <c r="B48" s="42"/>
      <c r="C48" s="15"/>
      <c r="D48" s="1"/>
      <c r="E48" s="1"/>
      <c r="F48" s="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15"/>
      <c r="U48" s="1"/>
      <c r="V48" s="1"/>
    </row>
    <row r="49" ht="14.25" customHeight="1">
      <c r="A49" s="41"/>
      <c r="B49" s="42"/>
      <c r="C49" s="15" t="s">
        <v>132</v>
      </c>
      <c r="D49" s="1"/>
      <c r="E49" s="1"/>
      <c r="F49" s="1"/>
      <c r="G49" s="179">
        <f>G44+G46</f>
        <v>9045563</v>
      </c>
      <c r="H49" s="179"/>
      <c r="I49" s="179">
        <f>I44+I46</f>
        <v>12949337.4</v>
      </c>
      <c r="J49" s="179"/>
      <c r="K49" s="179">
        <f>K44+K46</f>
        <v>11896774.6</v>
      </c>
      <c r="L49" s="179"/>
      <c r="M49" s="179">
        <f>M44+M46</f>
        <v>12473209.42</v>
      </c>
      <c r="N49" s="179"/>
      <c r="O49" s="179">
        <f>O44+O46</f>
        <v>12446692.26</v>
      </c>
      <c r="P49" s="179"/>
      <c r="Q49" s="179">
        <f>Q44+Q46</f>
        <v>12654533.97</v>
      </c>
      <c r="R49" s="179"/>
      <c r="S49" s="179">
        <f>S44+S46</f>
        <v>6413326.577</v>
      </c>
      <c r="T49" s="15"/>
      <c r="U49" s="1"/>
      <c r="V49" s="1"/>
    </row>
    <row r="50" ht="4.5" customHeight="1">
      <c r="A50" s="15"/>
      <c r="B50" s="15"/>
      <c r="C50" s="15"/>
      <c r="D50" s="1"/>
      <c r="E50" s="1"/>
      <c r="F50" s="1"/>
      <c r="G50" s="99"/>
      <c r="H50" s="15"/>
      <c r="I50" s="99"/>
      <c r="J50" s="15"/>
      <c r="K50" s="99"/>
      <c r="L50" s="15"/>
      <c r="M50" s="99"/>
      <c r="N50" s="15"/>
      <c r="O50" s="99"/>
      <c r="P50" s="15"/>
      <c r="Q50" s="99"/>
      <c r="R50" s="15"/>
      <c r="S50" s="99"/>
      <c r="T50" s="15"/>
      <c r="U50" s="1"/>
      <c r="V50" s="1"/>
    </row>
    <row r="51" ht="5.25" customHeight="1">
      <c r="A51" s="41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"/>
      <c r="V51" s="1"/>
    </row>
    <row r="52" ht="14.25" customHeight="1">
      <c r="A52" s="181" t="s">
        <v>134</v>
      </c>
      <c r="B52" s="182" t="s">
        <v>135</v>
      </c>
      <c r="C52" s="182"/>
      <c r="D52" s="115"/>
      <c r="E52" s="115"/>
      <c r="F52" s="115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4"/>
      <c r="U52" s="1"/>
      <c r="V52" s="1"/>
    </row>
    <row r="53" ht="4.5" customHeight="1">
      <c r="A53" s="184"/>
      <c r="B53" s="184"/>
      <c r="C53" s="184"/>
      <c r="D53" s="115"/>
      <c r="E53" s="115"/>
      <c r="F53" s="115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4"/>
      <c r="U53" s="1"/>
      <c r="V53" s="1"/>
    </row>
    <row r="54" ht="14.25" customHeight="1">
      <c r="A54" s="184"/>
      <c r="B54" s="184"/>
      <c r="C54" s="184" t="s">
        <v>137</v>
      </c>
      <c r="D54" s="115"/>
      <c r="E54" s="115"/>
      <c r="F54" s="115"/>
      <c r="G54" s="183">
        <f>'P Fcast 5yr'!E21</f>
        <v>62732139</v>
      </c>
      <c r="H54" s="183"/>
      <c r="I54" s="183">
        <f>'P Fcast 5yr'!G21</f>
        <v>71044430.21</v>
      </c>
      <c r="J54" s="183"/>
      <c r="K54" s="183">
        <f>'P Fcast 5yr'!I21</f>
        <v>72071433.88</v>
      </c>
      <c r="L54" s="183"/>
      <c r="M54" s="183">
        <f>'P Fcast 5yr'!K21</f>
        <v>73056490.17</v>
      </c>
      <c r="N54" s="183"/>
      <c r="O54" s="183">
        <f>'P Fcast 5yr'!M21</f>
        <v>75136764.15</v>
      </c>
      <c r="P54" s="183"/>
      <c r="Q54" s="183">
        <f>'P Fcast 5yr'!O21</f>
        <v>76455268.91</v>
      </c>
      <c r="R54" s="183"/>
      <c r="S54" s="183">
        <f>'P Fcast 5yr'!Q21</f>
        <v>77698839</v>
      </c>
      <c r="T54" s="184"/>
      <c r="U54" s="1"/>
      <c r="V54" s="1"/>
    </row>
    <row r="55" ht="4.5" customHeight="1">
      <c r="A55" s="184"/>
      <c r="B55" s="184"/>
      <c r="C55" s="184"/>
      <c r="D55" s="115"/>
      <c r="E55" s="115"/>
      <c r="F55" s="115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4"/>
      <c r="U55" s="1"/>
      <c r="V55" s="1"/>
    </row>
    <row r="56" ht="14.25" customHeight="1">
      <c r="A56" s="184"/>
      <c r="B56" s="184"/>
      <c r="C56" s="184" t="s">
        <v>139</v>
      </c>
      <c r="D56" s="115"/>
      <c r="E56" s="115"/>
      <c r="F56" s="115"/>
      <c r="G56" s="183">
        <f>-'P Fcast 5yr'!E35</f>
        <v>-62343968</v>
      </c>
      <c r="H56" s="184"/>
      <c r="I56" s="183">
        <f>-'P Fcast 5yr'!G35</f>
        <v>-64604973</v>
      </c>
      <c r="J56" s="184"/>
      <c r="K56" s="183">
        <f>-'P Fcast 5yr'!I35</f>
        <v>-68324132.72</v>
      </c>
      <c r="L56" s="184"/>
      <c r="M56" s="183">
        <f>-'P Fcast 5yr'!K35</f>
        <v>-70098606.17</v>
      </c>
      <c r="N56" s="184"/>
      <c r="O56" s="183">
        <f>-'P Fcast 5yr'!M35</f>
        <v>-72235967.03</v>
      </c>
      <c r="P56" s="184"/>
      <c r="Q56" s="183">
        <f>-'P Fcast 5yr'!O35</f>
        <v>-74057054.11</v>
      </c>
      <c r="R56" s="184"/>
      <c r="S56" s="183">
        <f>-'P Fcast 5yr'!Q35</f>
        <v>-75996225.86</v>
      </c>
      <c r="T56" s="184"/>
      <c r="U56" s="1"/>
      <c r="V56" s="1"/>
    </row>
    <row r="57" ht="4.5" customHeight="1">
      <c r="A57" s="184"/>
      <c r="B57" s="184"/>
      <c r="C57" s="184"/>
      <c r="D57" s="115"/>
      <c r="E57" s="115"/>
      <c r="F57" s="115"/>
      <c r="G57" s="193"/>
      <c r="H57" s="184"/>
      <c r="I57" s="193"/>
      <c r="J57" s="184"/>
      <c r="K57" s="193"/>
      <c r="L57" s="184"/>
      <c r="M57" s="193"/>
      <c r="N57" s="184"/>
      <c r="O57" s="193"/>
      <c r="P57" s="184"/>
      <c r="Q57" s="193"/>
      <c r="R57" s="184"/>
      <c r="S57" s="193"/>
      <c r="T57" s="184"/>
      <c r="U57" s="1"/>
      <c r="V57" s="1"/>
    </row>
    <row r="58" ht="4.5" customHeight="1">
      <c r="A58" s="184"/>
      <c r="B58" s="184"/>
      <c r="C58" s="184"/>
      <c r="D58" s="115"/>
      <c r="E58" s="115"/>
      <c r="F58" s="115"/>
      <c r="G58" s="183"/>
      <c r="H58" s="184"/>
      <c r="I58" s="183"/>
      <c r="J58" s="184"/>
      <c r="K58" s="183"/>
      <c r="L58" s="184"/>
      <c r="M58" s="183"/>
      <c r="N58" s="184"/>
      <c r="O58" s="183"/>
      <c r="P58" s="184"/>
      <c r="Q58" s="183"/>
      <c r="R58" s="184"/>
      <c r="S58" s="183"/>
      <c r="T58" s="184"/>
      <c r="U58" s="1"/>
      <c r="V58" s="1"/>
    </row>
    <row r="59" ht="12.75" customHeight="1">
      <c r="A59" s="184"/>
      <c r="B59" s="184"/>
      <c r="C59" s="184" t="s">
        <v>143</v>
      </c>
      <c r="D59" s="115"/>
      <c r="E59" s="115"/>
      <c r="F59" s="115"/>
      <c r="G59" s="183">
        <f>G54+G56</f>
        <v>388171</v>
      </c>
      <c r="H59" s="195">
        <f>G59/G54</f>
        <v>0.006187753298</v>
      </c>
      <c r="I59" s="183">
        <f>I54+I56</f>
        <v>6439457.211</v>
      </c>
      <c r="J59" s="195">
        <f>I59/I54</f>
        <v>0.09063986004</v>
      </c>
      <c r="K59" s="183">
        <f>K54+K56</f>
        <v>3747301.158</v>
      </c>
      <c r="L59" s="195">
        <f>K59/K54</f>
        <v>0.05199426397</v>
      </c>
      <c r="M59" s="183">
        <f>M54+M56</f>
        <v>2957884.008</v>
      </c>
      <c r="N59" s="195">
        <f>M59/M54</f>
        <v>0.04048762815</v>
      </c>
      <c r="O59" s="183">
        <f>O54+O56</f>
        <v>2900797.127</v>
      </c>
      <c r="P59" s="195">
        <f>O59/O54</f>
        <v>0.0386068945</v>
      </c>
      <c r="Q59" s="183">
        <f>Q54+Q56</f>
        <v>2398214.799</v>
      </c>
      <c r="R59" s="195">
        <f>Q59/Q54</f>
        <v>0.0313675543</v>
      </c>
      <c r="S59" s="183">
        <f>S54+S56</f>
        <v>1702613.143</v>
      </c>
      <c r="T59" s="195">
        <f>S59/S54</f>
        <v>0.02191298048</v>
      </c>
      <c r="U59" s="1"/>
      <c r="V59" s="1"/>
    </row>
    <row r="60" ht="4.5" customHeight="1">
      <c r="A60" s="184"/>
      <c r="B60" s="184"/>
      <c r="C60" s="184"/>
      <c r="D60" s="184"/>
      <c r="E60" s="184"/>
      <c r="F60" s="184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"/>
      <c r="V60" s="1"/>
    </row>
    <row r="61" ht="15.75" customHeight="1">
      <c r="A61" s="184"/>
      <c r="B61" s="184"/>
      <c r="C61" s="184" t="s">
        <v>89</v>
      </c>
      <c r="D61" s="184"/>
      <c r="E61" s="184"/>
      <c r="F61" s="184"/>
      <c r="G61" s="183">
        <f>'P Fcast 5yr'!E38+'P Fcast 5yr'!E39</f>
        <v>627229</v>
      </c>
      <c r="H61" s="183"/>
      <c r="I61" s="183">
        <f>'P Fcast 5yr'!G38+'P Fcast 5yr'!G39</f>
        <v>2564702</v>
      </c>
      <c r="J61" s="183"/>
      <c r="K61" s="183">
        <f>'P Fcast 5yr'!I38+'P Fcast 5yr'!I39</f>
        <v>4460000</v>
      </c>
      <c r="L61" s="183"/>
      <c r="M61" s="183">
        <f>'P Fcast 5yr'!K38+'P Fcast 5yr'!K39</f>
        <v>1800000</v>
      </c>
      <c r="N61" s="183"/>
      <c r="O61" s="183">
        <f>'P Fcast 5yr'!M38+'P Fcast 5yr'!M39</f>
        <v>500000</v>
      </c>
      <c r="P61" s="183"/>
      <c r="Q61" s="183">
        <f>'P Fcast 5yr'!O38+'P Fcast 5yr'!O39</f>
        <v>500000</v>
      </c>
      <c r="R61" s="183"/>
      <c r="S61" s="183">
        <f>'P Fcast 5yr'!Q38+'P Fcast 5yr'!Q39</f>
        <v>500000</v>
      </c>
      <c r="T61" s="184"/>
      <c r="U61" s="1"/>
      <c r="V61" s="1"/>
    </row>
    <row r="62" ht="6.75" customHeight="1">
      <c r="A62" s="184"/>
      <c r="B62" s="184"/>
      <c r="C62" s="184"/>
      <c r="D62" s="115"/>
      <c r="E62" s="115"/>
      <c r="F62" s="115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4"/>
      <c r="U62" s="1"/>
      <c r="V62" s="1"/>
    </row>
    <row r="63" ht="14.25" customHeight="1">
      <c r="A63" s="184"/>
      <c r="B63" s="184"/>
      <c r="C63" s="184" t="s">
        <v>122</v>
      </c>
      <c r="D63" s="184"/>
      <c r="E63" s="184"/>
      <c r="F63" s="184"/>
      <c r="G63" s="183">
        <f>G49</f>
        <v>9045563</v>
      </c>
      <c r="H63" s="184"/>
      <c r="I63" s="183">
        <f>I49</f>
        <v>12949337.4</v>
      </c>
      <c r="J63" s="184"/>
      <c r="K63" s="183">
        <f>K49</f>
        <v>11896774.6</v>
      </c>
      <c r="L63" s="184"/>
      <c r="M63" s="183">
        <f>M49</f>
        <v>12473209.42</v>
      </c>
      <c r="N63" s="184"/>
      <c r="O63" s="183">
        <f>O49</f>
        <v>12446692.26</v>
      </c>
      <c r="P63" s="184"/>
      <c r="Q63" s="183">
        <f>Q49</f>
        <v>12654533.97</v>
      </c>
      <c r="R63" s="184"/>
      <c r="S63" s="183">
        <f>S49</f>
        <v>6413326.577</v>
      </c>
      <c r="T63" s="184"/>
      <c r="U63" s="1"/>
      <c r="V63" s="1"/>
    </row>
    <row r="64" ht="4.5" customHeight="1">
      <c r="A64" s="184"/>
      <c r="B64" s="184"/>
      <c r="C64" s="184"/>
      <c r="D64" s="115"/>
      <c r="E64" s="115"/>
      <c r="F64" s="115"/>
      <c r="G64" s="193"/>
      <c r="H64" s="184"/>
      <c r="I64" s="193"/>
      <c r="J64" s="184"/>
      <c r="K64" s="193"/>
      <c r="L64" s="184"/>
      <c r="M64" s="193"/>
      <c r="N64" s="184"/>
      <c r="O64" s="193"/>
      <c r="P64" s="184"/>
      <c r="Q64" s="193"/>
      <c r="R64" s="184"/>
      <c r="S64" s="193"/>
      <c r="T64" s="184"/>
      <c r="U64" s="1"/>
      <c r="V64" s="1"/>
    </row>
    <row r="65" ht="4.5" customHeight="1">
      <c r="A65" s="184"/>
      <c r="B65" s="184"/>
      <c r="C65" s="184"/>
      <c r="D65" s="184"/>
      <c r="E65" s="184"/>
      <c r="F65" s="184"/>
      <c r="G65" s="183"/>
      <c r="H65" s="184"/>
      <c r="I65" s="183"/>
      <c r="J65" s="184"/>
      <c r="K65" s="183"/>
      <c r="L65" s="184"/>
      <c r="M65" s="183"/>
      <c r="N65" s="184"/>
      <c r="O65" s="183"/>
      <c r="P65" s="184"/>
      <c r="Q65" s="183"/>
      <c r="R65" s="184"/>
      <c r="S65" s="183"/>
      <c r="T65" s="184"/>
      <c r="U65" s="1"/>
      <c r="V65" s="1"/>
    </row>
    <row r="66" ht="14.25" customHeight="1">
      <c r="A66" s="184"/>
      <c r="B66" s="184"/>
      <c r="C66" s="184" t="s">
        <v>158</v>
      </c>
      <c r="D66" s="184"/>
      <c r="E66" s="184"/>
      <c r="F66" s="184"/>
      <c r="G66" s="207">
        <f>SUM(G59:G63)</f>
        <v>10060963</v>
      </c>
      <c r="H66" s="207"/>
      <c r="I66" s="207">
        <f>SUM(I59:I63)</f>
        <v>21953496.61</v>
      </c>
      <c r="J66" s="207"/>
      <c r="K66" s="207">
        <f>SUM(K59:K63)</f>
        <v>20104075.76</v>
      </c>
      <c r="L66" s="207"/>
      <c r="M66" s="207">
        <f>SUM(M59:M63)</f>
        <v>17231093.42</v>
      </c>
      <c r="N66" s="207"/>
      <c r="O66" s="207">
        <f>SUM(O59:O63)</f>
        <v>15847489.38</v>
      </c>
      <c r="P66" s="207"/>
      <c r="Q66" s="207">
        <f>SUM(Q59:Q63)</f>
        <v>15552748.77</v>
      </c>
      <c r="R66" s="207"/>
      <c r="S66" s="207">
        <f>SUM(S59:S63)</f>
        <v>8615939.72</v>
      </c>
      <c r="T66" s="184"/>
      <c r="U66" s="1"/>
      <c r="V66" s="1"/>
    </row>
    <row r="67" ht="4.5" customHeight="1">
      <c r="A67" s="184"/>
      <c r="B67" s="184"/>
      <c r="C67" s="184"/>
      <c r="D67" s="115"/>
      <c r="E67" s="115"/>
      <c r="F67" s="115"/>
      <c r="G67" s="193"/>
      <c r="H67" s="184"/>
      <c r="I67" s="193"/>
      <c r="J67" s="184"/>
      <c r="K67" s="193"/>
      <c r="L67" s="184"/>
      <c r="M67" s="193"/>
      <c r="N67" s="184"/>
      <c r="O67" s="193"/>
      <c r="P67" s="184"/>
      <c r="Q67" s="193"/>
      <c r="R67" s="184"/>
      <c r="S67" s="193"/>
      <c r="T67" s="184"/>
      <c r="U67" s="1"/>
      <c r="V67" s="1"/>
    </row>
    <row r="68" ht="4.5" customHeight="1">
      <c r="A68" s="184"/>
      <c r="B68" s="184"/>
      <c r="C68" s="184"/>
      <c r="D68" s="184"/>
      <c r="E68" s="184"/>
      <c r="F68" s="184"/>
      <c r="G68" s="184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4"/>
      <c r="S68" s="184"/>
      <c r="T68" s="184"/>
      <c r="U68" s="1"/>
      <c r="V68" s="1"/>
    </row>
    <row r="69" ht="4.5" customHeight="1">
      <c r="A69" s="166"/>
      <c r="B69" s="166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6"/>
      <c r="S69" s="166"/>
      <c r="T69" s="166"/>
      <c r="U69" s="1"/>
      <c r="V69" s="1"/>
    </row>
    <row r="70" ht="14.25" customHeight="1">
      <c r="A70" s="161" t="s">
        <v>159</v>
      </c>
      <c r="B70" s="162" t="s">
        <v>160</v>
      </c>
      <c r="C70" s="163"/>
      <c r="D70" s="164"/>
      <c r="E70" s="164"/>
      <c r="F70" s="164"/>
      <c r="G70" s="166"/>
      <c r="H70" s="166"/>
      <c r="I70" s="166"/>
      <c r="J70" s="166"/>
      <c r="K70" s="166"/>
      <c r="L70" s="166"/>
      <c r="M70" s="166"/>
      <c r="N70" s="166"/>
      <c r="O70" s="166"/>
      <c r="P70" s="166"/>
      <c r="Q70" s="166"/>
      <c r="R70" s="166"/>
      <c r="S70" s="166"/>
      <c r="T70" s="166"/>
      <c r="U70" s="1"/>
      <c r="V70" s="1"/>
    </row>
    <row r="71" ht="4.5" customHeight="1">
      <c r="A71" s="166"/>
      <c r="B71" s="166"/>
      <c r="C71" s="166"/>
      <c r="D71" s="164"/>
      <c r="E71" s="164"/>
      <c r="F71" s="164"/>
      <c r="G71" s="166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6"/>
      <c r="S71" s="166"/>
      <c r="T71" s="166"/>
      <c r="U71" s="1"/>
      <c r="V71" s="1"/>
    </row>
    <row r="72" ht="14.25" customHeight="1">
      <c r="A72" s="166"/>
      <c r="B72" s="166"/>
      <c r="C72" s="166" t="s">
        <v>25</v>
      </c>
      <c r="D72" s="164"/>
      <c r="E72" s="164"/>
      <c r="F72" s="164"/>
      <c r="G72" s="172">
        <f>'R Bal sheets'!F7</f>
        <v>6514000</v>
      </c>
      <c r="H72" s="172"/>
      <c r="I72" s="172">
        <f>'R Bal sheets'!H7</f>
        <v>22280024.49</v>
      </c>
      <c r="J72" s="172"/>
      <c r="K72" s="172">
        <f>'R Bal sheets'!J7</f>
        <v>30918180.52</v>
      </c>
      <c r="L72" s="172"/>
      <c r="M72" s="172">
        <f>'R Bal sheets'!L7</f>
        <v>43898407.05</v>
      </c>
      <c r="N72" s="172"/>
      <c r="O72" s="172">
        <f>'R Bal sheets'!N7</f>
        <v>58452577.5</v>
      </c>
      <c r="P72" s="172"/>
      <c r="Q72" s="172">
        <f>'R Bal sheets'!P7</f>
        <v>74025225.71</v>
      </c>
      <c r="R72" s="172"/>
      <c r="S72" s="172">
        <f>'R Bal sheets'!R7</f>
        <v>78797444.66</v>
      </c>
      <c r="T72" s="166"/>
      <c r="U72" s="1"/>
      <c r="V72" s="1"/>
    </row>
    <row r="73" ht="4.5" customHeight="1">
      <c r="A73" s="166"/>
      <c r="B73" s="166"/>
      <c r="C73" s="166"/>
      <c r="D73" s="164"/>
      <c r="E73" s="164"/>
      <c r="F73" s="164"/>
      <c r="G73" s="172"/>
      <c r="H73" s="172"/>
      <c r="I73" s="172"/>
      <c r="J73" s="172"/>
      <c r="K73" s="172"/>
      <c r="L73" s="172"/>
      <c r="M73" s="172"/>
      <c r="N73" s="172"/>
      <c r="O73" s="172"/>
      <c r="P73" s="172"/>
      <c r="Q73" s="172"/>
      <c r="R73" s="172"/>
      <c r="S73" s="172"/>
      <c r="T73" s="166"/>
      <c r="U73" s="1"/>
      <c r="V73" s="1"/>
    </row>
    <row r="74" ht="14.25" customHeight="1">
      <c r="A74" s="166"/>
      <c r="B74" s="166"/>
      <c r="C74" s="166" t="s">
        <v>161</v>
      </c>
      <c r="D74" s="164"/>
      <c r="E74" s="164"/>
      <c r="F74" s="164"/>
      <c r="G74" s="172">
        <f>'R Bal sheets'!F28</f>
        <v>26783294</v>
      </c>
      <c r="H74" s="172"/>
      <c r="I74" s="172">
        <f>'R Bal sheets'!H28</f>
        <v>32978858.82</v>
      </c>
      <c r="J74" s="172"/>
      <c r="K74" s="172">
        <f>'R Bal sheets'!J28</f>
        <v>32124125.16</v>
      </c>
      <c r="L74" s="172"/>
      <c r="M74" s="172">
        <f>'R Bal sheets'!L28</f>
        <v>31239413.82</v>
      </c>
      <c r="N74" s="172"/>
      <c r="O74" s="172">
        <f>'R Bal sheets'!N28</f>
        <v>30314206.24</v>
      </c>
      <c r="P74" s="172"/>
      <c r="Q74" s="172">
        <f>'R Bal sheets'!P28</f>
        <v>29356950.17</v>
      </c>
      <c r="R74" s="172"/>
      <c r="S74" s="172">
        <f>'R Bal sheets'!R28</f>
        <v>27744057.45</v>
      </c>
      <c r="T74" s="166"/>
      <c r="U74" s="1"/>
      <c r="V74" s="1"/>
    </row>
    <row r="75" ht="6.0" customHeight="1">
      <c r="A75" s="166"/>
      <c r="B75" s="166"/>
      <c r="C75" s="166"/>
      <c r="D75" s="164"/>
      <c r="E75" s="164"/>
      <c r="F75" s="164"/>
      <c r="G75" s="172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172"/>
      <c r="S75" s="172"/>
      <c r="T75" s="166"/>
      <c r="U75" s="1"/>
      <c r="V75" s="1"/>
    </row>
    <row r="76" ht="12.75" customHeight="1">
      <c r="A76" s="166"/>
      <c r="B76" s="164"/>
      <c r="C76" s="166" t="s">
        <v>162</v>
      </c>
      <c r="D76" s="164"/>
      <c r="E76" s="164"/>
      <c r="F76" s="164"/>
      <c r="G76" s="208">
        <f>'R Bal sheets'!F34+'R Bal sheets'!F28-'R Bal sheets'!F15</f>
        <v>-27700680</v>
      </c>
      <c r="H76" s="208"/>
      <c r="I76" s="208">
        <f>'R Bal sheets'!H34+'R Bal sheets'!H28-'R Bal sheets'!H15</f>
        <v>-15991320.2</v>
      </c>
      <c r="J76" s="208"/>
      <c r="K76" s="208">
        <f>'R Bal sheets'!J34+'R Bal sheets'!J28-'R Bal sheets'!J15</f>
        <v>-7921301.913</v>
      </c>
      <c r="L76" s="208"/>
      <c r="M76" s="208">
        <f>'R Bal sheets'!L34+'R Bal sheets'!L28-'R Bal sheets'!L15</f>
        <v>1107186.749</v>
      </c>
      <c r="N76" s="208"/>
      <c r="O76" s="208">
        <f>'R Bal sheets'!N34+'R Bal sheets'!N28-'R Bal sheets'!N15</f>
        <v>9572289.092</v>
      </c>
      <c r="P76" s="208"/>
      <c r="Q76" s="208">
        <f>'R Bal sheets'!P34+'R Bal sheets'!P28-'R Bal sheets'!P15</f>
        <v>17474791.26</v>
      </c>
      <c r="R76" s="208"/>
      <c r="S76" s="208">
        <f>'R Bal sheets'!R34+'R Bal sheets'!R28-'R Bal sheets'!R15</f>
        <v>24000645.15</v>
      </c>
      <c r="T76" s="164"/>
      <c r="U76" s="1"/>
      <c r="V76" s="1"/>
    </row>
    <row r="77" ht="6.75" customHeight="1">
      <c r="A77" s="164"/>
      <c r="B77" s="164"/>
      <c r="C77" s="164"/>
      <c r="D77" s="164"/>
      <c r="E77" s="164"/>
      <c r="F77" s="164"/>
      <c r="G77" s="212"/>
      <c r="H77" s="164"/>
      <c r="I77" s="212"/>
      <c r="J77" s="164"/>
      <c r="K77" s="212"/>
      <c r="L77" s="164"/>
      <c r="M77" s="212"/>
      <c r="N77" s="164"/>
      <c r="O77" s="212"/>
      <c r="P77" s="164"/>
      <c r="Q77" s="212"/>
      <c r="R77" s="164"/>
      <c r="S77" s="164"/>
      <c r="T77" s="164"/>
      <c r="U77" s="1"/>
      <c r="V77" s="1"/>
    </row>
    <row r="78" ht="6.75" customHeight="1">
      <c r="A78" s="15"/>
      <c r="B78" s="15"/>
      <c r="C78" s="1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ht="14.25" customHeight="1">
      <c r="A79" s="41" t="s">
        <v>163</v>
      </c>
      <c r="B79" s="42" t="s">
        <v>164</v>
      </c>
      <c r="C79" s="214"/>
      <c r="D79" s="215"/>
      <c r="E79" s="215"/>
      <c r="F79" s="215"/>
      <c r="G79" s="218">
        <f>'R Bal sheets'!F54</f>
        <v>2.795372572</v>
      </c>
      <c r="H79" s="220"/>
      <c r="I79" s="218">
        <f>'R Bal sheets'!H54</f>
        <v>5.079361127</v>
      </c>
      <c r="J79" s="220"/>
      <c r="K79" s="218">
        <f>'R Bal sheets'!J54</f>
        <v>5.407506588</v>
      </c>
      <c r="L79" s="220"/>
      <c r="M79" s="218">
        <f>'R Bal sheets'!L54</f>
        <v>5.771966311</v>
      </c>
      <c r="N79" s="220"/>
      <c r="O79" s="218">
        <f>'R Bal sheets'!N54</f>
        <v>6.037741784</v>
      </c>
      <c r="P79" s="220"/>
      <c r="Q79" s="218">
        <f>'R Bal sheets'!P54</f>
        <v>6.518601804</v>
      </c>
      <c r="R79" s="220"/>
      <c r="S79" s="218">
        <f>'R Bal sheets'!R54</f>
        <v>6.724968177</v>
      </c>
      <c r="T79" s="225"/>
      <c r="U79" s="1"/>
      <c r="V79" s="1"/>
    </row>
    <row r="80" ht="14.25" customHeight="1">
      <c r="A80" s="15"/>
      <c r="B80" s="15"/>
      <c r="C80" s="15"/>
      <c r="D80" s="1"/>
      <c r="E80" s="1"/>
      <c r="F80" s="1"/>
      <c r="G80" s="227"/>
      <c r="H80" s="227"/>
      <c r="I80" s="227"/>
      <c r="J80" s="227"/>
      <c r="K80" s="227"/>
      <c r="L80" s="227"/>
      <c r="M80" s="227"/>
      <c r="N80" s="227"/>
      <c r="O80" s="227"/>
      <c r="P80" s="227"/>
      <c r="Q80" s="227"/>
      <c r="R80" s="227"/>
      <c r="S80" s="227"/>
      <c r="T80" s="1"/>
      <c r="U80" s="1"/>
      <c r="V80" s="1"/>
    </row>
    <row r="81" ht="14.25" customHeight="1">
      <c r="A81" s="1"/>
      <c r="B81" s="42" t="s">
        <v>167</v>
      </c>
      <c r="C81" s="1"/>
      <c r="D81" s="1"/>
      <c r="E81" s="1"/>
      <c r="F81" s="1"/>
      <c r="G81" s="231">
        <f>'R Bal sheets'!F56</f>
        <v>2.8</v>
      </c>
      <c r="H81" s="220"/>
      <c r="I81" s="231">
        <f>'R Bal sheets'!H56</f>
        <v>3</v>
      </c>
      <c r="J81" s="220"/>
      <c r="K81" s="231">
        <f>'R Bal sheets'!J56</f>
        <v>3</v>
      </c>
      <c r="L81" s="220"/>
      <c r="M81" s="231">
        <f>'R Bal sheets'!L56</f>
        <v>3</v>
      </c>
      <c r="N81" s="220"/>
      <c r="O81" s="231">
        <f>'R Bal sheets'!N56</f>
        <v>3</v>
      </c>
      <c r="P81" s="220"/>
      <c r="Q81" s="231">
        <f>'R Bal sheets'!P56</f>
        <v>3</v>
      </c>
      <c r="R81" s="220"/>
      <c r="S81" s="231">
        <f>'R Bal sheets'!R56</f>
        <v>2.9</v>
      </c>
      <c r="T81" s="1"/>
      <c r="U81" s="1"/>
      <c r="V81" s="1"/>
    </row>
    <row r="8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223" t="str">
        <f>I4</f>
        <v>2026 - 27</v>
      </c>
      <c r="X94" s="223" t="str">
        <f>K4</f>
        <v>2027 - 28</v>
      </c>
      <c r="Y94" s="223" t="str">
        <f>M4</f>
        <v>2028 - 29</v>
      </c>
      <c r="Z94" s="223" t="str">
        <f>O4</f>
        <v>2029 - 30</v>
      </c>
      <c r="AA94" s="223" t="str">
        <f>Q4</f>
        <v>2030 - 31</v>
      </c>
      <c r="AB94" s="223" t="str">
        <f>S4</f>
        <v>2031 - 32</v>
      </c>
    </row>
    <row r="95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mergeCells count="2">
    <mergeCell ref="R2:S2"/>
    <mergeCell ref="K3:S3"/>
  </mergeCells>
  <printOptions horizontalCentered="1" verticalCentered="1"/>
  <pageMargins bottom="0.75" footer="0.0" header="0.0" left="0.7" right="0.7" top="0.75"/>
  <pageSetup orientation="landscape"/>
  <headerFooter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8">
    <pageSetUpPr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2.63" defaultRowHeight="15.0" outlineLevelCol="1"/>
  <cols>
    <col customWidth="1" min="1" max="1" width="3.75"/>
    <col customWidth="1" min="2" max="2" width="9.63"/>
    <col customWidth="1" min="3" max="3" width="1.63"/>
    <col customWidth="1" min="4" max="4" width="12.13"/>
    <col customWidth="1" min="5" max="5" width="1.5"/>
    <col customWidth="1" min="6" max="6" width="12.25"/>
    <col customWidth="1" min="7" max="7" width="1.88"/>
    <col customWidth="1" min="8" max="8" width="15.0"/>
    <col customWidth="1" min="9" max="9" width="2.75"/>
    <col customWidth="1" min="10" max="10" width="6.75"/>
    <col customWidth="1" min="11" max="11" width="42.75"/>
    <col customWidth="1" min="12" max="12" width="3.88"/>
    <col customWidth="1" min="13" max="13" width="13.88"/>
    <col customWidth="1" min="14" max="14" width="5.38"/>
    <col customWidth="1" min="15" max="15" width="14.25"/>
    <col customWidth="1" min="16" max="17" width="8.63"/>
    <col customWidth="1" min="18" max="18" width="9.5"/>
    <col customWidth="1" min="19" max="19" width="8.63"/>
    <col customWidth="1" min="20" max="20" width="9.5"/>
    <col customWidth="1" min="21" max="21" width="8.63"/>
    <col customWidth="1" min="22" max="22" width="9.5"/>
    <col customWidth="1" min="23" max="23" width="8.63"/>
    <col customWidth="1" min="24" max="24" width="9.5"/>
    <col customWidth="1" min="25" max="25" width="8.63"/>
    <col customWidth="1" min="26" max="26" width="9.5"/>
    <col customWidth="1" min="27" max="30" width="8.63"/>
  </cols>
  <sheetData>
    <row r="1" ht="24.75" customHeight="1">
      <c r="A1" s="1"/>
      <c r="B1" s="1"/>
      <c r="C1" s="1"/>
      <c r="D1" s="8" t="str">
        <f>'A Cover'!$G$8</f>
        <v>Example University</v>
      </c>
      <c r="E1" s="3"/>
      <c r="F1" s="1"/>
      <c r="G1" s="1"/>
      <c r="H1" s="11" t="s">
        <v>2</v>
      </c>
      <c r="I1" s="13"/>
      <c r="J1" s="13"/>
      <c r="K1" s="14"/>
      <c r="L1" s="1"/>
      <c r="M1" s="1"/>
      <c r="N1" s="1"/>
      <c r="O1" s="1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</row>
    <row r="2" ht="4.5" customHeight="1">
      <c r="A2" s="1"/>
      <c r="B2" s="1"/>
      <c r="C2" s="1"/>
      <c r="D2" s="8"/>
      <c r="E2" s="3"/>
      <c r="F2" s="1"/>
      <c r="G2" s="1"/>
      <c r="H2" s="3"/>
      <c r="I2" s="3"/>
      <c r="J2" s="3"/>
      <c r="K2" s="3"/>
      <c r="L2" s="1"/>
      <c r="M2" s="1"/>
      <c r="N2" s="26">
        <f>'A Cover'!G12</f>
        <v>46307</v>
      </c>
      <c r="O2" s="27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</row>
    <row r="3" ht="14.25" customHeight="1">
      <c r="A3" s="1"/>
      <c r="B3" s="1"/>
      <c r="C3" s="1"/>
      <c r="D3" s="1"/>
      <c r="E3" s="1"/>
      <c r="F3" s="1"/>
      <c r="G3" s="1"/>
      <c r="H3" s="29" t="s">
        <v>0</v>
      </c>
      <c r="I3" s="34" t="s">
        <v>9</v>
      </c>
      <c r="J3" s="1"/>
      <c r="K3" s="1"/>
      <c r="L3" s="1"/>
      <c r="M3" s="1"/>
      <c r="N3" s="37"/>
      <c r="O3" s="38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</row>
    <row r="4" ht="18.75" customHeight="1">
      <c r="A4" s="1"/>
      <c r="B4" s="1"/>
      <c r="C4" s="1"/>
      <c r="D4" s="17" t="s">
        <v>11</v>
      </c>
      <c r="E4" s="1"/>
      <c r="F4" s="1"/>
      <c r="G4" s="1"/>
      <c r="H4" s="47" t="s">
        <v>6</v>
      </c>
      <c r="I4" s="49"/>
      <c r="J4" s="1"/>
      <c r="K4" s="17" t="s">
        <v>12</v>
      </c>
      <c r="L4" s="1"/>
      <c r="M4" s="1"/>
      <c r="N4" s="1"/>
      <c r="O4" s="1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</row>
    <row r="5" ht="13.5" customHeight="1">
      <c r="A5" s="1"/>
      <c r="B5" s="1"/>
      <c r="C5" s="1"/>
      <c r="D5" s="1"/>
      <c r="E5" s="1"/>
      <c r="F5" s="1"/>
      <c r="G5" s="1"/>
      <c r="H5" s="55"/>
      <c r="I5" s="25"/>
      <c r="J5" s="1"/>
      <c r="K5" s="1"/>
      <c r="L5" s="1"/>
      <c r="M5" s="1"/>
      <c r="N5" s="1"/>
      <c r="O5" s="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ht="17.25" customHeight="1">
      <c r="A6" s="1"/>
      <c r="B6" s="60" t="s">
        <v>13</v>
      </c>
      <c r="C6" s="13"/>
      <c r="D6" s="14"/>
      <c r="E6" s="1"/>
      <c r="F6" s="1"/>
      <c r="G6" s="1"/>
      <c r="H6" s="69" t="str">
        <f>'F Population'!$N$6</f>
        <v>2025 - 26</v>
      </c>
      <c r="I6" s="39"/>
      <c r="J6" s="1"/>
      <c r="K6" s="73" t="s">
        <v>19</v>
      </c>
      <c r="L6" s="1"/>
      <c r="M6" s="76" t="s">
        <v>6</v>
      </c>
      <c r="N6" s="78" t="str">
        <f>'F Population'!N$6</f>
        <v>2025 - 26</v>
      </c>
      <c r="O6" s="79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ht="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82"/>
      <c r="N7" s="82"/>
      <c r="O7" s="82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ht="14.25" customHeight="1">
      <c r="A8" s="1"/>
      <c r="B8" s="1"/>
      <c r="C8" s="1"/>
      <c r="D8" s="1" t="s">
        <v>25</v>
      </c>
      <c r="E8" s="1"/>
      <c r="F8" s="1"/>
      <c r="G8" s="1"/>
      <c r="H8" s="83">
        <v>6514000.0</v>
      </c>
      <c r="I8" s="85"/>
      <c r="J8" s="1"/>
      <c r="K8" s="89" t="s">
        <v>28</v>
      </c>
      <c r="L8" s="1"/>
      <c r="M8" s="90">
        <v>5.1387224E7</v>
      </c>
      <c r="N8" s="91"/>
      <c r="O8" s="91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</row>
    <row r="9" ht="3.75" customHeight="1">
      <c r="A9" s="1"/>
      <c r="B9" s="1"/>
      <c r="C9" s="1"/>
      <c r="D9" s="1"/>
      <c r="E9" s="1"/>
      <c r="F9" s="1"/>
      <c r="G9" s="1"/>
      <c r="H9" s="92"/>
      <c r="I9" s="85"/>
      <c r="J9" s="1"/>
      <c r="K9" s="89"/>
      <c r="L9" s="1"/>
      <c r="M9" s="93"/>
      <c r="N9" s="91"/>
      <c r="O9" s="91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</row>
    <row r="10" ht="14.25" customHeight="1">
      <c r="A10" s="1"/>
      <c r="B10" s="1"/>
      <c r="C10" s="1"/>
      <c r="D10" s="1" t="s">
        <v>30</v>
      </c>
      <c r="E10" s="1"/>
      <c r="F10" s="1"/>
      <c r="G10" s="1"/>
      <c r="H10" s="83">
        <f>9000+1642000+2273000+958000</f>
        <v>4882000</v>
      </c>
      <c r="I10" s="85"/>
      <c r="J10" s="1"/>
      <c r="K10" s="89" t="s">
        <v>32</v>
      </c>
      <c r="L10" s="1"/>
      <c r="M10" s="96">
        <v>-2.5847774E7</v>
      </c>
      <c r="N10" s="102">
        <f>IF(M8&lt;&gt;0,-M10/M8,"")</f>
        <v>0.5030000064</v>
      </c>
      <c r="O10" s="91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</row>
    <row r="11" ht="3.75" customHeight="1">
      <c r="A11" s="1"/>
      <c r="B11" s="1"/>
      <c r="C11" s="1"/>
      <c r="D11" s="1"/>
      <c r="E11" s="1"/>
      <c r="F11" s="1"/>
      <c r="G11" s="1"/>
      <c r="H11" s="92"/>
      <c r="I11" s="85"/>
      <c r="J11" s="1"/>
      <c r="K11" s="89"/>
      <c r="L11" s="1"/>
      <c r="M11" s="104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</row>
    <row r="12" ht="14.25" customHeight="1">
      <c r="A12" s="1"/>
      <c r="B12" s="1"/>
      <c r="C12" s="1"/>
      <c r="D12" s="1" t="s">
        <v>36</v>
      </c>
      <c r="E12" s="1"/>
      <c r="F12" s="1"/>
      <c r="G12" s="1"/>
      <c r="H12" s="85">
        <f>H68</f>
        <v>8866899</v>
      </c>
      <c r="I12" s="109" t="s">
        <v>37</v>
      </c>
      <c r="J12" s="1"/>
      <c r="K12" s="111" t="s">
        <v>38</v>
      </c>
      <c r="L12" s="1"/>
      <c r="M12" s="113"/>
      <c r="N12" s="16"/>
      <c r="O12" s="16">
        <f>M8+M10</f>
        <v>25539450</v>
      </c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</row>
    <row r="13" ht="3.75" customHeight="1">
      <c r="A13" s="1"/>
      <c r="B13" s="1"/>
      <c r="C13" s="1"/>
      <c r="D13" s="1"/>
      <c r="E13" s="1"/>
      <c r="F13" s="1"/>
      <c r="G13" s="1"/>
      <c r="H13" s="85"/>
      <c r="I13" s="85"/>
      <c r="J13" s="1"/>
      <c r="K13" s="89"/>
      <c r="L13" s="1"/>
      <c r="M13" s="118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</row>
    <row r="14" ht="14.25" customHeight="1">
      <c r="A14" s="1"/>
      <c r="B14" s="1"/>
      <c r="C14" s="1"/>
      <c r="D14" s="1" t="s">
        <v>41</v>
      </c>
      <c r="E14" s="1"/>
      <c r="F14" s="1"/>
      <c r="G14" s="1"/>
      <c r="H14" s="83">
        <v>9.1599695E7</v>
      </c>
      <c r="I14" s="85"/>
      <c r="J14" s="1"/>
      <c r="K14" s="89" t="s">
        <v>42</v>
      </c>
      <c r="L14" s="1"/>
      <c r="M14" s="96">
        <v>1.6271443E7</v>
      </c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</row>
    <row r="15" ht="3.75" customHeight="1">
      <c r="A15" s="1"/>
      <c r="B15" s="1"/>
      <c r="C15" s="1"/>
      <c r="D15" s="1"/>
      <c r="E15" s="1"/>
      <c r="F15" s="1"/>
      <c r="G15" s="1"/>
      <c r="H15" s="92"/>
      <c r="I15" s="85"/>
      <c r="J15" s="1"/>
      <c r="K15" s="89"/>
      <c r="L15" s="1"/>
      <c r="M15" s="120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</row>
    <row r="16" ht="14.25" customHeight="1">
      <c r="A16" s="1"/>
      <c r="B16" s="1"/>
      <c r="C16" s="1"/>
      <c r="D16" s="1" t="s">
        <v>44</v>
      </c>
      <c r="E16" s="1"/>
      <c r="F16" s="1"/>
      <c r="G16" s="1"/>
      <c r="H16" s="83">
        <f>107336945-4000000+1066000</f>
        <v>104402945</v>
      </c>
      <c r="I16" s="85"/>
      <c r="J16" s="1"/>
      <c r="K16" s="89" t="s">
        <v>47</v>
      </c>
      <c r="L16" s="1"/>
      <c r="M16" s="96">
        <v>-893562.0</v>
      </c>
      <c r="N16" s="102">
        <f>IF(M14&lt;&gt;0,-M16/M14,"")</f>
        <v>0.05491596535</v>
      </c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</row>
    <row r="17" ht="3.75" customHeight="1">
      <c r="A17" s="1"/>
      <c r="B17" s="1"/>
      <c r="C17" s="1"/>
      <c r="D17" s="1"/>
      <c r="E17" s="1"/>
      <c r="F17" s="1"/>
      <c r="G17" s="1"/>
      <c r="H17" s="92"/>
      <c r="I17" s="85"/>
      <c r="J17" s="1"/>
      <c r="K17" s="89"/>
      <c r="L17" s="1"/>
      <c r="M17" s="1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</row>
    <row r="18" ht="15.0" customHeight="1">
      <c r="A18" s="1"/>
      <c r="B18" s="1"/>
      <c r="C18" s="1"/>
      <c r="D18" s="1" t="s">
        <v>49</v>
      </c>
      <c r="E18" s="1"/>
      <c r="F18" s="1"/>
      <c r="G18" s="1"/>
      <c r="H18" s="83"/>
      <c r="I18" s="85"/>
      <c r="J18" s="1"/>
      <c r="K18" s="111" t="s">
        <v>50</v>
      </c>
      <c r="L18" s="1"/>
      <c r="M18" s="113"/>
      <c r="N18" s="16"/>
      <c r="O18" s="127">
        <f>M14+M16</f>
        <v>15377881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</row>
    <row r="19" ht="3.75" customHeight="1">
      <c r="A19" s="1"/>
      <c r="B19" s="1"/>
      <c r="C19" s="1"/>
      <c r="D19" s="1"/>
      <c r="E19" s="1"/>
      <c r="F19" s="1"/>
      <c r="G19" s="1"/>
      <c r="H19" s="128"/>
      <c r="I19" s="1"/>
      <c r="J19" s="1"/>
      <c r="K19" s="1"/>
      <c r="L19" s="1"/>
      <c r="M19" s="1"/>
      <c r="N19" s="1"/>
      <c r="O19" s="1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</row>
    <row r="20" ht="17.25" customHeight="1">
      <c r="A20" s="1"/>
      <c r="B20" s="1"/>
      <c r="C20" s="1"/>
      <c r="D20" s="1" t="s">
        <v>51</v>
      </c>
      <c r="E20" s="1"/>
      <c r="F20" s="1"/>
      <c r="G20" s="1"/>
      <c r="H20" s="131">
        <f>SUM(H8:H18)</f>
        <v>216265539</v>
      </c>
      <c r="I20" s="85"/>
      <c r="J20" s="1"/>
      <c r="K20" s="132" t="s">
        <v>53</v>
      </c>
      <c r="L20" s="1"/>
      <c r="M20" s="16"/>
      <c r="N20" s="16"/>
      <c r="O20" s="16">
        <f>O12+O18</f>
        <v>40917331</v>
      </c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</row>
    <row r="21" ht="3.75" customHeight="1">
      <c r="A21" s="1"/>
      <c r="B21" s="1"/>
      <c r="C21" s="1"/>
      <c r="D21" s="1"/>
      <c r="E21" s="1"/>
      <c r="F21" s="1"/>
      <c r="G21" s="1"/>
      <c r="H21" s="135"/>
      <c r="I21" s="85"/>
      <c r="J21" s="1"/>
      <c r="K21" s="132"/>
      <c r="L21" s="1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</row>
    <row r="22" ht="17.25" customHeight="1">
      <c r="A22" s="1"/>
      <c r="B22" s="60" t="s">
        <v>56</v>
      </c>
      <c r="C22" s="13"/>
      <c r="D22" s="14"/>
      <c r="E22" s="1"/>
      <c r="F22" s="1"/>
      <c r="G22" s="1"/>
      <c r="H22" s="85"/>
      <c r="I22" s="85"/>
      <c r="J22" s="1"/>
      <c r="K22" s="132" t="s">
        <v>57</v>
      </c>
      <c r="L22" s="109"/>
      <c r="M22" s="1"/>
      <c r="N22" s="16"/>
      <c r="O22" s="16">
        <f>H98</f>
        <v>9417500</v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</row>
    <row r="23" ht="3.75" customHeight="1">
      <c r="A23" s="1"/>
      <c r="B23" s="1"/>
      <c r="C23" s="1"/>
      <c r="D23" s="1"/>
      <c r="E23" s="1"/>
      <c r="F23" s="1"/>
      <c r="G23" s="1"/>
      <c r="H23" s="85"/>
      <c r="I23" s="85"/>
      <c r="J23" s="1"/>
      <c r="K23" s="1"/>
      <c r="L23" s="1"/>
      <c r="M23" s="1"/>
      <c r="N23" s="1"/>
      <c r="O23" s="1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</row>
    <row r="24" ht="15.0" customHeight="1">
      <c r="A24" s="1"/>
      <c r="B24" s="1"/>
      <c r="C24" s="1"/>
      <c r="D24" s="1" t="s">
        <v>59</v>
      </c>
      <c r="E24" s="1"/>
      <c r="F24" s="1"/>
      <c r="G24" s="1"/>
      <c r="H24" s="83">
        <f>11096000+1354000</f>
        <v>12450000</v>
      </c>
      <c r="I24" s="85"/>
      <c r="J24" s="1"/>
      <c r="K24" s="132" t="s">
        <v>61</v>
      </c>
      <c r="L24" s="1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</row>
    <row r="25" ht="3.75" customHeight="1">
      <c r="A25" s="1"/>
      <c r="B25" s="1"/>
      <c r="C25" s="1"/>
      <c r="D25" s="1"/>
      <c r="E25" s="1"/>
      <c r="F25" s="1"/>
      <c r="G25" s="1"/>
      <c r="H25" s="92"/>
      <c r="I25" s="85"/>
      <c r="J25" s="1"/>
      <c r="K25" s="1"/>
      <c r="L25" s="1"/>
      <c r="M25" s="1"/>
      <c r="N25" s="1"/>
      <c r="O25" s="1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</row>
    <row r="26" ht="14.25" customHeight="1">
      <c r="A26" s="1"/>
      <c r="B26" s="1"/>
      <c r="C26" s="1"/>
      <c r="D26" s="1" t="s">
        <v>62</v>
      </c>
      <c r="E26" s="1"/>
      <c r="F26" s="1"/>
      <c r="G26" s="1"/>
      <c r="H26" s="83">
        <v>1000000.0</v>
      </c>
      <c r="I26" s="85"/>
      <c r="J26" s="1"/>
      <c r="K26" s="89" t="s">
        <v>63</v>
      </c>
      <c r="L26" s="1"/>
      <c r="M26" s="139">
        <v>3069000.0</v>
      </c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</row>
    <row r="27" ht="3.75" customHeight="1">
      <c r="A27" s="1"/>
      <c r="B27" s="1"/>
      <c r="C27" s="1"/>
      <c r="D27" s="1"/>
      <c r="E27" s="1"/>
      <c r="F27" s="1"/>
      <c r="G27" s="1"/>
      <c r="H27" s="1"/>
      <c r="I27" s="85"/>
      <c r="J27" s="1"/>
      <c r="K27" s="89"/>
      <c r="L27" s="1"/>
      <c r="M27" s="118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</row>
    <row r="28" ht="14.25" customHeight="1">
      <c r="A28" s="1"/>
      <c r="B28" s="1"/>
      <c r="C28" s="1"/>
      <c r="D28" s="1" t="s">
        <v>64</v>
      </c>
      <c r="E28" s="1"/>
      <c r="F28" s="1"/>
      <c r="G28" s="1"/>
      <c r="H28" s="83">
        <v>2.6783294E7</v>
      </c>
      <c r="I28" s="109" t="s">
        <v>66</v>
      </c>
      <c r="J28" s="1"/>
      <c r="K28" s="89" t="s">
        <v>67</v>
      </c>
      <c r="L28" s="1"/>
      <c r="M28" s="139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</row>
    <row r="29" ht="3.75" customHeight="1">
      <c r="A29" s="1"/>
      <c r="B29" s="1"/>
      <c r="C29" s="1"/>
      <c r="D29" s="1"/>
      <c r="E29" s="1"/>
      <c r="F29" s="1"/>
      <c r="G29" s="1"/>
      <c r="H29" s="92"/>
      <c r="I29" s="85"/>
      <c r="J29" s="1"/>
      <c r="K29" s="89"/>
      <c r="L29" s="1"/>
      <c r="M29" s="118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</row>
    <row r="30" ht="14.25" customHeight="1">
      <c r="A30" s="1"/>
      <c r="B30" s="1"/>
      <c r="C30" s="1"/>
      <c r="D30" s="1" t="s">
        <v>68</v>
      </c>
      <c r="E30" s="1"/>
      <c r="F30" s="1"/>
      <c r="G30" s="1"/>
      <c r="H30" s="83">
        <v>3061386.0</v>
      </c>
      <c r="I30" s="85"/>
      <c r="J30" s="1"/>
      <c r="K30" s="142" t="s">
        <v>69</v>
      </c>
      <c r="L30" s="1"/>
      <c r="M30" s="139">
        <v>2853216.0</v>
      </c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</row>
    <row r="31" ht="3.75" customHeight="1">
      <c r="A31" s="1"/>
      <c r="B31" s="1"/>
      <c r="C31" s="1"/>
      <c r="D31" s="1"/>
      <c r="E31" s="1"/>
      <c r="F31" s="1"/>
      <c r="G31" s="1"/>
      <c r="H31" s="85"/>
      <c r="I31" s="85"/>
      <c r="J31" s="1"/>
      <c r="K31" s="89"/>
      <c r="L31" s="1"/>
      <c r="M31" s="118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</row>
    <row r="32" ht="17.25" customHeight="1">
      <c r="A32" s="1"/>
      <c r="B32" s="60" t="s">
        <v>71</v>
      </c>
      <c r="C32" s="13"/>
      <c r="D32" s="14"/>
      <c r="E32" s="1"/>
      <c r="F32" s="1"/>
      <c r="G32" s="1"/>
      <c r="H32" s="85"/>
      <c r="I32" s="1"/>
      <c r="J32" s="1"/>
      <c r="K32" s="142" t="s">
        <v>72</v>
      </c>
      <c r="L32" s="1"/>
      <c r="M32" s="139">
        <v>554000.0</v>
      </c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ht="3.75" customHeight="1">
      <c r="A33" s="1"/>
      <c r="B33" s="1"/>
      <c r="C33" s="1"/>
      <c r="D33" s="1"/>
      <c r="E33" s="1"/>
      <c r="F33" s="1"/>
      <c r="G33" s="1"/>
      <c r="H33" s="85"/>
      <c r="I33" s="85"/>
      <c r="J33" s="1"/>
      <c r="K33" s="89"/>
      <c r="L33" s="1"/>
      <c r="M33" s="118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</row>
    <row r="34" ht="14.25" customHeight="1">
      <c r="A34" s="1"/>
      <c r="B34" s="1"/>
      <c r="C34" s="1"/>
      <c r="D34" s="1" t="s">
        <v>74</v>
      </c>
      <c r="E34" s="1"/>
      <c r="F34" s="1"/>
      <c r="G34" s="1"/>
      <c r="H34" s="83">
        <v>4.9918971E7</v>
      </c>
      <c r="I34" s="85"/>
      <c r="J34" s="1"/>
      <c r="K34" s="142"/>
      <c r="L34" s="1"/>
      <c r="M34" s="139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</row>
    <row r="35" ht="3.75" customHeight="1">
      <c r="A35" s="1"/>
      <c r="B35" s="1"/>
      <c r="C35" s="1"/>
      <c r="D35" s="1"/>
      <c r="E35" s="1"/>
      <c r="F35" s="1"/>
      <c r="G35" s="1"/>
      <c r="H35" s="92"/>
      <c r="I35" s="85"/>
      <c r="J35" s="1"/>
      <c r="K35" s="89"/>
      <c r="L35" s="1"/>
      <c r="M35" s="118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</row>
    <row r="36" ht="14.25" customHeight="1">
      <c r="A36" s="1"/>
      <c r="B36" s="1"/>
      <c r="C36" s="1"/>
      <c r="D36" s="1" t="s">
        <v>75</v>
      </c>
      <c r="E36" s="1"/>
      <c r="F36" s="1"/>
      <c r="G36" s="1"/>
      <c r="H36" s="85">
        <f>H56</f>
        <v>62079551</v>
      </c>
      <c r="I36" s="109" t="s">
        <v>77</v>
      </c>
      <c r="J36" s="1"/>
      <c r="K36" s="142"/>
      <c r="L36" s="1"/>
      <c r="M36" s="139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</row>
    <row r="37" ht="3.75" customHeight="1">
      <c r="A37" s="1"/>
      <c r="B37" s="1"/>
      <c r="C37" s="1"/>
      <c r="D37" s="1"/>
      <c r="E37" s="1"/>
      <c r="F37" s="1"/>
      <c r="G37" s="1"/>
      <c r="H37" s="92"/>
      <c r="I37" s="85"/>
      <c r="J37" s="1"/>
      <c r="K37" s="89"/>
      <c r="L37" s="1"/>
      <c r="M37" s="118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</row>
    <row r="38" ht="15.0" customHeight="1">
      <c r="A38" s="1"/>
      <c r="B38" s="1"/>
      <c r="C38" s="1"/>
      <c r="D38" s="89" t="s">
        <v>80</v>
      </c>
      <c r="E38" s="89"/>
      <c r="F38" s="89"/>
      <c r="G38" s="89"/>
      <c r="H38" s="96">
        <v>6.0972337E7</v>
      </c>
      <c r="I38" s="85"/>
      <c r="J38" s="1"/>
      <c r="K38" s="16" t="s">
        <v>81</v>
      </c>
      <c r="L38" s="1"/>
      <c r="M38" s="139">
        <v>146784.0</v>
      </c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</row>
    <row r="39" ht="3.75" customHeight="1">
      <c r="A39" s="1"/>
      <c r="B39" s="1"/>
      <c r="C39" s="1"/>
      <c r="D39" s="1"/>
      <c r="E39" s="1"/>
      <c r="F39" s="1"/>
      <c r="G39" s="1"/>
      <c r="H39" s="128"/>
      <c r="I39" s="85"/>
      <c r="J39" s="1"/>
      <c r="K39" s="1"/>
      <c r="L39" s="1"/>
      <c r="M39" s="1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</row>
    <row r="40" ht="17.25" customHeight="1">
      <c r="A40" s="1"/>
      <c r="B40" s="1"/>
      <c r="C40" s="1"/>
      <c r="D40" s="146" t="s">
        <v>82</v>
      </c>
      <c r="E40" s="147"/>
      <c r="F40" s="27"/>
      <c r="G40" s="1"/>
      <c r="H40" s="148">
        <f>SUM(H24:H38)</f>
        <v>216265539</v>
      </c>
      <c r="I40" s="85"/>
      <c r="J40" s="1"/>
      <c r="K40" s="89" t="str">
        <f>CONCAT("    Accrued revenue to be received in ",'F Population'!P$6)</f>
        <v>    Accrued revenue to be received in 2026 - 27</v>
      </c>
      <c r="L40" s="1"/>
      <c r="M40" s="139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</row>
    <row r="41" ht="3.75" customHeight="1">
      <c r="A41" s="1"/>
      <c r="B41" s="1"/>
      <c r="C41" s="1"/>
      <c r="D41" s="37"/>
      <c r="E41" s="44"/>
      <c r="F41" s="38"/>
      <c r="G41" s="1"/>
      <c r="H41" s="55"/>
      <c r="I41" s="85"/>
      <c r="J41" s="1"/>
      <c r="K41" s="1"/>
      <c r="L41" s="1"/>
      <c r="M41" s="1"/>
      <c r="N41" s="1"/>
      <c r="O41" s="1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</row>
    <row r="42" ht="18.0" customHeight="1">
      <c r="A42" s="1"/>
      <c r="B42" s="1"/>
      <c r="C42" s="1"/>
      <c r="D42" s="1"/>
      <c r="E42" s="1"/>
      <c r="F42" s="1"/>
      <c r="G42" s="1"/>
      <c r="H42" s="149"/>
      <c r="I42" s="85"/>
      <c r="J42" s="1"/>
      <c r="K42" s="132" t="s">
        <v>85</v>
      </c>
      <c r="L42" s="1"/>
      <c r="M42" s="16"/>
      <c r="N42" s="16"/>
      <c r="O42" s="16">
        <f>SUM(M26:M40)</f>
        <v>6623000</v>
      </c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ht="9.0" customHeight="1">
      <c r="A43" s="1"/>
      <c r="B43" s="1"/>
      <c r="C43" s="1"/>
      <c r="D43" s="1"/>
      <c r="E43" s="1"/>
      <c r="F43" s="1"/>
      <c r="G43" s="1"/>
      <c r="H43" s="1"/>
      <c r="I43" s="85"/>
      <c r="J43" s="1"/>
      <c r="K43" s="132"/>
      <c r="L43" s="1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</row>
    <row r="44" ht="21.0" customHeight="1">
      <c r="A44" s="1"/>
      <c r="B44" s="60" t="s">
        <v>87</v>
      </c>
      <c r="C44" s="13"/>
      <c r="D44" s="13"/>
      <c r="E44" s="13"/>
      <c r="F44" s="14"/>
      <c r="G44" s="1"/>
      <c r="H44" s="149"/>
      <c r="I44" s="85"/>
      <c r="J44" s="1"/>
      <c r="K44" s="132" t="s">
        <v>88</v>
      </c>
      <c r="L44" s="1"/>
      <c r="M44" s="16"/>
      <c r="N44" s="16"/>
      <c r="O44" s="139">
        <v>5774308.0</v>
      </c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</row>
    <row r="45" ht="4.5" customHeight="1">
      <c r="A45" s="1"/>
      <c r="B45" s="1"/>
      <c r="C45" s="1"/>
      <c r="D45" s="1"/>
      <c r="E45" s="1"/>
      <c r="F45" s="1"/>
      <c r="G45" s="1"/>
      <c r="H45" s="1"/>
      <c r="I45" s="85"/>
      <c r="J45" s="1"/>
      <c r="K45" s="16"/>
      <c r="L45" s="16"/>
      <c r="M45" s="16"/>
      <c r="N45" s="16"/>
      <c r="O45" s="150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</row>
    <row r="46" ht="14.25" customHeight="1">
      <c r="A46" s="1"/>
      <c r="B46" s="151" t="s">
        <v>91</v>
      </c>
      <c r="C46" s="151"/>
      <c r="D46" s="1"/>
      <c r="E46" s="1"/>
      <c r="F46" s="1"/>
      <c r="G46" s="1"/>
      <c r="H46" s="85"/>
      <c r="I46" s="85"/>
      <c r="J46" s="1"/>
      <c r="K46" s="152" t="s">
        <v>92</v>
      </c>
      <c r="L46" s="1"/>
      <c r="M46" s="16"/>
      <c r="N46" s="16"/>
      <c r="O46" s="153">
        <f>SUM(O19:O44)</f>
        <v>62732139</v>
      </c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</row>
    <row r="47" ht="6.75" customHeight="1">
      <c r="A47" s="1"/>
      <c r="B47" s="151"/>
      <c r="C47" s="151"/>
      <c r="D47" s="1"/>
      <c r="E47" s="1"/>
      <c r="F47" s="1"/>
      <c r="G47" s="1"/>
      <c r="H47" s="85"/>
      <c r="I47" s="85"/>
      <c r="J47" s="1"/>
      <c r="K47" s="152"/>
      <c r="L47" s="1"/>
      <c r="M47" s="16"/>
      <c r="N47" s="16"/>
      <c r="O47" s="154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</row>
    <row r="48" ht="14.25" customHeight="1">
      <c r="A48" s="1"/>
      <c r="B48" s="25" t="s">
        <v>93</v>
      </c>
      <c r="C48" s="151"/>
      <c r="D48" s="1"/>
      <c r="E48" s="1"/>
      <c r="F48" s="1"/>
      <c r="G48" s="1"/>
      <c r="H48" s="83">
        <v>1066000.0</v>
      </c>
      <c r="I48" s="85"/>
      <c r="J48" s="1"/>
      <c r="K48" s="152"/>
      <c r="L48" s="1"/>
      <c r="M48" s="16"/>
      <c r="N48" s="16"/>
      <c r="O48" s="154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</row>
    <row r="49" ht="3.75" customHeight="1">
      <c r="A49" s="1"/>
      <c r="B49" s="151"/>
      <c r="C49" s="151"/>
      <c r="D49" s="1"/>
      <c r="E49" s="1"/>
      <c r="F49" s="1"/>
      <c r="G49" s="1"/>
      <c r="H49" s="85"/>
      <c r="I49" s="1"/>
      <c r="J49" s="1"/>
      <c r="K49" s="152"/>
      <c r="L49" s="1"/>
      <c r="M49" s="16"/>
      <c r="N49" s="16"/>
      <c r="O49" s="154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</row>
    <row r="50" ht="14.25" customHeight="1">
      <c r="A50" s="1"/>
      <c r="B50" s="25" t="s">
        <v>95</v>
      </c>
      <c r="C50" s="25"/>
      <c r="D50" s="1"/>
      <c r="E50" s="1"/>
      <c r="F50" s="1"/>
      <c r="G50" s="1"/>
      <c r="H50" s="83">
        <v>7912470.0</v>
      </c>
      <c r="I50" s="155"/>
      <c r="J50" s="1"/>
      <c r="K50" s="156" t="s">
        <v>96</v>
      </c>
      <c r="L50" s="1"/>
      <c r="M50" s="16"/>
      <c r="N50" s="1"/>
      <c r="O50" s="1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</row>
    <row r="51" ht="3.75" customHeight="1">
      <c r="A51" s="1"/>
      <c r="B51" s="1"/>
      <c r="C51" s="1"/>
      <c r="D51" s="1"/>
      <c r="E51" s="1"/>
      <c r="F51" s="1"/>
      <c r="G51" s="1"/>
      <c r="H51" s="85"/>
      <c r="I51" s="155"/>
      <c r="J51" s="1"/>
      <c r="K51" s="158"/>
      <c r="L51" s="1"/>
      <c r="M51" s="16"/>
      <c r="N51" s="1"/>
      <c r="O51" s="1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</row>
    <row r="52" ht="14.25" customHeight="1">
      <c r="A52" s="1"/>
      <c r="B52" s="25" t="s">
        <v>98</v>
      </c>
      <c r="C52" s="25"/>
      <c r="D52" s="1"/>
      <c r="E52" s="1"/>
      <c r="F52" s="1"/>
      <c r="G52" s="1"/>
      <c r="H52" s="83">
        <f>30928000</f>
        <v>30928000</v>
      </c>
      <c r="I52" s="155"/>
      <c r="J52" s="1"/>
      <c r="K52" s="139" t="s">
        <v>99</v>
      </c>
      <c r="L52" s="1"/>
      <c r="M52" s="159">
        <v>3.1596447E7</v>
      </c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ht="3.75" customHeight="1">
      <c r="A53" s="1"/>
      <c r="B53" s="1"/>
      <c r="C53" s="1"/>
      <c r="D53" s="1"/>
      <c r="E53" s="1"/>
      <c r="F53" s="1"/>
      <c r="G53" s="1"/>
      <c r="H53" s="1"/>
      <c r="I53" s="155"/>
      <c r="J53" s="1"/>
      <c r="K53" s="118"/>
      <c r="L53" s="1"/>
      <c r="M53" s="118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</row>
    <row r="54" ht="14.25" customHeight="1">
      <c r="A54" s="1"/>
      <c r="B54" s="25" t="s">
        <v>101</v>
      </c>
      <c r="C54" s="25"/>
      <c r="D54" s="1"/>
      <c r="E54" s="1"/>
      <c r="F54" s="1"/>
      <c r="G54" s="1"/>
      <c r="H54" s="83">
        <f>24233081-2060000</f>
        <v>22173081</v>
      </c>
      <c r="I54" s="155"/>
      <c r="J54" s="1"/>
      <c r="K54" s="139" t="s">
        <v>102</v>
      </c>
      <c r="L54" s="1"/>
      <c r="M54" s="159">
        <v>3.0747521E7</v>
      </c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</row>
    <row r="55" ht="4.5" customHeight="1">
      <c r="A55" s="1"/>
      <c r="B55" s="151"/>
      <c r="C55" s="151"/>
      <c r="D55" s="1"/>
      <c r="E55" s="1"/>
      <c r="F55" s="1"/>
      <c r="G55" s="1"/>
      <c r="H55" s="160"/>
      <c r="I55" s="155"/>
      <c r="J55" s="1"/>
      <c r="K55" s="118"/>
      <c r="L55" s="1"/>
      <c r="M55" s="118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</row>
    <row r="56" ht="14.25" customHeight="1">
      <c r="A56" s="1"/>
      <c r="B56" s="151" t="s">
        <v>104</v>
      </c>
      <c r="C56" s="151"/>
      <c r="D56" s="1"/>
      <c r="E56" s="1"/>
      <c r="F56" s="1"/>
      <c r="G56" s="1"/>
      <c r="H56" s="160">
        <f>SUM(H48:H54)</f>
        <v>62079551</v>
      </c>
      <c r="I56" s="109" t="s">
        <v>106</v>
      </c>
      <c r="J56" s="1"/>
      <c r="K56" s="139" t="s">
        <v>107</v>
      </c>
      <c r="L56" s="1"/>
      <c r="M56" s="159">
        <f>-M66-M68-M70-M74-M76-O80</f>
        <v>-25881544.29</v>
      </c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</row>
    <row r="57" ht="4.5" customHeight="1">
      <c r="A57" s="1"/>
      <c r="B57" s="151"/>
      <c r="C57" s="151"/>
      <c r="D57" s="1"/>
      <c r="E57" s="1"/>
      <c r="F57" s="1"/>
      <c r="G57" s="1"/>
      <c r="H57" s="160"/>
      <c r="I57" s="155"/>
      <c r="J57" s="1"/>
      <c r="K57" s="118"/>
      <c r="L57" s="1"/>
      <c r="M57" s="118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</row>
    <row r="58" ht="14.25" customHeight="1">
      <c r="A58" s="1"/>
      <c r="B58" s="151" t="s">
        <v>109</v>
      </c>
      <c r="C58" s="151"/>
      <c r="D58" s="1"/>
      <c r="E58" s="1"/>
      <c r="F58" s="1"/>
      <c r="G58" s="1"/>
      <c r="H58" s="1"/>
      <c r="I58" s="1"/>
      <c r="J58" s="1"/>
      <c r="K58" s="139"/>
      <c r="L58" s="1"/>
      <c r="M58" s="159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</row>
    <row r="59" ht="4.5" customHeight="1">
      <c r="A59" s="1"/>
      <c r="B59" s="151"/>
      <c r="C59" s="151"/>
      <c r="D59" s="1"/>
      <c r="E59" s="1"/>
      <c r="F59" s="1"/>
      <c r="G59" s="1"/>
      <c r="H59" s="160"/>
      <c r="I59" s="1"/>
      <c r="J59" s="1"/>
      <c r="K59" s="118"/>
      <c r="L59" s="1"/>
      <c r="M59" s="118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</row>
    <row r="60" ht="14.25" customHeight="1">
      <c r="A60" s="1"/>
      <c r="B60" s="25" t="s">
        <v>110</v>
      </c>
      <c r="C60" s="25"/>
      <c r="D60" s="1"/>
      <c r="E60" s="1"/>
      <c r="F60" s="1"/>
      <c r="G60" s="1"/>
      <c r="H60" s="85">
        <f>H48</f>
        <v>1066000</v>
      </c>
      <c r="I60" s="1"/>
      <c r="J60" s="1"/>
      <c r="K60" s="139"/>
      <c r="L60" s="1"/>
      <c r="M60" s="159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</row>
    <row r="61" ht="4.5" customHeight="1">
      <c r="A61" s="1"/>
      <c r="B61" s="25"/>
      <c r="C61" s="25"/>
      <c r="D61" s="1"/>
      <c r="E61" s="1"/>
      <c r="F61" s="1"/>
      <c r="G61" s="1"/>
      <c r="H61" s="1"/>
      <c r="I61" s="1"/>
      <c r="J61" s="1"/>
      <c r="K61" s="118"/>
      <c r="L61" s="1"/>
      <c r="M61" s="118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</row>
    <row r="62" ht="14.25" customHeight="1">
      <c r="A62" s="1"/>
      <c r="B62" s="25" t="s">
        <v>83</v>
      </c>
      <c r="C62" s="25"/>
      <c r="D62" s="1"/>
      <c r="E62" s="1"/>
      <c r="F62" s="1"/>
      <c r="G62" s="1"/>
      <c r="H62" s="83">
        <v>3200000.0</v>
      </c>
      <c r="I62" s="1"/>
      <c r="J62" s="1"/>
      <c r="K62" s="139"/>
      <c r="L62" s="1"/>
      <c r="M62" s="139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</row>
    <row r="63" ht="4.5" customHeight="1">
      <c r="A63" s="1"/>
      <c r="B63" s="25"/>
      <c r="C63" s="25"/>
      <c r="D63" s="1"/>
      <c r="E63" s="1"/>
      <c r="F63" s="1"/>
      <c r="G63" s="1"/>
      <c r="H63" s="1"/>
      <c r="I63" s="1"/>
      <c r="J63" s="1"/>
      <c r="K63" s="118"/>
      <c r="L63" s="1"/>
      <c r="M63" s="118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</row>
    <row r="64" ht="14.25" customHeight="1">
      <c r="A64" s="1"/>
      <c r="B64" s="25" t="s">
        <v>112</v>
      </c>
      <c r="C64" s="25"/>
      <c r="D64" s="1"/>
      <c r="E64" s="1"/>
      <c r="F64" s="1"/>
      <c r="G64" s="1"/>
      <c r="H64" s="83">
        <v>1337899.0</v>
      </c>
      <c r="I64" s="1"/>
      <c r="J64" s="1"/>
      <c r="K64" s="139"/>
      <c r="L64" s="1"/>
      <c r="M64" s="139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</row>
    <row r="65" ht="4.5" customHeight="1">
      <c r="A65" s="1"/>
      <c r="B65" s="25"/>
      <c r="C65" s="25"/>
      <c r="D65" s="1"/>
      <c r="E65" s="1"/>
      <c r="F65" s="1"/>
      <c r="G65" s="1"/>
      <c r="H65" s="1"/>
      <c r="I65" s="1"/>
      <c r="J65" s="1"/>
      <c r="K65" s="118"/>
      <c r="L65" s="1"/>
      <c r="M65" s="118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</row>
    <row r="66" ht="15.0" customHeight="1">
      <c r="A66" s="1"/>
      <c r="B66" s="25" t="s">
        <v>86</v>
      </c>
      <c r="C66" s="25"/>
      <c r="D66" s="1"/>
      <c r="E66" s="1"/>
      <c r="F66" s="1"/>
      <c r="G66" s="1"/>
      <c r="H66" s="83">
        <v>3263000.0</v>
      </c>
      <c r="I66" s="85"/>
      <c r="J66" s="1"/>
      <c r="K66" s="89" t="s">
        <v>113</v>
      </c>
      <c r="L66" s="1"/>
      <c r="M66" s="139">
        <v>6339780.0</v>
      </c>
      <c r="N66" s="16"/>
      <c r="O66" s="16" t="s">
        <v>114</v>
      </c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</row>
    <row r="67" ht="4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89"/>
      <c r="L67" s="1"/>
      <c r="M67" s="118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</row>
    <row r="68" ht="14.25" customHeight="1">
      <c r="A68" s="1"/>
      <c r="B68" s="151" t="s">
        <v>116</v>
      </c>
      <c r="C68" s="151"/>
      <c r="D68" s="1"/>
      <c r="E68" s="1"/>
      <c r="F68" s="1"/>
      <c r="G68" s="1"/>
      <c r="H68" s="160">
        <f>SUM(H60:H66)</f>
        <v>8866899</v>
      </c>
      <c r="I68" s="109" t="s">
        <v>117</v>
      </c>
      <c r="J68" s="1"/>
      <c r="K68" s="89" t="s">
        <v>118</v>
      </c>
      <c r="L68" s="1"/>
      <c r="M68" s="139">
        <f>H28*0.052</f>
        <v>1392731.288</v>
      </c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</row>
    <row r="69" ht="4.5" customHeight="1">
      <c r="A69" s="1"/>
      <c r="B69" s="151"/>
      <c r="C69" s="151"/>
      <c r="D69" s="1"/>
      <c r="E69" s="1"/>
      <c r="F69" s="1"/>
      <c r="G69" s="1"/>
      <c r="H69" s="160"/>
      <c r="I69" s="1"/>
      <c r="J69" s="1"/>
      <c r="K69" s="89"/>
      <c r="L69" s="1"/>
      <c r="M69" s="118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</row>
    <row r="70" ht="14.25" customHeight="1">
      <c r="A70" s="1"/>
      <c r="B70" s="151" t="s">
        <v>119</v>
      </c>
      <c r="C70" s="151"/>
      <c r="D70" s="1"/>
      <c r="E70" s="1"/>
      <c r="F70" s="1"/>
      <c r="G70" s="1"/>
      <c r="H70" s="160"/>
      <c r="I70" s="1"/>
      <c r="J70" s="1"/>
      <c r="K70" s="89" t="s">
        <v>120</v>
      </c>
      <c r="L70" s="1"/>
      <c r="M70" s="173">
        <v>2834988.0</v>
      </c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ht="4.5" customHeight="1">
      <c r="A71" s="1"/>
      <c r="B71" s="151"/>
      <c r="C71" s="151"/>
      <c r="D71" s="1"/>
      <c r="E71" s="1"/>
      <c r="F71" s="1"/>
      <c r="G71" s="1"/>
      <c r="H71" s="160"/>
      <c r="I71" s="1"/>
      <c r="J71" s="1"/>
      <c r="K71" s="16"/>
      <c r="L71" s="1"/>
      <c r="M71" s="1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ht="15.0" customHeight="1">
      <c r="A72" s="1"/>
      <c r="B72" s="174" t="s">
        <v>123</v>
      </c>
      <c r="C72" s="151"/>
      <c r="D72" s="174" t="s">
        <v>124</v>
      </c>
      <c r="E72" s="174"/>
      <c r="F72" s="174" t="s">
        <v>125</v>
      </c>
      <c r="G72" s="174"/>
      <c r="H72" s="175" t="s">
        <v>126</v>
      </c>
      <c r="I72" s="1"/>
      <c r="J72" s="1"/>
      <c r="K72" s="89" t="s">
        <v>127</v>
      </c>
      <c r="L72" s="1"/>
      <c r="M72" s="139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</row>
    <row r="73" ht="4.5" customHeight="1">
      <c r="A73" s="1"/>
      <c r="B73" s="174"/>
      <c r="C73" s="151"/>
      <c r="D73" s="174"/>
      <c r="E73" s="174"/>
      <c r="F73" s="174"/>
      <c r="G73" s="174"/>
      <c r="H73" s="175"/>
      <c r="I73" s="1"/>
      <c r="J73" s="1"/>
      <c r="K73" s="16"/>
      <c r="L73" s="1"/>
      <c r="M73" s="1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</row>
    <row r="74" ht="15.75" customHeight="1">
      <c r="A74" s="1"/>
      <c r="B74" s="176" t="str">
        <f>'F Population'!$P$6</f>
        <v>2026 - 27</v>
      </c>
      <c r="C74" s="177"/>
      <c r="D74" s="83">
        <v>592000.0</v>
      </c>
      <c r="E74" s="1"/>
      <c r="F74" s="83">
        <v>153000.0</v>
      </c>
      <c r="G74" s="1"/>
      <c r="H74" s="16">
        <f>D74+F74</f>
        <v>745000</v>
      </c>
      <c r="I74" s="1"/>
      <c r="J74" s="1"/>
      <c r="K74" s="89" t="s">
        <v>129</v>
      </c>
      <c r="L74" s="1"/>
      <c r="M74" s="139">
        <v>8377045.0</v>
      </c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</row>
    <row r="75" ht="4.5" customHeight="1">
      <c r="A75" s="1"/>
      <c r="B75" s="178"/>
      <c r="C75" s="177"/>
      <c r="D75" s="1"/>
      <c r="E75" s="1"/>
      <c r="F75" s="1"/>
      <c r="G75" s="1"/>
      <c r="H75" s="16"/>
      <c r="I75" s="1"/>
      <c r="J75" s="1"/>
      <c r="K75" s="89"/>
      <c r="L75" s="1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</row>
    <row r="76" ht="15.75" customHeight="1">
      <c r="A76" s="1"/>
      <c r="B76" s="176" t="str">
        <f>'F Population'!$U$6</f>
        <v>2027 - 28</v>
      </c>
      <c r="C76" s="1"/>
      <c r="D76" s="83">
        <v>590000.0</v>
      </c>
      <c r="E76" s="1"/>
      <c r="F76" s="83">
        <v>142000.0</v>
      </c>
      <c r="G76" s="1"/>
      <c r="H76" s="16">
        <f>D76+F76</f>
        <v>732000</v>
      </c>
      <c r="I76" s="1"/>
      <c r="J76" s="1"/>
      <c r="K76" s="89" t="s">
        <v>130</v>
      </c>
      <c r="L76" s="1"/>
      <c r="M76" s="139"/>
      <c r="N76" s="1"/>
      <c r="O76" s="1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</row>
    <row r="77" ht="4.5" customHeight="1">
      <c r="A77" s="1"/>
      <c r="B77" s="178"/>
      <c r="C77" s="1"/>
      <c r="D77" s="1"/>
      <c r="E77" s="1"/>
      <c r="F77" s="1"/>
      <c r="G77" s="1"/>
      <c r="H77" s="16"/>
      <c r="I77" s="1"/>
      <c r="J77" s="1"/>
      <c r="K77" s="1"/>
      <c r="L77" s="1"/>
      <c r="M77" s="1"/>
      <c r="N77" s="1"/>
      <c r="O77" s="1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</row>
    <row r="78" ht="15.75" customHeight="1">
      <c r="A78" s="1"/>
      <c r="B78" s="176" t="str">
        <f>'F Population'!$W$6</f>
        <v>2028 - 29</v>
      </c>
      <c r="C78" s="1"/>
      <c r="D78" s="83">
        <v>610000.0</v>
      </c>
      <c r="E78" s="1"/>
      <c r="F78" s="83">
        <v>144000.0</v>
      </c>
      <c r="G78" s="1"/>
      <c r="H78" s="16">
        <f>D78+F78</f>
        <v>754000</v>
      </c>
      <c r="I78" s="1"/>
      <c r="J78" s="1"/>
      <c r="K78" s="132" t="s">
        <v>131</v>
      </c>
      <c r="L78" s="1"/>
      <c r="M78" s="16"/>
      <c r="N78" s="16"/>
      <c r="O78" s="16">
        <f>SUM(M52:M76)</f>
        <v>55406968</v>
      </c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</row>
    <row r="79" ht="4.5" customHeight="1">
      <c r="A79" s="1"/>
      <c r="B79" s="178"/>
      <c r="C79" s="1"/>
      <c r="D79" s="1"/>
      <c r="E79" s="1"/>
      <c r="F79" s="1"/>
      <c r="G79" s="1"/>
      <c r="H79" s="16"/>
      <c r="I79" s="1"/>
      <c r="J79" s="1"/>
      <c r="K79" s="1"/>
      <c r="L79" s="1"/>
      <c r="M79" s="1"/>
      <c r="N79" s="1"/>
      <c r="O79" s="1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</row>
    <row r="80" ht="15.75" customHeight="1">
      <c r="A80" s="1"/>
      <c r="B80" s="176" t="str">
        <f>'F Population'!$Y$6</f>
        <v>2029 - 30</v>
      </c>
      <c r="C80" s="1"/>
      <c r="D80" s="83">
        <v>640000.0</v>
      </c>
      <c r="E80" s="1"/>
      <c r="F80" s="83">
        <v>146000.0</v>
      </c>
      <c r="G80" s="1"/>
      <c r="H80" s="16">
        <f>D80+F80</f>
        <v>786000</v>
      </c>
      <c r="I80" s="1"/>
      <c r="J80" s="1"/>
      <c r="K80" s="132" t="s">
        <v>133</v>
      </c>
      <c r="L80" s="1"/>
      <c r="M80" s="1"/>
      <c r="N80" s="16"/>
      <c r="O80" s="139">
        <v>6937000.0</v>
      </c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</row>
    <row r="81" ht="4.5" customHeight="1">
      <c r="A81" s="1"/>
      <c r="B81" s="178"/>
      <c r="C81" s="1"/>
      <c r="D81" s="1"/>
      <c r="E81" s="1"/>
      <c r="F81" s="1"/>
      <c r="G81" s="1"/>
      <c r="H81" s="16"/>
      <c r="I81" s="1"/>
      <c r="J81" s="1"/>
      <c r="K81" s="180"/>
      <c r="L81" s="1"/>
      <c r="M81" s="1"/>
      <c r="N81" s="16"/>
      <c r="O81" s="118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</row>
    <row r="82" ht="15.75" customHeight="1">
      <c r="A82" s="1"/>
      <c r="B82" s="176" t="str">
        <f>'F Population'!$AA$6</f>
        <v>2030 - 31</v>
      </c>
      <c r="C82" s="1"/>
      <c r="D82" s="83">
        <v>665000.0</v>
      </c>
      <c r="E82" s="1"/>
      <c r="F82" s="83">
        <v>144000.0</v>
      </c>
      <c r="G82" s="1"/>
      <c r="H82" s="16">
        <f>D82+F82</f>
        <v>809000</v>
      </c>
      <c r="I82" s="1"/>
      <c r="J82" s="1"/>
      <c r="K82" s="132" t="s">
        <v>136</v>
      </c>
      <c r="L82" s="1"/>
      <c r="M82" s="16"/>
      <c r="N82" s="16"/>
      <c r="O82" s="16">
        <f>O78+O80</f>
        <v>62343968</v>
      </c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</row>
    <row r="83" ht="4.5" customHeight="1">
      <c r="A83" s="1"/>
      <c r="B83" s="178"/>
      <c r="C83" s="1"/>
      <c r="D83" s="1"/>
      <c r="E83" s="1"/>
      <c r="F83" s="1"/>
      <c r="G83" s="1"/>
      <c r="H83" s="16"/>
      <c r="I83" s="1"/>
      <c r="J83" s="1"/>
      <c r="K83" s="89"/>
      <c r="L83" s="1"/>
      <c r="M83" s="185"/>
      <c r="N83" s="16"/>
      <c r="O83" s="18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</row>
    <row r="84" ht="15.75" customHeight="1">
      <c r="A84" s="1"/>
      <c r="B84" s="176" t="str">
        <f>'F Population'!$AC$6</f>
        <v>2031 - 32</v>
      </c>
      <c r="C84" s="187"/>
      <c r="D84" s="83">
        <v>695000.0</v>
      </c>
      <c r="E84" s="1"/>
      <c r="F84" s="83">
        <v>760000.0</v>
      </c>
      <c r="G84" s="1"/>
      <c r="H84" s="16">
        <f>D84+F84</f>
        <v>1455000</v>
      </c>
      <c r="I84" s="1"/>
      <c r="J84" s="1"/>
      <c r="K84" s="132" t="s">
        <v>138</v>
      </c>
      <c r="L84" s="1"/>
      <c r="M84" s="188"/>
      <c r="N84" s="16"/>
      <c r="O84" s="189">
        <f>O46-O82</f>
        <v>388171</v>
      </c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</row>
    <row r="85" ht="6.0" customHeight="1">
      <c r="A85" s="1"/>
      <c r="B85" s="178"/>
      <c r="C85" s="1"/>
      <c r="D85" s="1"/>
      <c r="E85" s="1"/>
      <c r="F85" s="1"/>
      <c r="G85" s="1"/>
      <c r="H85" s="1"/>
      <c r="I85" s="1"/>
      <c r="J85" s="1"/>
      <c r="K85" s="132"/>
      <c r="L85" s="1"/>
      <c r="M85" s="188"/>
      <c r="N85" s="185"/>
      <c r="O85" s="1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</row>
    <row r="86" ht="15.75" customHeight="1">
      <c r="A86" s="1"/>
      <c r="B86" s="156" t="s">
        <v>140</v>
      </c>
      <c r="C86" s="1"/>
      <c r="D86" s="1"/>
      <c r="E86" s="1"/>
      <c r="F86" s="1"/>
      <c r="G86" s="1"/>
      <c r="H86" s="190">
        <f>H88-SUM(H74:H84)</f>
        <v>21502294</v>
      </c>
      <c r="I86" s="1"/>
      <c r="J86" s="1"/>
      <c r="K86" s="132" t="s">
        <v>141</v>
      </c>
      <c r="L86" s="1"/>
      <c r="M86" s="16"/>
      <c r="N86" s="89"/>
      <c r="O86" s="139">
        <v>1657229.0</v>
      </c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</row>
    <row r="87" ht="4.5" customHeight="1">
      <c r="A87" s="1"/>
      <c r="B87" s="191"/>
      <c r="C87" s="191"/>
      <c r="D87" s="1"/>
      <c r="E87" s="1"/>
      <c r="F87" s="1"/>
      <c r="G87" s="1"/>
      <c r="H87" s="85"/>
      <c r="I87" s="1"/>
      <c r="J87" s="1"/>
      <c r="K87" s="132"/>
      <c r="L87" s="1"/>
      <c r="M87" s="188"/>
      <c r="N87" s="89"/>
      <c r="O87" s="192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</row>
    <row r="88" ht="14.25" customHeight="1">
      <c r="A88" s="1"/>
      <c r="B88" s="191" t="s">
        <v>142</v>
      </c>
      <c r="C88" s="191"/>
      <c r="D88" s="1"/>
      <c r="E88" s="1"/>
      <c r="F88" s="1"/>
      <c r="G88" s="1"/>
      <c r="H88" s="194">
        <f>H28</f>
        <v>26783294</v>
      </c>
      <c r="I88" s="109" t="s">
        <v>144</v>
      </c>
      <c r="J88" s="1"/>
      <c r="K88" s="132" t="s">
        <v>145</v>
      </c>
      <c r="L88" s="1"/>
      <c r="M88" s="188"/>
      <c r="N88" s="16"/>
      <c r="O88" s="139">
        <v>-1030000.0</v>
      </c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</row>
    <row r="89" ht="4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32"/>
      <c r="L89" s="1"/>
      <c r="M89" s="188"/>
      <c r="N89" s="16"/>
      <c r="O89" s="19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</row>
    <row r="90" ht="14.25" customHeight="1">
      <c r="A90" s="1"/>
      <c r="B90" s="151" t="s">
        <v>146</v>
      </c>
      <c r="C90" s="151"/>
      <c r="D90" s="1"/>
      <c r="E90" s="1"/>
      <c r="F90" s="1"/>
      <c r="G90" s="1"/>
      <c r="H90" s="83">
        <v>3249877.0</v>
      </c>
      <c r="I90" s="1"/>
      <c r="J90" s="1"/>
      <c r="K90" s="158" t="s">
        <v>147</v>
      </c>
      <c r="L90" s="1"/>
      <c r="M90" s="188"/>
      <c r="N90" s="89"/>
      <c r="O90" s="1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</row>
    <row r="91" ht="5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58"/>
      <c r="L91" s="158"/>
      <c r="M91" s="158"/>
      <c r="N91" s="89"/>
      <c r="O91" s="158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</row>
    <row r="92" ht="15.75" customHeight="1">
      <c r="A92" s="1"/>
      <c r="B92" s="151" t="s">
        <v>148</v>
      </c>
      <c r="C92" s="151"/>
      <c r="D92" s="1"/>
      <c r="E92" s="1"/>
      <c r="F92" s="25" t="s">
        <v>149</v>
      </c>
      <c r="G92" s="1"/>
      <c r="H92" s="83">
        <v>4541000.0</v>
      </c>
      <c r="I92" s="1"/>
      <c r="J92" s="1"/>
      <c r="K92" s="197" t="s">
        <v>150</v>
      </c>
      <c r="L92" s="1"/>
      <c r="M92" s="188"/>
      <c r="N92" s="89"/>
      <c r="O92" s="189">
        <f>O84+O86+O88</f>
        <v>1015400</v>
      </c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</row>
    <row r="93" ht="4.5" customHeight="1">
      <c r="A93" s="1"/>
      <c r="B93" s="1"/>
      <c r="C93" s="1"/>
      <c r="D93" s="1"/>
      <c r="E93" s="1"/>
      <c r="F93" s="25"/>
      <c r="G93" s="1"/>
      <c r="H93" s="1"/>
      <c r="I93" s="1"/>
      <c r="J93" s="1"/>
      <c r="K93" s="158"/>
      <c r="L93" s="1"/>
      <c r="M93" s="188"/>
      <c r="N93" s="158"/>
      <c r="O93" s="189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</row>
    <row r="94" ht="15.0" customHeight="1">
      <c r="A94" s="1"/>
      <c r="B94" s="1"/>
      <c r="C94" s="1"/>
      <c r="D94" s="1"/>
      <c r="E94" s="1"/>
      <c r="F94" s="198" t="s">
        <v>151</v>
      </c>
      <c r="G94" s="199"/>
      <c r="H94" s="83">
        <v>4346500.0</v>
      </c>
      <c r="I94" s="1"/>
      <c r="J94" s="1"/>
      <c r="K94" s="158" t="s">
        <v>152</v>
      </c>
      <c r="L94" s="1"/>
      <c r="M94" s="188"/>
      <c r="N94" s="89"/>
      <c r="O94" s="139">
        <v>5974337.0</v>
      </c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</row>
    <row r="95" ht="4.5" customHeight="1">
      <c r="A95" s="1"/>
      <c r="B95" s="1"/>
      <c r="C95" s="1"/>
      <c r="D95" s="1"/>
      <c r="E95" s="1"/>
      <c r="F95" s="25"/>
      <c r="G95" s="1"/>
      <c r="H95" s="1"/>
      <c r="I95" s="1"/>
      <c r="J95" s="1"/>
      <c r="K95" s="158"/>
      <c r="L95" s="1"/>
      <c r="M95" s="188"/>
      <c r="N95" s="89"/>
      <c r="O95" s="189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</row>
    <row r="96" ht="15.0" customHeight="1">
      <c r="A96" s="1"/>
      <c r="B96" s="1"/>
      <c r="C96" s="1"/>
      <c r="D96" s="1"/>
      <c r="E96" s="1"/>
      <c r="F96" s="25" t="s">
        <v>153</v>
      </c>
      <c r="G96" s="1"/>
      <c r="H96" s="83">
        <v>530000.0</v>
      </c>
      <c r="I96" s="1"/>
      <c r="J96" s="1"/>
      <c r="K96" s="158" t="s">
        <v>154</v>
      </c>
      <c r="L96" s="1"/>
      <c r="M96" s="188"/>
      <c r="N96" s="89"/>
      <c r="O96" s="139">
        <v>3071226.0</v>
      </c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</row>
    <row r="97" ht="4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58"/>
      <c r="L97" s="1"/>
      <c r="M97" s="188"/>
      <c r="N97" s="89"/>
      <c r="O97" s="200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</row>
    <row r="98" ht="15.75" customHeight="1">
      <c r="A98" s="1"/>
      <c r="B98" s="1"/>
      <c r="C98" s="1"/>
      <c r="D98" s="1"/>
      <c r="E98" s="1"/>
      <c r="F98" s="201" t="s">
        <v>155</v>
      </c>
      <c r="G98" s="1"/>
      <c r="H98" s="202">
        <f>SUM(H92:H96)</f>
        <v>9417500</v>
      </c>
      <c r="I98" s="203" t="s">
        <v>156</v>
      </c>
      <c r="J98" s="1"/>
      <c r="K98" s="204" t="s">
        <v>157</v>
      </c>
      <c r="L98" s="1"/>
      <c r="M98" s="1"/>
      <c r="N98" s="89"/>
      <c r="O98" s="202">
        <f>O92+O94+O96</f>
        <v>10060963</v>
      </c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</row>
    <row r="99" ht="5.25" customHeight="1">
      <c r="A99" s="1"/>
      <c r="B99" s="1"/>
      <c r="C99" s="1"/>
      <c r="D99" s="1"/>
      <c r="E99" s="180"/>
      <c r="F99" s="205"/>
      <c r="G99" s="1"/>
      <c r="H99" s="206"/>
      <c r="I99" s="1"/>
      <c r="J99" s="1"/>
      <c r="K99" s="204"/>
      <c r="L99" s="1"/>
      <c r="M99" s="1"/>
      <c r="N99" s="89"/>
      <c r="O99" s="20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</row>
    <row r="100" ht="15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</row>
    <row r="101" ht="6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</row>
    <row r="102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</row>
    <row r="103" ht="4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</row>
    <row r="104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</row>
    <row r="105" ht="4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</row>
    <row r="10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</row>
    <row r="107" ht="4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</row>
    <row r="108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</row>
    <row r="109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</row>
    <row r="110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</row>
    <row r="111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6"/>
      <c r="K111" s="16"/>
      <c r="L111" s="16"/>
      <c r="M111" s="16"/>
      <c r="N111" s="16"/>
      <c r="O111" s="16"/>
      <c r="P111" s="16"/>
      <c r="Q111" s="16"/>
      <c r="R111" s="16"/>
      <c r="S111" s="16"/>
    </row>
    <row r="112" ht="14.25" customHeight="1">
      <c r="A112" s="1"/>
      <c r="B112" s="1"/>
      <c r="C112" s="1"/>
      <c r="D112" s="1"/>
      <c r="E112" s="1"/>
      <c r="F112" s="1"/>
      <c r="G112" s="1"/>
      <c r="H112" s="1"/>
      <c r="I112" s="1"/>
    </row>
    <row r="113" ht="14.25" customHeight="1">
      <c r="A113" s="1"/>
      <c r="B113" s="1"/>
      <c r="C113" s="1"/>
      <c r="D113" s="1"/>
      <c r="E113" s="1"/>
      <c r="F113" s="1"/>
      <c r="G113" s="1"/>
      <c r="H113" s="1"/>
      <c r="I113" s="1"/>
    </row>
    <row r="114" ht="14.25" customHeight="1">
      <c r="A114" s="1"/>
      <c r="B114" s="1"/>
      <c r="C114" s="1"/>
      <c r="D114" s="1"/>
      <c r="E114" s="1"/>
      <c r="F114" s="1"/>
      <c r="G114" s="1"/>
      <c r="H114" s="1"/>
      <c r="I114" s="1"/>
    </row>
    <row r="115" ht="14.25" customHeight="1">
      <c r="A115" s="1"/>
      <c r="B115" s="1"/>
      <c r="C115" s="1"/>
      <c r="D115" s="1"/>
      <c r="E115" s="1"/>
      <c r="F115" s="1"/>
      <c r="G115" s="1"/>
      <c r="H115" s="1"/>
      <c r="I115" s="1"/>
    </row>
    <row r="116" ht="14.25" customHeight="1">
      <c r="A116" s="1"/>
      <c r="B116" s="1"/>
      <c r="C116" s="1"/>
      <c r="D116" s="1"/>
      <c r="E116" s="1"/>
      <c r="F116" s="1"/>
      <c r="G116" s="1"/>
      <c r="H116" s="1"/>
      <c r="I116" s="1"/>
    </row>
    <row r="117" ht="14.25" customHeight="1">
      <c r="A117" s="1"/>
      <c r="B117" s="1"/>
      <c r="C117" s="1"/>
      <c r="D117" s="1"/>
      <c r="E117" s="1"/>
      <c r="F117" s="1"/>
      <c r="G117" s="1"/>
      <c r="H117" s="1"/>
      <c r="I117" s="1"/>
    </row>
    <row r="118" ht="14.25" customHeight="1">
      <c r="A118" s="1"/>
      <c r="B118" s="1"/>
      <c r="C118" s="1"/>
      <c r="D118" s="1"/>
      <c r="E118" s="1"/>
      <c r="F118" s="1"/>
      <c r="G118" s="1"/>
      <c r="H118" s="1"/>
      <c r="I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1"/>
    </row>
    <row r="137" ht="14.25" customHeight="1">
      <c r="A137" s="1"/>
      <c r="B137" s="1"/>
      <c r="C137" s="1"/>
      <c r="D137" s="1"/>
      <c r="E137" s="1"/>
      <c r="F137" s="1"/>
      <c r="G137" s="1"/>
      <c r="H137" s="1"/>
      <c r="I137" s="1"/>
    </row>
    <row r="138" ht="14.25" customHeight="1">
      <c r="A138" s="1"/>
      <c r="B138" s="1"/>
      <c r="C138" s="1"/>
      <c r="D138" s="1"/>
      <c r="E138" s="1"/>
      <c r="F138" s="1"/>
      <c r="G138" s="1"/>
      <c r="H138" s="1"/>
      <c r="I138" s="1"/>
    </row>
    <row r="139" ht="14.25" customHeight="1">
      <c r="A139" s="1"/>
      <c r="B139" s="1"/>
      <c r="C139" s="1"/>
      <c r="D139" s="1"/>
      <c r="E139" s="1"/>
      <c r="F139" s="1"/>
      <c r="G139" s="1"/>
      <c r="H139" s="1"/>
      <c r="I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</row>
    <row r="142" ht="14.25" customHeight="1">
      <c r="A142" s="1"/>
      <c r="B142" s="1"/>
      <c r="C142" s="1"/>
      <c r="D142" s="1"/>
      <c r="E142" s="1"/>
      <c r="F142" s="1"/>
      <c r="G142" s="1"/>
      <c r="H142" s="1"/>
      <c r="I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1"/>
    </row>
  </sheetData>
  <mergeCells count="10">
    <mergeCell ref="D40:F41"/>
    <mergeCell ref="B44:F44"/>
    <mergeCell ref="F98:F99"/>
    <mergeCell ref="H1:K1"/>
    <mergeCell ref="N2:O3"/>
    <mergeCell ref="H4:H5"/>
    <mergeCell ref="B6:D6"/>
    <mergeCell ref="B22:D22"/>
    <mergeCell ref="B32:D32"/>
    <mergeCell ref="H40:H41"/>
  </mergeCells>
  <printOptions/>
  <pageMargins bottom="0.75" footer="0.0" header="0.0" left="0.7" right="0.7" top="0.75"/>
  <pageSetup orientation="landscape"/>
  <headerFooter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5">
    <pageSetUpPr/>
  </sheetPr>
  <sheetViews>
    <sheetView workbookViewId="0">
      <pane xSplit="4.0" ySplit="4.0" topLeftCell="E5" activePane="bottomRight" state="frozen"/>
      <selection activeCell="E1" sqref="E1" pane="topRight"/>
      <selection activeCell="A5" sqref="A5" pane="bottomLeft"/>
      <selection activeCell="E5" sqref="E5" pane="bottomRight"/>
    </sheetView>
  </sheetViews>
  <sheetFormatPr customHeight="1" defaultColWidth="12.63" defaultRowHeight="15.0" outlineLevelCol="1"/>
  <cols>
    <col customWidth="1" min="1" max="1" width="5.38"/>
    <col customWidth="1" min="2" max="2" width="45.63"/>
    <col customWidth="1" min="3" max="3" width="0.88"/>
    <col customWidth="1" min="4" max="4" width="0.38"/>
    <col customWidth="1" min="5" max="5" width="1.0"/>
    <col customWidth="1" min="6" max="6" width="14.38"/>
    <col customWidth="1" min="7" max="7" width="1.0"/>
    <col customWidth="1" min="8" max="8" width="13.63"/>
    <col customWidth="1" min="9" max="9" width="1.0"/>
    <col customWidth="1" min="10" max="10" width="0.38" outlineLevel="1"/>
    <col customWidth="1" min="11" max="11" width="1.0" outlineLevel="1"/>
    <col customWidth="1" min="12" max="12" width="14.38" outlineLevel="1"/>
    <col customWidth="1" min="13" max="13" width="1.0" outlineLevel="1"/>
    <col customWidth="1" min="14" max="14" width="13.63" outlineLevel="1"/>
    <col customWidth="1" min="15" max="15" width="1.0" outlineLevel="1"/>
    <col customWidth="1" min="16" max="17" width="0.38" outlineLevel="1"/>
    <col customWidth="1" min="18" max="18" width="12.63" outlineLevel="1"/>
    <col customWidth="1" min="19" max="19" width="1.0" outlineLevel="1"/>
    <col customWidth="1" min="20" max="20" width="6.75" outlineLevel="1"/>
    <col customWidth="1" min="21" max="22" width="0.38" outlineLevel="1"/>
    <col customWidth="1" min="23" max="23" width="8.38"/>
    <col customWidth="1" min="24" max="24" width="8.88"/>
    <col customWidth="1" min="25" max="37" width="8.38"/>
  </cols>
  <sheetData>
    <row r="1" ht="60.0" customHeight="1">
      <c r="A1" s="1"/>
      <c r="B1" s="2" t="str">
        <f>'A Cover'!G8</f>
        <v>Example University</v>
      </c>
      <c r="C1" s="209"/>
      <c r="D1" s="209"/>
      <c r="E1" s="209"/>
      <c r="F1" s="211"/>
      <c r="G1" s="209"/>
      <c r="H1" s="209"/>
      <c r="I1" s="209"/>
      <c r="J1" s="209"/>
      <c r="K1" s="209"/>
      <c r="L1" s="209"/>
      <c r="M1" s="209"/>
      <c r="N1" s="1"/>
      <c r="O1" s="209"/>
      <c r="P1" s="209"/>
      <c r="Q1" s="209"/>
      <c r="R1" s="199"/>
      <c r="S1" s="199"/>
      <c r="T1" s="199"/>
      <c r="U1" s="199"/>
      <c r="V1" s="199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ht="14.25" customHeight="1">
      <c r="A2" s="1"/>
      <c r="B2" s="216" t="s">
        <v>165</v>
      </c>
      <c r="C2" s="217"/>
      <c r="D2" s="217"/>
      <c r="E2" s="217"/>
      <c r="F2" s="219" t="s">
        <v>0</v>
      </c>
      <c r="G2" s="34" t="s">
        <v>9</v>
      </c>
      <c r="H2" s="217"/>
      <c r="I2" s="217"/>
      <c r="J2" s="217"/>
      <c r="K2" s="217"/>
      <c r="L2" s="221"/>
      <c r="M2" s="217"/>
      <c r="N2" s="217"/>
      <c r="O2" s="217"/>
      <c r="P2" s="217"/>
      <c r="Q2" s="217"/>
      <c r="R2" s="224">
        <f>'A Cover'!G12</f>
        <v>46307</v>
      </c>
      <c r="S2" s="35"/>
      <c r="T2" s="21"/>
      <c r="U2" s="217"/>
      <c r="V2" s="217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ht="14.25" customHeight="1">
      <c r="A3" s="1"/>
      <c r="B3" s="226" t="s">
        <v>166</v>
      </c>
      <c r="C3" s="1"/>
      <c r="D3" s="1"/>
      <c r="E3" s="228"/>
      <c r="F3" s="151"/>
      <c r="G3" s="229"/>
      <c r="H3" s="229"/>
      <c r="I3" s="230"/>
      <c r="J3" s="230"/>
      <c r="K3" s="229"/>
      <c r="L3" s="232" t="s">
        <v>169</v>
      </c>
      <c r="M3" s="35"/>
      <c r="N3" s="21"/>
      <c r="O3" s="230"/>
      <c r="P3" s="230"/>
      <c r="Q3" s="230"/>
      <c r="R3" s="199"/>
      <c r="S3" s="1"/>
      <c r="T3" s="1"/>
      <c r="U3" s="178"/>
      <c r="V3" s="178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ht="17.25" customHeight="1">
      <c r="A4" s="1"/>
      <c r="B4" s="234" t="s">
        <v>170</v>
      </c>
      <c r="C4" s="1"/>
      <c r="D4" s="1"/>
      <c r="E4" s="89"/>
      <c r="F4" s="235" t="s">
        <v>171</v>
      </c>
      <c r="G4" s="236" t="str">
        <f>'F Population'!P$6</f>
        <v>2026 - 27</v>
      </c>
      <c r="H4" s="237"/>
      <c r="I4" s="238"/>
      <c r="J4" s="239"/>
      <c r="K4" s="240"/>
      <c r="L4" s="241" t="s">
        <v>6</v>
      </c>
      <c r="M4" s="236" t="str">
        <f>'F Population'!N$6</f>
        <v>2025 - 26</v>
      </c>
      <c r="N4" s="237"/>
      <c r="O4" s="239"/>
      <c r="P4" s="239"/>
      <c r="Q4" s="239"/>
      <c r="R4" s="242" t="s">
        <v>173</v>
      </c>
      <c r="S4" s="243"/>
      <c r="T4" s="244"/>
      <c r="U4" s="245"/>
      <c r="V4" s="24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ht="14.25" customHeight="1">
      <c r="A5" s="1"/>
      <c r="B5" s="158" t="s">
        <v>175</v>
      </c>
      <c r="C5" s="247"/>
      <c r="D5" s="248"/>
      <c r="E5" s="89"/>
      <c r="F5" s="82"/>
      <c r="G5" s="82"/>
      <c r="H5" s="82"/>
      <c r="I5" s="249"/>
      <c r="J5" s="249"/>
      <c r="K5" s="82"/>
      <c r="L5" s="250"/>
      <c r="M5" s="35"/>
      <c r="N5" s="21"/>
      <c r="O5" s="89"/>
      <c r="P5" s="251"/>
      <c r="Q5" s="89"/>
      <c r="R5" s="89"/>
      <c r="S5" s="16"/>
      <c r="T5" s="16"/>
      <c r="U5" s="252"/>
      <c r="V5" s="253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ht="14.25" customHeight="1">
      <c r="A6" s="1"/>
      <c r="B6" s="89" t="s">
        <v>28</v>
      </c>
      <c r="C6" s="89"/>
      <c r="D6" s="254"/>
      <c r="E6" s="89"/>
      <c r="F6" s="255">
        <v>5.411627E7</v>
      </c>
      <c r="G6" s="91"/>
      <c r="H6" s="89"/>
      <c r="I6" s="256"/>
      <c r="J6" s="257"/>
      <c r="K6" s="82"/>
      <c r="L6" s="258">
        <f>'D PY Audit'!M8</f>
        <v>51387224</v>
      </c>
      <c r="M6" s="91"/>
      <c r="N6" s="91"/>
      <c r="O6" s="91"/>
      <c r="P6" s="259"/>
      <c r="Q6" s="91"/>
      <c r="R6" s="189">
        <f>F6-L6</f>
        <v>2729046</v>
      </c>
      <c r="S6" s="16"/>
      <c r="T6" s="260">
        <f>IF(L6&lt;&gt;0,R6/L6,"-     ")</f>
        <v>0.05310748057</v>
      </c>
      <c r="U6" s="261"/>
      <c r="V6" s="262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ht="4.5" customHeight="1">
      <c r="A7" s="1"/>
      <c r="B7" s="89"/>
      <c r="C7" s="89"/>
      <c r="D7" s="254"/>
      <c r="E7" s="89"/>
      <c r="F7" s="93"/>
      <c r="G7" s="91"/>
      <c r="H7" s="89"/>
      <c r="I7" s="256"/>
      <c r="J7" s="257"/>
      <c r="K7" s="82"/>
      <c r="L7" s="91"/>
      <c r="M7" s="91"/>
      <c r="N7" s="91"/>
      <c r="O7" s="264"/>
      <c r="P7" s="264"/>
      <c r="Q7" s="91"/>
      <c r="R7" s="189"/>
      <c r="S7" s="16"/>
      <c r="T7" s="265"/>
      <c r="U7" s="261"/>
      <c r="V7" s="262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ht="14.25" customHeight="1">
      <c r="A8" s="1"/>
      <c r="B8" s="89" t="s">
        <v>176</v>
      </c>
      <c r="C8" s="1"/>
      <c r="D8" s="254"/>
      <c r="E8" s="266"/>
      <c r="F8" s="255">
        <f>-24023639-85000</f>
        <v>-24108639</v>
      </c>
      <c r="G8" s="16"/>
      <c r="H8" s="1"/>
      <c r="I8" s="267"/>
      <c r="J8" s="257"/>
      <c r="K8" s="268"/>
      <c r="L8" s="269">
        <f>'D PY Audit'!M10</f>
        <v>-25847774</v>
      </c>
      <c r="M8" s="16"/>
      <c r="N8" s="270"/>
      <c r="O8" s="267"/>
      <c r="P8" s="271"/>
      <c r="Q8" s="185"/>
      <c r="R8" s="189"/>
      <c r="S8" s="16"/>
      <c r="T8" s="260"/>
      <c r="U8" s="261"/>
      <c r="V8" s="262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ht="4.5" customHeight="1">
      <c r="A9" s="1"/>
      <c r="B9" s="89"/>
      <c r="C9" s="1"/>
      <c r="D9" s="254"/>
      <c r="E9" s="266"/>
      <c r="F9" s="93"/>
      <c r="G9" s="16"/>
      <c r="H9" s="270"/>
      <c r="I9" s="267"/>
      <c r="J9" s="257"/>
      <c r="K9" s="102"/>
      <c r="L9" s="272"/>
      <c r="M9" s="16"/>
      <c r="N9" s="270"/>
      <c r="O9" s="267"/>
      <c r="P9" s="271"/>
      <c r="Q9" s="185"/>
      <c r="R9" s="189"/>
      <c r="S9" s="16"/>
      <c r="T9" s="260"/>
      <c r="U9" s="261"/>
      <c r="V9" s="262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ht="14.25" customHeight="1">
      <c r="A10" s="1"/>
      <c r="B10" s="89" t="s">
        <v>177</v>
      </c>
      <c r="C10" s="1"/>
      <c r="D10" s="254"/>
      <c r="E10" s="266"/>
      <c r="F10" s="255">
        <v>-2215000.0</v>
      </c>
      <c r="G10" s="16"/>
      <c r="H10" s="270">
        <f>IF(F6&lt;&gt;0,-(F8+F10)/F6,"")</f>
        <v>0.4864274459</v>
      </c>
      <c r="I10" s="267"/>
      <c r="J10" s="257"/>
      <c r="K10" s="102"/>
      <c r="L10" s="272"/>
      <c r="M10" s="16"/>
      <c r="N10" s="270">
        <f>-(L8+L10)/L6</f>
        <v>0.5030000064</v>
      </c>
      <c r="O10" s="267"/>
      <c r="P10" s="271"/>
      <c r="Q10" s="185"/>
      <c r="R10" s="189">
        <f>F8+F10-L8-L10</f>
        <v>-475865</v>
      </c>
      <c r="S10" s="16"/>
      <c r="T10" s="260">
        <f>R10/(L8+L10)</f>
        <v>0.01841028941</v>
      </c>
      <c r="U10" s="261"/>
      <c r="V10" s="262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ht="4.5" customHeight="1">
      <c r="A11" s="1"/>
      <c r="B11" s="89"/>
      <c r="C11" s="1"/>
      <c r="D11" s="254"/>
      <c r="E11" s="266"/>
      <c r="F11" s="273"/>
      <c r="G11" s="16"/>
      <c r="H11" s="16"/>
      <c r="I11" s="267"/>
      <c r="J11" s="257"/>
      <c r="K11" s="82"/>
      <c r="L11" s="274"/>
      <c r="M11" s="16"/>
      <c r="N11" s="16"/>
      <c r="O11" s="267"/>
      <c r="P11" s="271"/>
      <c r="Q11" s="185"/>
      <c r="R11" s="274"/>
      <c r="S11" s="16"/>
      <c r="T11" s="274"/>
      <c r="U11" s="261"/>
      <c r="V11" s="262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ht="14.25" customHeight="1">
      <c r="A12" s="1"/>
      <c r="B12" s="111" t="s">
        <v>38</v>
      </c>
      <c r="C12" s="89"/>
      <c r="D12" s="254"/>
      <c r="E12" s="82"/>
      <c r="F12" s="113" t="str">
        <f>IF(F8&gt;0,"AID S/B NEGATIVE # !","")</f>
        <v/>
      </c>
      <c r="G12" s="16"/>
      <c r="H12" s="189">
        <f>SUM(F6:F10)</f>
        <v>27792631</v>
      </c>
      <c r="I12" s="267"/>
      <c r="J12" s="276"/>
      <c r="K12" s="277"/>
      <c r="L12" s="113" t="str">
        <f>IF(L8&gt;0,"AID S/B NEGATIVE # !","")</f>
        <v/>
      </c>
      <c r="M12" s="16"/>
      <c r="N12" s="189">
        <f>SUM(L6:L10)</f>
        <v>25539450</v>
      </c>
      <c r="O12" s="16"/>
      <c r="P12" s="278"/>
      <c r="Q12" s="279"/>
      <c r="R12" s="189">
        <f>R6+R8</f>
        <v>2729046</v>
      </c>
      <c r="S12" s="16"/>
      <c r="T12" s="260">
        <f>IF(N12&lt;&gt;0,R12/N12,"-     ")</f>
        <v>0.1068560991</v>
      </c>
      <c r="U12" s="261"/>
      <c r="V12" s="262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ht="4.5" customHeight="1">
      <c r="A13" s="1"/>
      <c r="B13" s="89"/>
      <c r="C13" s="89"/>
      <c r="D13" s="254"/>
      <c r="E13" s="82"/>
      <c r="F13" s="118"/>
      <c r="G13" s="16"/>
      <c r="H13" s="16"/>
      <c r="I13" s="267"/>
      <c r="J13" s="257"/>
      <c r="K13" s="82"/>
      <c r="L13" s="280"/>
      <c r="M13" s="16"/>
      <c r="N13" s="189"/>
      <c r="O13" s="16"/>
      <c r="P13" s="278"/>
      <c r="Q13" s="279"/>
      <c r="R13" s="274"/>
      <c r="S13" s="16"/>
      <c r="T13" s="274"/>
      <c r="U13" s="89"/>
      <c r="V13" s="28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ht="14.25" customHeight="1">
      <c r="A14" s="1"/>
      <c r="B14" s="89" t="s">
        <v>180</v>
      </c>
      <c r="C14" s="89"/>
      <c r="D14" s="254"/>
      <c r="E14" s="82"/>
      <c r="F14" s="189">
        <f>'H Non trad'!D26-'H Non trad'!D23</f>
        <v>18920068</v>
      </c>
      <c r="G14" s="16"/>
      <c r="H14" s="16"/>
      <c r="I14" s="267"/>
      <c r="J14" s="283"/>
      <c r="K14" s="284"/>
      <c r="L14" s="189">
        <f>'D PY Audit'!M14</f>
        <v>16271443</v>
      </c>
      <c r="M14" s="16"/>
      <c r="N14" s="189"/>
      <c r="O14" s="16"/>
      <c r="P14" s="285"/>
      <c r="Q14" s="185"/>
      <c r="R14" s="189">
        <f>F14-L14</f>
        <v>2648625</v>
      </c>
      <c r="S14" s="16"/>
      <c r="T14" s="260">
        <f>IF(L14&lt;&gt;0,R14/L14,"-     ")</f>
        <v>0.1627775115</v>
      </c>
      <c r="U14" s="261"/>
      <c r="V14" s="262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ht="4.5" customHeight="1">
      <c r="A15" s="1"/>
      <c r="B15" s="89"/>
      <c r="C15" s="89"/>
      <c r="D15" s="254"/>
      <c r="E15" s="82"/>
      <c r="F15" s="91"/>
      <c r="G15" s="16"/>
      <c r="H15" s="16"/>
      <c r="I15" s="267"/>
      <c r="J15" s="283"/>
      <c r="K15" s="284"/>
      <c r="L15" s="91"/>
      <c r="M15" s="16"/>
      <c r="N15" s="189"/>
      <c r="O15" s="16"/>
      <c r="P15" s="285"/>
      <c r="Q15" s="185"/>
      <c r="R15" s="189"/>
      <c r="S15" s="16"/>
      <c r="T15" s="265"/>
      <c r="U15" s="261"/>
      <c r="V15" s="262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ht="14.25" customHeight="1">
      <c r="A16" s="1"/>
      <c r="B16" s="89" t="s">
        <v>182</v>
      </c>
      <c r="C16" s="89"/>
      <c r="D16" s="254"/>
      <c r="E16" s="82"/>
      <c r="F16" s="269">
        <f>'H Non trad'!D23</f>
        <v>-1071600</v>
      </c>
      <c r="G16" s="16"/>
      <c r="H16" s="270">
        <f>IF(F14&lt;&gt;0,-F16/F14,"")</f>
        <v>0.05663827424</v>
      </c>
      <c r="I16" s="267"/>
      <c r="J16" s="283"/>
      <c r="K16" s="284"/>
      <c r="L16" s="269">
        <f>'D PY Audit'!M16</f>
        <v>-893562</v>
      </c>
      <c r="M16" s="16"/>
      <c r="N16" s="270">
        <f>-L16/L14</f>
        <v>0.05491596535</v>
      </c>
      <c r="O16" s="16"/>
      <c r="P16" s="285"/>
      <c r="Q16" s="185"/>
      <c r="R16" s="189">
        <f>F16-L16</f>
        <v>-178038</v>
      </c>
      <c r="S16" s="16"/>
      <c r="T16" s="260">
        <f>IFERROR(R16/L16,"-")</f>
        <v>0.1992452678</v>
      </c>
      <c r="U16" s="261"/>
      <c r="V16" s="262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ht="4.5" customHeight="1">
      <c r="A17" s="1"/>
      <c r="B17" s="89"/>
      <c r="C17" s="89"/>
      <c r="D17" s="254"/>
      <c r="E17" s="82"/>
      <c r="F17" s="286"/>
      <c r="G17" s="16"/>
      <c r="H17" s="16"/>
      <c r="I17" s="267"/>
      <c r="J17" s="283"/>
      <c r="K17" s="284"/>
      <c r="L17" s="274"/>
      <c r="M17" s="16"/>
      <c r="N17" s="189"/>
      <c r="O17" s="16"/>
      <c r="P17" s="285"/>
      <c r="Q17" s="185"/>
      <c r="R17" s="274"/>
      <c r="S17" s="16"/>
      <c r="T17" s="274"/>
      <c r="U17" s="261"/>
      <c r="V17" s="262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ht="14.25" customHeight="1">
      <c r="A18" s="1"/>
      <c r="B18" s="111" t="s">
        <v>50</v>
      </c>
      <c r="C18" s="89"/>
      <c r="D18" s="254"/>
      <c r="E18" s="82"/>
      <c r="F18" s="113" t="str">
        <f>IF(F16&gt;0,"AID S/B NEGATIVE # !","")</f>
        <v/>
      </c>
      <c r="G18" s="16"/>
      <c r="H18" s="189">
        <f>F14+F16</f>
        <v>17848468</v>
      </c>
      <c r="I18" s="267"/>
      <c r="J18" s="276"/>
      <c r="K18" s="82"/>
      <c r="L18" s="280" t="str">
        <f>IF(L16&gt;0,"AID S/B NEGATIVE # !","")</f>
        <v/>
      </c>
      <c r="M18" s="16"/>
      <c r="N18" s="189">
        <f>L14+L16</f>
        <v>15377881</v>
      </c>
      <c r="O18" s="16"/>
      <c r="P18" s="278"/>
      <c r="Q18" s="279"/>
      <c r="R18" s="189">
        <f>R14+R16</f>
        <v>2470587</v>
      </c>
      <c r="S18" s="16"/>
      <c r="T18" s="260">
        <f>IF(N18&lt;&gt;0,R18/N18,"-     ")</f>
        <v>0.1606584808</v>
      </c>
      <c r="U18" s="261"/>
      <c r="V18" s="262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ht="4.5" customHeight="1">
      <c r="A19" s="1"/>
      <c r="B19" s="89"/>
      <c r="C19" s="89"/>
      <c r="D19" s="254"/>
      <c r="E19" s="82"/>
      <c r="F19" s="16"/>
      <c r="G19" s="16"/>
      <c r="H19" s="286"/>
      <c r="I19" s="287"/>
      <c r="J19" s="276"/>
      <c r="K19" s="82"/>
      <c r="L19" s="280"/>
      <c r="M19" s="16"/>
      <c r="N19" s="196"/>
      <c r="O19" s="16"/>
      <c r="P19" s="278"/>
      <c r="Q19" s="279"/>
      <c r="R19" s="274"/>
      <c r="S19" s="16"/>
      <c r="T19" s="274"/>
      <c r="U19" s="261"/>
      <c r="V19" s="262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ht="14.25" customHeight="1">
      <c r="A20" s="1"/>
      <c r="B20" s="132" t="s">
        <v>53</v>
      </c>
      <c r="C20" s="89"/>
      <c r="D20" s="254"/>
      <c r="E20" s="82"/>
      <c r="F20" s="16"/>
      <c r="G20" s="16"/>
      <c r="H20" s="189">
        <f>H12+H18</f>
        <v>45641099</v>
      </c>
      <c r="I20" s="267"/>
      <c r="J20" s="288"/>
      <c r="K20" s="82"/>
      <c r="L20" s="16"/>
      <c r="M20" s="16"/>
      <c r="N20" s="189">
        <f>N12+N18</f>
        <v>40917331</v>
      </c>
      <c r="O20" s="16"/>
      <c r="P20" s="259"/>
      <c r="Q20" s="91"/>
      <c r="R20" s="189">
        <f>H20-N20</f>
        <v>4723768</v>
      </c>
      <c r="S20" s="16"/>
      <c r="T20" s="260">
        <f>IF(N20&lt;&gt;0,R20/N20,"-     ")</f>
        <v>0.1154466307</v>
      </c>
      <c r="U20" s="261"/>
      <c r="V20" s="262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ht="4.5" customHeight="1">
      <c r="A21" s="1"/>
      <c r="B21" s="132"/>
      <c r="C21" s="89"/>
      <c r="D21" s="254"/>
      <c r="E21" s="82"/>
      <c r="F21" s="16"/>
      <c r="G21" s="16"/>
      <c r="H21" s="189"/>
      <c r="I21" s="267"/>
      <c r="J21" s="288"/>
      <c r="K21" s="82"/>
      <c r="L21" s="16"/>
      <c r="M21" s="16"/>
      <c r="N21" s="189"/>
      <c r="O21" s="16"/>
      <c r="P21" s="259"/>
      <c r="Q21" s="91"/>
      <c r="R21" s="189"/>
      <c r="S21" s="16"/>
      <c r="T21" s="265"/>
      <c r="U21" s="261"/>
      <c r="V21" s="262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ht="14.25" customHeight="1">
      <c r="A22" s="1"/>
      <c r="B22" s="132" t="s">
        <v>185</v>
      </c>
      <c r="C22" s="89"/>
      <c r="D22" s="254"/>
      <c r="E22" s="82"/>
      <c r="F22" s="16"/>
      <c r="G22" s="16"/>
      <c r="H22" s="189">
        <f>H146</f>
        <v>9895500</v>
      </c>
      <c r="I22" s="267"/>
      <c r="J22" s="283"/>
      <c r="K22" s="284"/>
      <c r="L22" s="16"/>
      <c r="M22" s="16"/>
      <c r="N22" s="189">
        <f>'D PY Audit'!O22</f>
        <v>9417500</v>
      </c>
      <c r="O22" s="16"/>
      <c r="P22" s="281"/>
      <c r="Q22" s="89"/>
      <c r="R22" s="189">
        <f>H22-N22</f>
        <v>478000</v>
      </c>
      <c r="S22" s="16"/>
      <c r="T22" s="260">
        <f>IF(N22&lt;&gt;0,R22/N22,"-     ")</f>
        <v>0.05075657022</v>
      </c>
      <c r="U22" s="261"/>
      <c r="V22" s="262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ht="4.5" customHeight="1">
      <c r="A23" s="1"/>
      <c r="B23" s="89"/>
      <c r="C23" s="89"/>
      <c r="D23" s="254"/>
      <c r="E23" s="82"/>
      <c r="F23" s="16"/>
      <c r="G23" s="16"/>
      <c r="H23" s="280"/>
      <c r="I23" s="267"/>
      <c r="J23" s="283"/>
      <c r="K23" s="284"/>
      <c r="L23" s="16"/>
      <c r="M23" s="16"/>
      <c r="N23" s="189"/>
      <c r="O23" s="16"/>
      <c r="P23" s="285"/>
      <c r="Q23" s="185"/>
      <c r="R23" s="189"/>
      <c r="S23" s="16"/>
      <c r="T23" s="265"/>
      <c r="U23" s="261"/>
      <c r="V23" s="262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ht="14.25" customHeight="1">
      <c r="A24" s="1"/>
      <c r="B24" s="132" t="s">
        <v>187</v>
      </c>
      <c r="C24" s="89"/>
      <c r="D24" s="254"/>
      <c r="E24" s="82"/>
      <c r="F24" s="16"/>
      <c r="G24" s="16"/>
      <c r="H24" s="16"/>
      <c r="I24" s="267"/>
      <c r="J24" s="257"/>
      <c r="K24" s="82"/>
      <c r="L24" s="16"/>
      <c r="M24" s="16"/>
      <c r="N24" s="189"/>
      <c r="O24" s="16"/>
      <c r="P24" s="285"/>
      <c r="Q24" s="185"/>
      <c r="R24" s="189"/>
      <c r="S24" s="16"/>
      <c r="T24" s="289"/>
      <c r="U24" s="89"/>
      <c r="V24" s="28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ht="3.75" customHeight="1">
      <c r="A25" s="1"/>
      <c r="B25" s="1"/>
      <c r="C25" s="1"/>
      <c r="D25" s="254"/>
      <c r="E25" s="1"/>
      <c r="F25" s="1"/>
      <c r="G25" s="1"/>
      <c r="H25" s="1"/>
      <c r="I25" s="290"/>
      <c r="J25" s="283"/>
      <c r="K25" s="1"/>
      <c r="L25" s="1"/>
      <c r="M25" s="1"/>
      <c r="N25" s="291"/>
      <c r="O25" s="1"/>
      <c r="P25" s="292"/>
      <c r="Q25" s="1"/>
      <c r="R25" s="189"/>
      <c r="S25" s="16"/>
      <c r="T25" s="289"/>
      <c r="U25" s="261"/>
      <c r="V25" s="262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ht="14.25" customHeight="1">
      <c r="A26" s="1"/>
      <c r="B26" s="89" t="str">
        <f>IF('D PY Audit'!K26="","",'D PY Audit'!K26)</f>
        <v>    Annual fund (unrestricted) donations  </v>
      </c>
      <c r="C26" s="89"/>
      <c r="D26" s="254"/>
      <c r="E26" s="82"/>
      <c r="F26" s="293">
        <v>3100000.0</v>
      </c>
      <c r="G26" s="16"/>
      <c r="H26" s="16"/>
      <c r="I26" s="267"/>
      <c r="J26" s="283"/>
      <c r="K26" s="82"/>
      <c r="L26" s="189">
        <f>'D PY Audit'!M26</f>
        <v>3069000</v>
      </c>
      <c r="M26" s="16"/>
      <c r="N26" s="189"/>
      <c r="O26" s="16"/>
      <c r="P26" s="285"/>
      <c r="Q26" s="185"/>
      <c r="R26" s="189">
        <f>F26-L26</f>
        <v>31000</v>
      </c>
      <c r="S26" s="16"/>
      <c r="T26" s="260">
        <f>IF(L26&lt;&gt;0,R26/L26,"-     ")</f>
        <v>0.0101010101</v>
      </c>
      <c r="U26" s="261"/>
      <c r="V26" s="262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ht="3.75" customHeight="1">
      <c r="A27" s="1"/>
      <c r="B27" s="89"/>
      <c r="C27" s="89"/>
      <c r="D27" s="254"/>
      <c r="E27" s="82"/>
      <c r="F27" s="118"/>
      <c r="G27" s="16"/>
      <c r="H27" s="16"/>
      <c r="I27" s="267"/>
      <c r="J27" s="283"/>
      <c r="K27" s="82"/>
      <c r="L27" s="189"/>
      <c r="M27" s="16"/>
      <c r="N27" s="189"/>
      <c r="O27" s="16"/>
      <c r="P27" s="281"/>
      <c r="Q27" s="89"/>
      <c r="R27" s="189"/>
      <c r="S27" s="16"/>
      <c r="T27" s="265"/>
      <c r="U27" s="261"/>
      <c r="V27" s="262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ht="14.25" customHeight="1">
      <c r="A28" s="1"/>
      <c r="B28" s="16" t="str">
        <f>IF('D PY Audit'!K30="","",'D PY Audit'!K30)</f>
        <v>    Other operating revenues</v>
      </c>
      <c r="C28" s="82"/>
      <c r="D28" s="254"/>
      <c r="E28" s="82"/>
      <c r="F28" s="293">
        <v>1700000.0</v>
      </c>
      <c r="G28" s="16"/>
      <c r="H28" s="16"/>
      <c r="I28" s="267"/>
      <c r="J28" s="283"/>
      <c r="K28" s="82"/>
      <c r="L28" s="189">
        <f>'D PY Audit'!M30</f>
        <v>2853216</v>
      </c>
      <c r="M28" s="16"/>
      <c r="N28" s="189"/>
      <c r="O28" s="16"/>
      <c r="P28" s="281"/>
      <c r="Q28" s="89"/>
      <c r="R28" s="189">
        <f>F28-L28</f>
        <v>-1153216</v>
      </c>
      <c r="S28" s="16"/>
      <c r="T28" s="260">
        <f>IF(L28&lt;&gt;0,R28/L28,"-     ")</f>
        <v>-0.4041811065</v>
      </c>
      <c r="U28" s="261"/>
      <c r="V28" s="262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ht="4.5" customHeight="1">
      <c r="A29" s="1"/>
      <c r="B29" s="89"/>
      <c r="C29" s="82"/>
      <c r="D29" s="254"/>
      <c r="E29" s="82"/>
      <c r="F29" s="118"/>
      <c r="G29" s="16"/>
      <c r="H29" s="16"/>
      <c r="I29" s="267"/>
      <c r="J29" s="283"/>
      <c r="K29" s="82"/>
      <c r="L29" s="189"/>
      <c r="M29" s="16"/>
      <c r="N29" s="189"/>
      <c r="O29" s="16"/>
      <c r="P29" s="285"/>
      <c r="Q29" s="185"/>
      <c r="R29" s="189"/>
      <c r="S29" s="16"/>
      <c r="T29" s="265"/>
      <c r="U29" s="261"/>
      <c r="V29" s="262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ht="14.25" customHeight="1">
      <c r="A30" s="1"/>
      <c r="B30" s="16" t="str">
        <f>IF('D PY Audit'!K32="","",'D PY Audit'!K32)</f>
        <v>    Government grants</v>
      </c>
      <c r="C30" s="82"/>
      <c r="D30" s="254"/>
      <c r="E30" s="82"/>
      <c r="F30" s="293">
        <v>550000.0</v>
      </c>
      <c r="G30" s="16"/>
      <c r="H30" s="16"/>
      <c r="I30" s="267"/>
      <c r="J30" s="283"/>
      <c r="K30" s="82"/>
      <c r="L30" s="189">
        <f>'D PY Audit'!M32</f>
        <v>554000</v>
      </c>
      <c r="M30" s="16"/>
      <c r="N30" s="189"/>
      <c r="O30" s="16"/>
      <c r="P30" s="285"/>
      <c r="Q30" s="185"/>
      <c r="R30" s="189">
        <f>F30-L30</f>
        <v>-4000</v>
      </c>
      <c r="S30" s="16"/>
      <c r="T30" s="260">
        <f>IF(L30&lt;&gt;0,R30/L30,"-     ")</f>
        <v>-0.007220216606</v>
      </c>
      <c r="U30" s="261"/>
      <c r="V30" s="262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ht="3.75" customHeight="1">
      <c r="A31" s="1"/>
      <c r="B31" s="89"/>
      <c r="C31" s="82"/>
      <c r="D31" s="254"/>
      <c r="E31" s="82"/>
      <c r="F31" s="118"/>
      <c r="G31" s="16"/>
      <c r="H31" s="16"/>
      <c r="I31" s="267"/>
      <c r="J31" s="283"/>
      <c r="K31" s="82"/>
      <c r="L31" s="1"/>
      <c r="M31" s="16"/>
      <c r="N31" s="189"/>
      <c r="O31" s="16"/>
      <c r="P31" s="285"/>
      <c r="Q31" s="185"/>
      <c r="R31" s="189"/>
      <c r="S31" s="16"/>
      <c r="T31" s="265"/>
      <c r="U31" s="261"/>
      <c r="V31" s="262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ht="14.25" customHeight="1">
      <c r="A32" s="1"/>
      <c r="B32" s="89" t="str">
        <f>IF('D PY Audit'!K34="","",'D PY Audit'!K34)</f>
        <v/>
      </c>
      <c r="C32" s="82"/>
      <c r="D32" s="254"/>
      <c r="E32" s="82"/>
      <c r="F32" s="293"/>
      <c r="G32" s="16"/>
      <c r="H32" s="16"/>
      <c r="I32" s="267"/>
      <c r="J32" s="283"/>
      <c r="K32" s="82"/>
      <c r="L32" s="189" t="str">
        <f>'D PY Audit'!M34</f>
        <v/>
      </c>
      <c r="M32" s="16"/>
      <c r="N32" s="189"/>
      <c r="O32" s="16"/>
      <c r="P32" s="285"/>
      <c r="Q32" s="185"/>
      <c r="R32" s="189">
        <f>F32-L32</f>
        <v>0</v>
      </c>
      <c r="S32" s="16"/>
      <c r="T32" s="260" t="str">
        <f>IF(L32&lt;&gt;0,R32/L32,"-     ")</f>
        <v>-     </v>
      </c>
      <c r="U32" s="261"/>
      <c r="V32" s="262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ht="3.75" customHeight="1">
      <c r="A33" s="1"/>
      <c r="B33" s="89"/>
      <c r="C33" s="82"/>
      <c r="D33" s="254"/>
      <c r="E33" s="82"/>
      <c r="F33" s="118"/>
      <c r="G33" s="16"/>
      <c r="H33" s="16"/>
      <c r="I33" s="267"/>
      <c r="J33" s="283"/>
      <c r="K33" s="82"/>
      <c r="L33" s="1"/>
      <c r="M33" s="16"/>
      <c r="N33" s="189"/>
      <c r="O33" s="16"/>
      <c r="P33" s="285"/>
      <c r="Q33" s="185"/>
      <c r="R33" s="189"/>
      <c r="S33" s="16"/>
      <c r="T33" s="265"/>
      <c r="U33" s="261"/>
      <c r="V33" s="262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ht="14.25" customHeight="1">
      <c r="A34" s="1"/>
      <c r="B34" s="89" t="str">
        <f>IF('D PY Audit'!K36="","",'D PY Audit'!K36)</f>
        <v/>
      </c>
      <c r="C34" s="82"/>
      <c r="D34" s="254"/>
      <c r="E34" s="82"/>
      <c r="F34" s="293"/>
      <c r="G34" s="16"/>
      <c r="H34" s="16"/>
      <c r="I34" s="267"/>
      <c r="J34" s="283"/>
      <c r="K34" s="82"/>
      <c r="L34" s="189" t="str">
        <f>'D PY Audit'!M36</f>
        <v/>
      </c>
      <c r="M34" s="16"/>
      <c r="N34" s="189"/>
      <c r="O34" s="16"/>
      <c r="P34" s="285"/>
      <c r="Q34" s="185"/>
      <c r="R34" s="189">
        <f>F34-L34</f>
        <v>0</v>
      </c>
      <c r="S34" s="16"/>
      <c r="T34" s="260" t="str">
        <f>IF(L34&lt;&gt;0,R34/L34,"-     ")</f>
        <v>-     </v>
      </c>
      <c r="U34" s="261"/>
      <c r="V34" s="262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  <row r="35" ht="3.75" customHeight="1">
      <c r="A35" s="1"/>
      <c r="B35" s="89"/>
      <c r="C35" s="82"/>
      <c r="D35" s="254"/>
      <c r="E35" s="82"/>
      <c r="F35" s="118"/>
      <c r="G35" s="16"/>
      <c r="H35" s="16"/>
      <c r="I35" s="267"/>
      <c r="J35" s="283"/>
      <c r="K35" s="82"/>
      <c r="L35" s="1"/>
      <c r="M35" s="16"/>
      <c r="N35" s="189"/>
      <c r="O35" s="16"/>
      <c r="P35" s="285"/>
      <c r="Q35" s="185"/>
      <c r="R35" s="189"/>
      <c r="S35" s="16"/>
      <c r="T35" s="265"/>
      <c r="U35" s="261"/>
      <c r="V35" s="262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ht="14.25" customHeight="1">
      <c r="A36" s="1"/>
      <c r="B36" s="16" t="str">
        <f>IF('D PY Audit'!K38="","",'D PY Audit'!K38)</f>
        <v>    Unrestricted investment income</v>
      </c>
      <c r="C36" s="82"/>
      <c r="D36" s="254"/>
      <c r="E36" s="82"/>
      <c r="F36" s="293">
        <v>140000.0</v>
      </c>
      <c r="G36" s="16"/>
      <c r="H36" s="16"/>
      <c r="I36" s="267"/>
      <c r="J36" s="283"/>
      <c r="K36" s="82"/>
      <c r="L36" s="189">
        <f>'D PY Audit'!M38</f>
        <v>146784</v>
      </c>
      <c r="M36" s="16"/>
      <c r="N36" s="189"/>
      <c r="O36" s="16"/>
      <c r="P36" s="285"/>
      <c r="Q36" s="185"/>
      <c r="R36" s="189">
        <f>F36-L36</f>
        <v>-6784</v>
      </c>
      <c r="S36" s="16"/>
      <c r="T36" s="260">
        <f>IF(L36&lt;&gt;0,R36/L36,"-     ")</f>
        <v>-0.0462175714</v>
      </c>
      <c r="U36" s="261"/>
      <c r="V36" s="262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ht="4.5" customHeight="1">
      <c r="A37" s="1"/>
      <c r="B37" s="89"/>
      <c r="C37" s="82"/>
      <c r="D37" s="254"/>
      <c r="E37" s="82"/>
      <c r="F37" s="118"/>
      <c r="G37" s="16"/>
      <c r="H37" s="16"/>
      <c r="I37" s="267"/>
      <c r="J37" s="283"/>
      <c r="K37" s="82"/>
      <c r="L37" s="189"/>
      <c r="M37" s="16"/>
      <c r="N37" s="189"/>
      <c r="O37" s="16"/>
      <c r="P37" s="285"/>
      <c r="Q37" s="185"/>
      <c r="R37" s="189"/>
      <c r="S37" s="16"/>
      <c r="T37" s="265"/>
      <c r="U37" s="261"/>
      <c r="V37" s="262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</row>
    <row r="38" ht="14.25" customHeight="1">
      <c r="A38" s="1"/>
      <c r="B38" s="89" t="s">
        <v>194</v>
      </c>
      <c r="C38" s="82"/>
      <c r="D38" s="254"/>
      <c r="E38" s="82"/>
      <c r="F38" s="293"/>
      <c r="G38" s="16"/>
      <c r="H38" s="16"/>
      <c r="I38" s="267"/>
      <c r="J38" s="283"/>
      <c r="K38" s="82"/>
      <c r="L38" s="189" t="str">
        <f>'D PY Audit'!M40</f>
        <v/>
      </c>
      <c r="M38" s="16"/>
      <c r="N38" s="189"/>
      <c r="O38" s="16"/>
      <c r="P38" s="285"/>
      <c r="Q38" s="185"/>
      <c r="R38" s="189">
        <f>F38-L38</f>
        <v>0</v>
      </c>
      <c r="S38" s="16"/>
      <c r="T38" s="260" t="str">
        <f>IF(L38&lt;&gt;0,R38/L38,"-     ")</f>
        <v>-     </v>
      </c>
      <c r="U38" s="261"/>
      <c r="V38" s="262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</row>
    <row r="39" ht="4.5" customHeight="1">
      <c r="A39" s="1"/>
      <c r="B39" s="1"/>
      <c r="C39" s="1"/>
      <c r="D39" s="254"/>
      <c r="E39" s="1"/>
      <c r="F39" s="1"/>
      <c r="G39" s="1"/>
      <c r="H39" s="1"/>
      <c r="I39" s="267"/>
      <c r="J39" s="283"/>
      <c r="K39" s="1"/>
      <c r="L39" s="294"/>
      <c r="M39" s="1"/>
      <c r="N39" s="295"/>
      <c r="O39" s="1"/>
      <c r="P39" s="281"/>
      <c r="Q39" s="1"/>
      <c r="R39" s="127"/>
      <c r="S39" s="16"/>
      <c r="T39" s="294"/>
      <c r="U39" s="261"/>
      <c r="V39" s="262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</row>
    <row r="40" ht="14.25" customHeight="1">
      <c r="A40" s="1"/>
      <c r="B40" s="132" t="s">
        <v>85</v>
      </c>
      <c r="C40" s="89"/>
      <c r="D40" s="254"/>
      <c r="E40" s="82"/>
      <c r="F40" s="16"/>
      <c r="G40" s="16"/>
      <c r="H40" s="16">
        <f>SUM(F26:F38)</f>
        <v>5490000</v>
      </c>
      <c r="I40" s="267"/>
      <c r="J40" s="283"/>
      <c r="K40" s="82"/>
      <c r="L40" s="16"/>
      <c r="M40" s="16"/>
      <c r="N40" s="189">
        <f>SUM(L26:L38)</f>
        <v>6623000</v>
      </c>
      <c r="O40" s="16"/>
      <c r="P40" s="285"/>
      <c r="Q40" s="185"/>
      <c r="R40" s="189">
        <f>SUM(R26:R38)</f>
        <v>-1133000</v>
      </c>
      <c r="S40" s="16"/>
      <c r="T40" s="260">
        <f>IF(N40&lt;&gt;0,R40/N40,"-     ")</f>
        <v>-0.1710705119</v>
      </c>
      <c r="U40" s="261"/>
      <c r="V40" s="262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</row>
    <row r="41" ht="4.5" customHeight="1">
      <c r="A41" s="1"/>
      <c r="B41" s="132"/>
      <c r="C41" s="89"/>
      <c r="D41" s="254"/>
      <c r="E41" s="82"/>
      <c r="F41" s="16"/>
      <c r="G41" s="16"/>
      <c r="H41" s="16"/>
      <c r="I41" s="267"/>
      <c r="J41" s="283"/>
      <c r="K41" s="82"/>
      <c r="L41" s="16"/>
      <c r="M41" s="16"/>
      <c r="N41" s="189"/>
      <c r="O41" s="16"/>
      <c r="P41" s="285"/>
      <c r="Q41" s="185"/>
      <c r="R41" s="189"/>
      <c r="S41" s="16"/>
      <c r="T41" s="260"/>
      <c r="U41" s="261"/>
      <c r="V41" s="262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</row>
    <row r="42" ht="14.25" customHeight="1">
      <c r="A42" s="1"/>
      <c r="B42" s="132" t="s">
        <v>196</v>
      </c>
      <c r="C42" s="89"/>
      <c r="D42" s="254"/>
      <c r="E42" s="82"/>
      <c r="F42" s="16"/>
      <c r="G42" s="16"/>
      <c r="H42" s="16">
        <f>'G Price-Aid'!F20+'G Price-Aid'!F18</f>
        <v>2320000</v>
      </c>
      <c r="I42" s="267"/>
      <c r="J42" s="283"/>
      <c r="K42" s="82"/>
      <c r="L42" s="16"/>
      <c r="M42" s="16"/>
      <c r="N42" s="189"/>
      <c r="O42" s="16"/>
      <c r="P42" s="285"/>
      <c r="Q42" s="185"/>
      <c r="R42" s="189"/>
      <c r="S42" s="16"/>
      <c r="T42" s="260"/>
      <c r="U42" s="261"/>
      <c r="V42" s="262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</row>
    <row r="43" ht="4.5" customHeight="1">
      <c r="A43" s="1"/>
      <c r="B43" s="132"/>
      <c r="C43" s="89"/>
      <c r="D43" s="254"/>
      <c r="E43" s="82"/>
      <c r="F43" s="16"/>
      <c r="G43" s="16"/>
      <c r="H43" s="16"/>
      <c r="I43" s="267"/>
      <c r="J43" s="283"/>
      <c r="K43" s="82"/>
      <c r="L43" s="16"/>
      <c r="M43" s="16"/>
      <c r="N43" s="295"/>
      <c r="O43" s="16"/>
      <c r="P43" s="285"/>
      <c r="Q43" s="185"/>
      <c r="R43" s="189"/>
      <c r="S43" s="16"/>
      <c r="T43" s="289"/>
      <c r="U43" s="261"/>
      <c r="V43" s="262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</row>
    <row r="44" ht="14.25" customHeight="1">
      <c r="A44" s="1"/>
      <c r="B44" s="132" t="s">
        <v>197</v>
      </c>
      <c r="C44" s="89"/>
      <c r="D44" s="254"/>
      <c r="E44" s="82"/>
      <c r="F44" s="1"/>
      <c r="G44" s="296"/>
      <c r="H44" s="189">
        <f>-'M Non student'!F92+'M Non student'!F111+'M Non student'!F119-H42</f>
        <v>5439130.817</v>
      </c>
      <c r="I44" s="267"/>
      <c r="J44" s="283"/>
      <c r="K44" s="82"/>
      <c r="L44" s="16"/>
      <c r="M44" s="16"/>
      <c r="N44" s="189">
        <f>'D PY Audit'!O44</f>
        <v>5774308</v>
      </c>
      <c r="O44" s="16"/>
      <c r="P44" s="285"/>
      <c r="Q44" s="185"/>
      <c r="R44" s="189">
        <f>H44-N44</f>
        <v>-335177.183</v>
      </c>
      <c r="S44" s="16"/>
      <c r="T44" s="260">
        <f>IF(N44&lt;&gt;0,R44/N44,"-     ")</f>
        <v>-0.05804629455</v>
      </c>
      <c r="U44" s="261"/>
      <c r="V44" s="262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</row>
    <row r="45" ht="4.5" customHeight="1">
      <c r="A45" s="1"/>
      <c r="B45" s="89"/>
      <c r="C45" s="89"/>
      <c r="D45" s="254"/>
      <c r="E45" s="82"/>
      <c r="F45" s="16"/>
      <c r="G45" s="16"/>
      <c r="H45" s="196"/>
      <c r="I45" s="267"/>
      <c r="J45" s="257"/>
      <c r="K45" s="82"/>
      <c r="L45" s="16"/>
      <c r="M45" s="16"/>
      <c r="N45" s="196"/>
      <c r="O45" s="16"/>
      <c r="P45" s="285"/>
      <c r="Q45" s="185"/>
      <c r="R45" s="196"/>
      <c r="S45" s="16"/>
      <c r="T45" s="297"/>
      <c r="U45" s="89"/>
      <c r="V45" s="28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ht="14.25" customHeight="1">
      <c r="A46" s="1"/>
      <c r="B46" s="158" t="s">
        <v>92</v>
      </c>
      <c r="C46" s="247"/>
      <c r="D46" s="254"/>
      <c r="E46" s="82"/>
      <c r="F46" s="16"/>
      <c r="G46" s="16"/>
      <c r="H46" s="298">
        <f>SUM(H20:H44)</f>
        <v>68785729.82</v>
      </c>
      <c r="I46" s="267"/>
      <c r="J46" s="283"/>
      <c r="K46" s="82"/>
      <c r="L46" s="258"/>
      <c r="M46" s="258"/>
      <c r="N46" s="298">
        <f>SUM(N20:N44)</f>
        <v>62732139</v>
      </c>
      <c r="O46" s="16"/>
      <c r="P46" s="281"/>
      <c r="Q46" s="89"/>
      <c r="R46" s="189">
        <f>R20+R22+R40+R44</f>
        <v>3733590.817</v>
      </c>
      <c r="S46" s="16"/>
      <c r="T46" s="260">
        <f>IF(N46&lt;&gt;0,R46/N46,"-     ")</f>
        <v>0.05951639585</v>
      </c>
      <c r="U46" s="261"/>
      <c r="V46" s="262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</row>
    <row r="47" ht="4.5" customHeight="1">
      <c r="A47" s="1"/>
      <c r="B47" s="89"/>
      <c r="C47" s="89"/>
      <c r="D47" s="254"/>
      <c r="E47" s="82"/>
      <c r="F47" s="16"/>
      <c r="G47" s="16"/>
      <c r="H47" s="294"/>
      <c r="I47" s="267"/>
      <c r="J47" s="257"/>
      <c r="K47" s="82"/>
      <c r="L47" s="16"/>
      <c r="M47" s="16"/>
      <c r="N47" s="294"/>
      <c r="O47" s="16"/>
      <c r="P47" s="285"/>
      <c r="Q47" s="185"/>
      <c r="R47" s="294"/>
      <c r="S47" s="16"/>
      <c r="T47" s="297"/>
      <c r="U47" s="89"/>
      <c r="V47" s="28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</row>
    <row r="48" ht="14.25" customHeight="1">
      <c r="A48" s="1"/>
      <c r="B48" s="158" t="s">
        <v>199</v>
      </c>
      <c r="C48" s="89"/>
      <c r="D48" s="254"/>
      <c r="E48" s="82"/>
      <c r="F48" s="16"/>
      <c r="G48" s="16"/>
      <c r="H48" s="189"/>
      <c r="I48" s="267"/>
      <c r="J48" s="257"/>
      <c r="K48" s="82"/>
      <c r="L48" s="16"/>
      <c r="M48" s="16"/>
      <c r="N48" s="189"/>
      <c r="O48" s="16"/>
      <c r="P48" s="281"/>
      <c r="Q48" s="89"/>
      <c r="R48" s="16"/>
      <c r="S48" s="16"/>
      <c r="T48" s="289"/>
      <c r="U48" s="89"/>
      <c r="V48" s="28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</row>
    <row r="49" ht="4.5" customHeight="1">
      <c r="A49" s="1"/>
      <c r="B49" s="158"/>
      <c r="C49" s="89"/>
      <c r="D49" s="254"/>
      <c r="E49" s="82"/>
      <c r="F49" s="16"/>
      <c r="G49" s="16"/>
      <c r="H49" s="16"/>
      <c r="I49" s="267"/>
      <c r="J49" s="257"/>
      <c r="K49" s="82"/>
      <c r="L49" s="16"/>
      <c r="M49" s="16"/>
      <c r="N49" s="189"/>
      <c r="O49" s="16"/>
      <c r="P49" s="281"/>
      <c r="Q49" s="89"/>
      <c r="R49" s="16"/>
      <c r="S49" s="16"/>
      <c r="T49" s="289"/>
      <c r="U49" s="89"/>
      <c r="V49" s="28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0" ht="14.25" customHeight="1">
      <c r="A50" s="1"/>
      <c r="B50" s="16" t="str">
        <f>IF('D PY Audit'!K52="","",'D PY Audit'!K52)</f>
        <v>Salaries and benefits</v>
      </c>
      <c r="C50" s="89"/>
      <c r="D50" s="254"/>
      <c r="E50" s="82"/>
      <c r="F50" s="299">
        <v>3.2977459E7</v>
      </c>
      <c r="G50" s="118"/>
      <c r="H50" s="118"/>
      <c r="I50" s="300"/>
      <c r="J50" s="301"/>
      <c r="K50" s="302"/>
      <c r="L50" s="189">
        <f>'D PY Audit'!M52</f>
        <v>31596447</v>
      </c>
      <c r="M50" s="16"/>
      <c r="N50" s="189"/>
      <c r="O50" s="16"/>
      <c r="P50" s="281"/>
      <c r="Q50" s="89"/>
      <c r="R50" s="303">
        <f>F50-L50</f>
        <v>1381012</v>
      </c>
      <c r="S50" s="16"/>
      <c r="T50" s="260">
        <f>IF(L50&lt;&gt;0,R50/L50,"-     ")</f>
        <v>0.04370782576</v>
      </c>
      <c r="U50" s="261"/>
      <c r="V50" s="262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</row>
    <row r="51" ht="4.5" customHeight="1">
      <c r="A51" s="1"/>
      <c r="B51" s="89"/>
      <c r="C51" s="89"/>
      <c r="D51" s="254"/>
      <c r="E51" s="82"/>
      <c r="F51" s="118"/>
      <c r="G51" s="118"/>
      <c r="H51" s="118"/>
      <c r="I51" s="300"/>
      <c r="J51" s="301"/>
      <c r="K51" s="302"/>
      <c r="L51" s="189"/>
      <c r="M51" s="16"/>
      <c r="N51" s="189"/>
      <c r="O51" s="16"/>
      <c r="P51" s="281"/>
      <c r="Q51" s="89"/>
      <c r="R51" s="303"/>
      <c r="S51" s="16"/>
      <c r="T51" s="265"/>
      <c r="U51" s="261"/>
      <c r="V51" s="262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ht="14.25" customHeight="1">
      <c r="A52" s="1"/>
      <c r="B52" s="16" t="str">
        <f>IF('D PY Audit'!K54="","",'D PY Audit'!K54)</f>
        <v>Other operating costs</v>
      </c>
      <c r="C52" s="89"/>
      <c r="D52" s="254"/>
      <c r="E52" s="82"/>
      <c r="F52" s="299">
        <v>3.1604374E7</v>
      </c>
      <c r="G52" s="118"/>
      <c r="H52" s="118"/>
      <c r="I52" s="300"/>
      <c r="J52" s="301"/>
      <c r="K52" s="302"/>
      <c r="L52" s="189">
        <f>'D PY Audit'!M54</f>
        <v>30747521</v>
      </c>
      <c r="M52" s="16"/>
      <c r="N52" s="189"/>
      <c r="O52" s="16"/>
      <c r="P52" s="285"/>
      <c r="Q52" s="185"/>
      <c r="R52" s="303">
        <f>F52-L52</f>
        <v>856853</v>
      </c>
      <c r="S52" s="16"/>
      <c r="T52" s="260">
        <f>IF(L52&lt;&gt;0,R52/L52,"-     ")</f>
        <v>0.02786738482</v>
      </c>
      <c r="U52" s="261"/>
      <c r="V52" s="262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ht="4.5" customHeight="1">
      <c r="A53" s="1"/>
      <c r="B53" s="89"/>
      <c r="C53" s="89"/>
      <c r="D53" s="254"/>
      <c r="E53" s="82"/>
      <c r="F53" s="118"/>
      <c r="G53" s="118"/>
      <c r="H53" s="118"/>
      <c r="I53" s="300"/>
      <c r="J53" s="301"/>
      <c r="K53" s="302"/>
      <c r="L53" s="189"/>
      <c r="M53" s="16"/>
      <c r="N53" s="189"/>
      <c r="O53" s="16"/>
      <c r="P53" s="285"/>
      <c r="Q53" s="185"/>
      <c r="R53" s="303"/>
      <c r="S53" s="16"/>
      <c r="T53" s="265"/>
      <c r="U53" s="261"/>
      <c r="V53" s="262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ht="14.25" customHeight="1">
      <c r="A54" s="1"/>
      <c r="B54" s="16" t="str">
        <f>IF('D PY Audit'!K56="","",'D PY Audit'!K56)</f>
        <v>Offsets of amounts below</v>
      </c>
      <c r="C54" s="89"/>
      <c r="D54" s="254"/>
      <c r="E54" s="82"/>
      <c r="F54" s="299">
        <f>-F64-F66-F68-F72-F74-F76-H80</f>
        <v>-26929341</v>
      </c>
      <c r="G54" s="118"/>
      <c r="H54" s="118"/>
      <c r="I54" s="300"/>
      <c r="J54" s="301"/>
      <c r="K54" s="302"/>
      <c r="L54" s="189">
        <f>'D PY Audit'!M56</f>
        <v>-25881544.29</v>
      </c>
      <c r="M54" s="16"/>
      <c r="N54" s="189"/>
      <c r="O54" s="16"/>
      <c r="P54" s="285"/>
      <c r="Q54" s="185"/>
      <c r="R54" s="303">
        <f>F54-L54</f>
        <v>-1047796.712</v>
      </c>
      <c r="S54" s="16"/>
      <c r="T54" s="260">
        <f>IF(L54&lt;&gt;0,R54/L54,"-     ")</f>
        <v>0.04048431965</v>
      </c>
      <c r="U54" s="261"/>
      <c r="V54" s="262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ht="4.5" customHeight="1">
      <c r="A55" s="1"/>
      <c r="B55" s="89"/>
      <c r="C55" s="89"/>
      <c r="D55" s="254"/>
      <c r="E55" s="82"/>
      <c r="F55" s="118"/>
      <c r="G55" s="118"/>
      <c r="H55" s="118"/>
      <c r="I55" s="300"/>
      <c r="J55" s="301"/>
      <c r="K55" s="302"/>
      <c r="L55" s="189"/>
      <c r="M55" s="16"/>
      <c r="N55" s="189"/>
      <c r="O55" s="16"/>
      <c r="P55" s="285"/>
      <c r="Q55" s="185"/>
      <c r="R55" s="303"/>
      <c r="S55" s="16"/>
      <c r="T55" s="265"/>
      <c r="U55" s="261"/>
      <c r="V55" s="262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ht="14.25" customHeight="1">
      <c r="A56" s="1"/>
      <c r="B56" s="89" t="str">
        <f>IF('D PY Audit'!K58="","",'D PY Audit'!K58)</f>
        <v/>
      </c>
      <c r="C56" s="89"/>
      <c r="D56" s="254"/>
      <c r="E56" s="82"/>
      <c r="F56" s="299"/>
      <c r="G56" s="118"/>
      <c r="H56" s="118"/>
      <c r="I56" s="300"/>
      <c r="J56" s="301"/>
      <c r="K56" s="302"/>
      <c r="L56" s="189" t="str">
        <f>'D PY Audit'!M58</f>
        <v/>
      </c>
      <c r="M56" s="16"/>
      <c r="N56" s="189"/>
      <c r="O56" s="16"/>
      <c r="P56" s="285"/>
      <c r="Q56" s="185"/>
      <c r="R56" s="303">
        <f>F56-L56</f>
        <v>0</v>
      </c>
      <c r="S56" s="16"/>
      <c r="T56" s="260" t="str">
        <f>IF(L56&lt;&gt;0,R56/L56,"-     ")</f>
        <v>-     </v>
      </c>
      <c r="U56" s="261"/>
      <c r="V56" s="262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ht="4.5" customHeight="1">
      <c r="A57" s="1"/>
      <c r="B57" s="89"/>
      <c r="C57" s="89"/>
      <c r="D57" s="254"/>
      <c r="E57" s="82"/>
      <c r="F57" s="118"/>
      <c r="G57" s="118"/>
      <c r="H57" s="118"/>
      <c r="I57" s="300"/>
      <c r="J57" s="301"/>
      <c r="K57" s="302"/>
      <c r="L57" s="189"/>
      <c r="M57" s="16"/>
      <c r="N57" s="189"/>
      <c r="O57" s="16"/>
      <c r="P57" s="285"/>
      <c r="Q57" s="185"/>
      <c r="R57" s="303"/>
      <c r="S57" s="16"/>
      <c r="T57" s="265"/>
      <c r="U57" s="261"/>
      <c r="V57" s="262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ht="14.25" customHeight="1">
      <c r="A58" s="1"/>
      <c r="B58" s="89" t="str">
        <f>IF('D PY Audit'!K60="","",'D PY Audit'!K60)</f>
        <v/>
      </c>
      <c r="C58" s="89"/>
      <c r="D58" s="254"/>
      <c r="E58" s="82"/>
      <c r="F58" s="299"/>
      <c r="G58" s="118"/>
      <c r="H58" s="118"/>
      <c r="I58" s="300"/>
      <c r="J58" s="301"/>
      <c r="K58" s="302"/>
      <c r="L58" s="189" t="str">
        <f>'D PY Audit'!M60</f>
        <v/>
      </c>
      <c r="M58" s="16"/>
      <c r="N58" s="189"/>
      <c r="O58" s="16"/>
      <c r="P58" s="285"/>
      <c r="Q58" s="185"/>
      <c r="R58" s="303">
        <f>F58-L58</f>
        <v>0</v>
      </c>
      <c r="S58" s="16"/>
      <c r="T58" s="260" t="str">
        <f>IF(L58&lt;&gt;0,R58/L58,"-     ")</f>
        <v>-     </v>
      </c>
      <c r="U58" s="261"/>
      <c r="V58" s="262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</row>
    <row r="59" ht="3.75" customHeight="1">
      <c r="A59" s="1"/>
      <c r="B59" s="89"/>
      <c r="C59" s="89"/>
      <c r="D59" s="254"/>
      <c r="E59" s="82"/>
      <c r="F59" s="118"/>
      <c r="G59" s="118"/>
      <c r="H59" s="118"/>
      <c r="I59" s="300"/>
      <c r="J59" s="301"/>
      <c r="K59" s="302"/>
      <c r="L59" s="189"/>
      <c r="M59" s="16"/>
      <c r="N59" s="189"/>
      <c r="O59" s="16"/>
      <c r="P59" s="285"/>
      <c r="Q59" s="185"/>
      <c r="R59" s="303"/>
      <c r="S59" s="16"/>
      <c r="T59" s="265"/>
      <c r="U59" s="261"/>
      <c r="V59" s="262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</row>
    <row r="60" ht="14.25" customHeight="1">
      <c r="A60" s="1"/>
      <c r="B60" s="89" t="str">
        <f>IF('D PY Audit'!K62="","",'D PY Audit'!K62)</f>
        <v/>
      </c>
      <c r="C60" s="89"/>
      <c r="D60" s="254"/>
      <c r="E60" s="82"/>
      <c r="F60" s="299"/>
      <c r="G60" s="118"/>
      <c r="H60" s="118"/>
      <c r="I60" s="300"/>
      <c r="J60" s="301"/>
      <c r="K60" s="302"/>
      <c r="L60" s="189" t="str">
        <f>'D PY Audit'!M62</f>
        <v/>
      </c>
      <c r="M60" s="16"/>
      <c r="N60" s="189"/>
      <c r="O60" s="16"/>
      <c r="P60" s="285"/>
      <c r="Q60" s="185"/>
      <c r="R60" s="303">
        <f>F60-L60</f>
        <v>0</v>
      </c>
      <c r="S60" s="16"/>
      <c r="T60" s="260" t="str">
        <f>IF(L60&lt;&gt;0,R60/L60,"-     ")</f>
        <v>-     </v>
      </c>
      <c r="U60" s="261"/>
      <c r="V60" s="262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</row>
    <row r="61" ht="4.5" customHeight="1">
      <c r="A61" s="1"/>
      <c r="B61" s="89"/>
      <c r="C61" s="89"/>
      <c r="D61" s="254"/>
      <c r="E61" s="82"/>
      <c r="F61" s="118"/>
      <c r="G61" s="118"/>
      <c r="H61" s="118"/>
      <c r="I61" s="300"/>
      <c r="J61" s="301"/>
      <c r="K61" s="302"/>
      <c r="L61" s="189"/>
      <c r="M61" s="16"/>
      <c r="N61" s="189"/>
      <c r="O61" s="16"/>
      <c r="P61" s="285"/>
      <c r="Q61" s="185"/>
      <c r="R61" s="303"/>
      <c r="S61" s="16"/>
      <c r="T61" s="265"/>
      <c r="U61" s="261"/>
      <c r="V61" s="262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</row>
    <row r="62" ht="15.75" customHeight="1">
      <c r="A62" s="1"/>
      <c r="B62" s="89" t="str">
        <f>IF('D PY Audit'!K64="","",'D PY Audit'!K64)</f>
        <v/>
      </c>
      <c r="C62" s="89"/>
      <c r="D62" s="254"/>
      <c r="E62" s="82"/>
      <c r="F62" s="293"/>
      <c r="G62" s="118"/>
      <c r="H62" s="118"/>
      <c r="I62" s="300"/>
      <c r="J62" s="301"/>
      <c r="K62" s="302"/>
      <c r="L62" s="189" t="str">
        <f>'D PY Audit'!M64</f>
        <v/>
      </c>
      <c r="M62" s="16"/>
      <c r="N62" s="189"/>
      <c r="O62" s="16"/>
      <c r="P62" s="285"/>
      <c r="Q62" s="185"/>
      <c r="R62" s="303">
        <f>F62-L62</f>
        <v>0</v>
      </c>
      <c r="S62" s="16"/>
      <c r="T62" s="260" t="str">
        <f>IF(L62&lt;&gt;0,R62/L62,"-     ")</f>
        <v>-     </v>
      </c>
      <c r="U62" s="261"/>
      <c r="V62" s="262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</row>
    <row r="63" ht="4.5" customHeight="1">
      <c r="A63" s="1"/>
      <c r="B63" s="89"/>
      <c r="C63" s="89"/>
      <c r="D63" s="254"/>
      <c r="E63" s="82"/>
      <c r="F63" s="305"/>
      <c r="G63" s="118"/>
      <c r="H63" s="118"/>
      <c r="I63" s="300"/>
      <c r="J63" s="301"/>
      <c r="K63" s="302"/>
      <c r="L63" s="189"/>
      <c r="M63" s="16"/>
      <c r="N63" s="189"/>
      <c r="O63" s="16"/>
      <c r="P63" s="285"/>
      <c r="Q63" s="185"/>
      <c r="R63" s="303"/>
      <c r="S63" s="16"/>
      <c r="T63" s="265"/>
      <c r="U63" s="261"/>
      <c r="V63" s="262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</row>
    <row r="64" ht="14.25" customHeight="1">
      <c r="A64" s="1"/>
      <c r="B64" s="89" t="s">
        <v>207</v>
      </c>
      <c r="C64" s="89"/>
      <c r="D64" s="254"/>
      <c r="E64" s="82"/>
      <c r="F64" s="293">
        <v>6750000.0</v>
      </c>
      <c r="G64" s="118"/>
      <c r="H64" s="118"/>
      <c r="I64" s="300"/>
      <c r="J64" s="301"/>
      <c r="K64" s="302"/>
      <c r="L64" s="189">
        <f>'D PY Audit'!M66</f>
        <v>6339780</v>
      </c>
      <c r="M64" s="16"/>
      <c r="N64" s="295"/>
      <c r="O64" s="280"/>
      <c r="P64" s="285"/>
      <c r="Q64" s="185"/>
      <c r="R64" s="303">
        <f>F64-L64</f>
        <v>410220</v>
      </c>
      <c r="S64" s="16"/>
      <c r="T64" s="260">
        <f>IF(L64&lt;&gt;0,R64/L64,"-     ")</f>
        <v>0.06470571534</v>
      </c>
      <c r="U64" s="261"/>
      <c r="V64" s="262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</row>
    <row r="65" ht="4.5" customHeight="1">
      <c r="A65" s="1"/>
      <c r="B65" s="89"/>
      <c r="C65" s="89"/>
      <c r="D65" s="254"/>
      <c r="E65" s="82"/>
      <c r="F65" s="118"/>
      <c r="G65" s="118"/>
      <c r="H65" s="118"/>
      <c r="I65" s="300"/>
      <c r="J65" s="301"/>
      <c r="K65" s="302"/>
      <c r="L65" s="189"/>
      <c r="M65" s="16"/>
      <c r="N65" s="295"/>
      <c r="O65" s="280"/>
      <c r="P65" s="285"/>
      <c r="Q65" s="185"/>
      <c r="R65" s="303"/>
      <c r="S65" s="16"/>
      <c r="T65" s="265"/>
      <c r="U65" s="261"/>
      <c r="V65" s="262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</row>
    <row r="66" ht="14.25" customHeight="1">
      <c r="A66" s="1"/>
      <c r="B66" s="89" t="s">
        <v>118</v>
      </c>
      <c r="C66" s="89"/>
      <c r="D66" s="254"/>
      <c r="E66" s="82"/>
      <c r="F66" s="293">
        <v>1400000.0</v>
      </c>
      <c r="G66" s="118"/>
      <c r="H66" s="118"/>
      <c r="I66" s="300"/>
      <c r="J66" s="301"/>
      <c r="K66" s="302"/>
      <c r="L66" s="189">
        <f>'D PY Audit'!M68</f>
        <v>1392731.288</v>
      </c>
      <c r="M66" s="16"/>
      <c r="N66" s="295"/>
      <c r="O66" s="280"/>
      <c r="P66" s="285"/>
      <c r="Q66" s="185"/>
      <c r="R66" s="303">
        <f>F66-L66</f>
        <v>7268.712</v>
      </c>
      <c r="S66" s="16"/>
      <c r="T66" s="260">
        <f>IF(L66&lt;&gt;0,R66/L66,"-     ")</f>
        <v>0.00521903404</v>
      </c>
      <c r="U66" s="261"/>
      <c r="V66" s="262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</row>
    <row r="67" ht="4.5" customHeight="1">
      <c r="A67" s="1"/>
      <c r="B67" s="89"/>
      <c r="C67" s="89"/>
      <c r="D67" s="254"/>
      <c r="E67" s="82"/>
      <c r="F67" s="118"/>
      <c r="G67" s="118"/>
      <c r="H67" s="118"/>
      <c r="I67" s="300"/>
      <c r="J67" s="301"/>
      <c r="K67" s="302"/>
      <c r="L67" s="189"/>
      <c r="M67" s="16"/>
      <c r="N67" s="189"/>
      <c r="O67" s="16"/>
      <c r="P67" s="285"/>
      <c r="Q67" s="185"/>
      <c r="R67" s="303"/>
      <c r="S67" s="16"/>
      <c r="T67" s="265"/>
      <c r="U67" s="261"/>
      <c r="V67" s="262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</row>
    <row r="68" ht="14.25" customHeight="1">
      <c r="A68" s="1"/>
      <c r="B68" s="89" t="s">
        <v>120</v>
      </c>
      <c r="C68" s="89"/>
      <c r="D68" s="254"/>
      <c r="E68" s="82"/>
      <c r="F68" s="293">
        <v>3000000.0</v>
      </c>
      <c r="G68" s="306"/>
      <c r="H68" s="118"/>
      <c r="I68" s="300"/>
      <c r="J68" s="301"/>
      <c r="K68" s="302"/>
      <c r="L68" s="189">
        <f>'D PY Audit'!M70</f>
        <v>2834988</v>
      </c>
      <c r="M68" s="16"/>
      <c r="N68" s="295"/>
      <c r="O68" s="280"/>
      <c r="P68" s="292"/>
      <c r="Q68" s="284"/>
      <c r="R68" s="303">
        <f>F68-L68</f>
        <v>165012</v>
      </c>
      <c r="S68" s="16"/>
      <c r="T68" s="260">
        <f>IF(L68&lt;&gt;0,R68/L68,"-     ")</f>
        <v>0.05820553738</v>
      </c>
      <c r="U68" s="261"/>
      <c r="V68" s="262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ht="4.5" customHeight="1">
      <c r="A69" s="1"/>
      <c r="B69" s="89"/>
      <c r="C69" s="89"/>
      <c r="D69" s="254"/>
      <c r="E69" s="82"/>
      <c r="F69" s="189"/>
      <c r="G69" s="306"/>
      <c r="H69" s="1"/>
      <c r="I69" s="300"/>
      <c r="J69" s="301"/>
      <c r="K69" s="302"/>
      <c r="L69" s="189"/>
      <c r="M69" s="189"/>
      <c r="N69" s="189"/>
      <c r="O69" s="280"/>
      <c r="P69" s="292"/>
      <c r="Q69" s="284"/>
      <c r="R69" s="303"/>
      <c r="S69" s="16"/>
      <c r="T69" s="265"/>
      <c r="U69" s="261"/>
      <c r="V69" s="262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</row>
    <row r="70" ht="14.25" customHeight="1">
      <c r="A70" s="1"/>
      <c r="B70" s="89" t="s">
        <v>209</v>
      </c>
      <c r="C70" s="89"/>
      <c r="D70" s="254"/>
      <c r="E70" s="82"/>
      <c r="F70" s="299"/>
      <c r="G70" s="118"/>
      <c r="H70" s="118"/>
      <c r="I70" s="300"/>
      <c r="J70" s="301"/>
      <c r="K70" s="302"/>
      <c r="L70" s="189" t="str">
        <f>'D PY Audit'!M72</f>
        <v/>
      </c>
      <c r="M70" s="16"/>
      <c r="N70" s="189"/>
      <c r="O70" s="16"/>
      <c r="P70" s="285"/>
      <c r="Q70" s="185"/>
      <c r="R70" s="303">
        <f>F70-L70</f>
        <v>0</v>
      </c>
      <c r="S70" s="16"/>
      <c r="T70" s="260" t="str">
        <f>IF(L70&lt;&gt;0,R70/L70,"-     ")</f>
        <v>-     </v>
      </c>
      <c r="U70" s="261"/>
      <c r="V70" s="262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ht="4.5" customHeight="1">
      <c r="A71" s="1"/>
      <c r="B71" s="89"/>
      <c r="C71" s="89"/>
      <c r="D71" s="254"/>
      <c r="E71" s="82"/>
      <c r="F71" s="189"/>
      <c r="G71" s="306"/>
      <c r="H71" s="1"/>
      <c r="I71" s="300"/>
      <c r="J71" s="301"/>
      <c r="K71" s="302"/>
      <c r="L71" s="189"/>
      <c r="M71" s="189"/>
      <c r="N71" s="189"/>
      <c r="O71" s="280"/>
      <c r="P71" s="292"/>
      <c r="Q71" s="284"/>
      <c r="R71" s="303"/>
      <c r="S71" s="16"/>
      <c r="T71" s="260"/>
      <c r="U71" s="261"/>
      <c r="V71" s="262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ht="14.25" customHeight="1">
      <c r="A72" s="1"/>
      <c r="B72" s="89" t="s">
        <v>210</v>
      </c>
      <c r="C72" s="89"/>
      <c r="D72" s="254"/>
      <c r="E72" s="82"/>
      <c r="F72" s="299"/>
      <c r="G72" s="306"/>
      <c r="H72" s="118"/>
      <c r="I72" s="300"/>
      <c r="J72" s="301"/>
      <c r="K72" s="302"/>
      <c r="L72" s="189">
        <v>0.0</v>
      </c>
      <c r="M72" s="189"/>
      <c r="N72" s="189"/>
      <c r="O72" s="280"/>
      <c r="P72" s="292"/>
      <c r="Q72" s="284"/>
      <c r="R72" s="303">
        <f>F72-L72</f>
        <v>0</v>
      </c>
      <c r="S72" s="16"/>
      <c r="T72" s="260" t="str">
        <f>IF(L72&lt;&gt;0,R72/L72,"-     ")</f>
        <v>-     </v>
      </c>
      <c r="U72" s="261"/>
      <c r="V72" s="262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ht="4.5" customHeight="1">
      <c r="A73" s="1"/>
      <c r="B73" s="89"/>
      <c r="C73" s="89"/>
      <c r="D73" s="254"/>
      <c r="E73" s="82"/>
      <c r="F73" s="118"/>
      <c r="G73" s="306"/>
      <c r="H73" s="118"/>
      <c r="I73" s="300"/>
      <c r="J73" s="301"/>
      <c r="K73" s="302"/>
      <c r="L73" s="189"/>
      <c r="M73" s="189"/>
      <c r="N73" s="189"/>
      <c r="O73" s="280"/>
      <c r="P73" s="292"/>
      <c r="Q73" s="284"/>
      <c r="R73" s="303"/>
      <c r="S73" s="16"/>
      <c r="T73" s="265"/>
      <c r="U73" s="261"/>
      <c r="V73" s="262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ht="14.25" customHeight="1">
      <c r="A74" s="1"/>
      <c r="B74" s="89" t="s">
        <v>211</v>
      </c>
      <c r="C74" s="89"/>
      <c r="D74" s="254"/>
      <c r="E74" s="82"/>
      <c r="F74" s="189">
        <f>'H Non trad'!D47</f>
        <v>8419341</v>
      </c>
      <c r="G74" s="118"/>
      <c r="H74" s="118"/>
      <c r="I74" s="300"/>
      <c r="J74" s="301"/>
      <c r="K74" s="302"/>
      <c r="L74" s="189">
        <f>'D PY Audit'!M74</f>
        <v>8377045</v>
      </c>
      <c r="M74" s="16"/>
      <c r="N74" s="189"/>
      <c r="O74" s="16"/>
      <c r="P74" s="285"/>
      <c r="Q74" s="185"/>
      <c r="R74" s="303">
        <f>F74-L74</f>
        <v>42296</v>
      </c>
      <c r="S74" s="16"/>
      <c r="T74" s="260">
        <f>IF(L74&lt;&gt;0,R74/L74,"-     ")</f>
        <v>0.005049035788</v>
      </c>
      <c r="U74" s="261"/>
      <c r="V74" s="262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ht="4.5" customHeight="1">
      <c r="A75" s="1"/>
      <c r="B75" s="1"/>
      <c r="C75" s="89"/>
      <c r="D75" s="254"/>
      <c r="E75" s="82"/>
      <c r="F75" s="189"/>
      <c r="G75" s="118"/>
      <c r="H75" s="118"/>
      <c r="I75" s="300"/>
      <c r="J75" s="301"/>
      <c r="K75" s="302"/>
      <c r="L75" s="189"/>
      <c r="M75" s="189"/>
      <c r="N75" s="189"/>
      <c r="O75" s="280"/>
      <c r="P75" s="292"/>
      <c r="Q75" s="284"/>
      <c r="R75" s="303"/>
      <c r="S75" s="16"/>
      <c r="T75" s="260"/>
      <c r="U75" s="261"/>
      <c r="V75" s="262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ht="14.25" customHeight="1">
      <c r="A76" s="1"/>
      <c r="B76" s="89" t="s">
        <v>212</v>
      </c>
      <c r="C76" s="89"/>
      <c r="D76" s="254"/>
      <c r="E76" s="82"/>
      <c r="F76" s="189">
        <f>'K Strategic'!F33</f>
        <v>240000</v>
      </c>
      <c r="G76" s="306"/>
      <c r="H76" s="1"/>
      <c r="I76" s="300"/>
      <c r="J76" s="301"/>
      <c r="K76" s="302"/>
      <c r="L76" s="189" t="str">
        <f>'D PY Audit'!M76</f>
        <v/>
      </c>
      <c r="M76" s="189"/>
      <c r="N76" s="189"/>
      <c r="O76" s="280"/>
      <c r="P76" s="292"/>
      <c r="Q76" s="284"/>
      <c r="R76" s="303">
        <f>F76-L76</f>
        <v>240000</v>
      </c>
      <c r="S76" s="16"/>
      <c r="T76" s="260" t="str">
        <f>IF(L76&lt;&gt;0,R76/L76,"-     ")</f>
        <v>-     </v>
      </c>
      <c r="U76" s="261"/>
      <c r="V76" s="262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ht="4.5" customHeight="1">
      <c r="A77" s="1"/>
      <c r="B77" s="89"/>
      <c r="C77" s="89"/>
      <c r="D77" s="254"/>
      <c r="E77" s="82"/>
      <c r="F77" s="307"/>
      <c r="G77" s="118"/>
      <c r="H77" s="118"/>
      <c r="I77" s="300"/>
      <c r="J77" s="301"/>
      <c r="K77" s="302"/>
      <c r="L77" s="307"/>
      <c r="M77" s="16"/>
      <c r="N77" s="295"/>
      <c r="O77" s="280"/>
      <c r="P77" s="292"/>
      <c r="Q77" s="284"/>
      <c r="R77" s="127"/>
      <c r="S77" s="16"/>
      <c r="T77" s="308"/>
      <c r="U77" s="261"/>
      <c r="V77" s="262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ht="14.25" customHeight="1">
      <c r="A78" s="1"/>
      <c r="B78" s="132" t="s">
        <v>131</v>
      </c>
      <c r="C78" s="89"/>
      <c r="D78" s="254"/>
      <c r="E78" s="82"/>
      <c r="F78" s="16"/>
      <c r="G78" s="16"/>
      <c r="H78" s="189">
        <f>SUM(F50:F76)</f>
        <v>57461833</v>
      </c>
      <c r="I78" s="267"/>
      <c r="J78" s="283"/>
      <c r="K78" s="82"/>
      <c r="L78" s="16"/>
      <c r="M78" s="16"/>
      <c r="N78" s="189">
        <f>SUM(L50:L76)</f>
        <v>55406968</v>
      </c>
      <c r="O78" s="16"/>
      <c r="P78" s="285"/>
      <c r="Q78" s="185"/>
      <c r="R78" s="303">
        <f>SUM(R50:R76)</f>
        <v>2054865</v>
      </c>
      <c r="S78" s="16"/>
      <c r="T78" s="260">
        <f>IF(N78&lt;&gt;0,R78/N78,"-     ")</f>
        <v>0.03708676136</v>
      </c>
      <c r="U78" s="261"/>
      <c r="V78" s="262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ht="4.5" customHeight="1">
      <c r="A79" s="1"/>
      <c r="B79" s="132"/>
      <c r="C79" s="89"/>
      <c r="D79" s="254"/>
      <c r="E79" s="82"/>
      <c r="F79" s="16"/>
      <c r="G79" s="16"/>
      <c r="H79" s="16"/>
      <c r="I79" s="267"/>
      <c r="J79" s="283"/>
      <c r="K79" s="82"/>
      <c r="L79" s="16"/>
      <c r="M79" s="16"/>
      <c r="N79" s="189"/>
      <c r="O79" s="16"/>
      <c r="P79" s="285"/>
      <c r="Q79" s="185"/>
      <c r="R79" s="303"/>
      <c r="S79" s="16"/>
      <c r="T79" s="265"/>
      <c r="U79" s="261"/>
      <c r="V79" s="262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 ht="14.25" customHeight="1">
      <c r="A80" s="1"/>
      <c r="B80" s="132" t="s">
        <v>133</v>
      </c>
      <c r="C80" s="309"/>
      <c r="D80" s="254"/>
      <c r="E80" s="309"/>
      <c r="F80" s="310">
        <f>'L Capital'!L192</f>
        <v>7039635.775</v>
      </c>
      <c r="G80" s="296"/>
      <c r="H80" s="139">
        <v>7120000.0</v>
      </c>
      <c r="I80" s="311"/>
      <c r="J80" s="283"/>
      <c r="K80" s="284"/>
      <c r="L80" s="16"/>
      <c r="M80" s="16"/>
      <c r="N80" s="189">
        <f>'D PY Audit'!O80</f>
        <v>6937000</v>
      </c>
      <c r="O80" s="1"/>
      <c r="P80" s="281"/>
      <c r="Q80" s="89"/>
      <c r="R80" s="303">
        <f>H80-N80</f>
        <v>183000</v>
      </c>
      <c r="S80" s="16"/>
      <c r="T80" s="260">
        <f>IF(N80&lt;&gt;0,R80/N80,"-     ")</f>
        <v>0.02638027966</v>
      </c>
      <c r="U80" s="261"/>
      <c r="V80" s="262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 ht="5.25" customHeight="1">
      <c r="A81" s="1"/>
      <c r="B81" s="180"/>
      <c r="C81" s="309"/>
      <c r="D81" s="254"/>
      <c r="E81" s="309"/>
      <c r="F81" s="312" t="s">
        <v>213</v>
      </c>
      <c r="G81" s="16"/>
      <c r="H81" s="294"/>
      <c r="I81" s="311"/>
      <c r="J81" s="283"/>
      <c r="K81" s="284"/>
      <c r="L81" s="16"/>
      <c r="M81" s="16"/>
      <c r="N81" s="127"/>
      <c r="O81" s="16"/>
      <c r="P81" s="285"/>
      <c r="Q81" s="185"/>
      <c r="R81" s="127"/>
      <c r="S81" s="16"/>
      <c r="T81" s="308"/>
      <c r="U81" s="261"/>
      <c r="V81" s="262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</row>
    <row r="82" ht="4.5" customHeight="1">
      <c r="A82" s="1"/>
      <c r="B82" s="180"/>
      <c r="C82" s="309"/>
      <c r="D82" s="254"/>
      <c r="E82" s="309"/>
      <c r="F82" s="313"/>
      <c r="G82" s="16"/>
      <c r="H82" s="118"/>
      <c r="I82" s="311"/>
      <c r="J82" s="283"/>
      <c r="K82" s="284"/>
      <c r="L82" s="16"/>
      <c r="M82" s="16"/>
      <c r="N82" s="16"/>
      <c r="O82" s="16"/>
      <c r="P82" s="285"/>
      <c r="Q82" s="185"/>
      <c r="R82" s="16"/>
      <c r="S82" s="16"/>
      <c r="T82" s="265"/>
      <c r="U82" s="261"/>
      <c r="V82" s="262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</row>
    <row r="83" ht="14.25" customHeight="1">
      <c r="A83" s="1"/>
      <c r="B83" s="132" t="s">
        <v>136</v>
      </c>
      <c r="C83" s="247"/>
      <c r="D83" s="254"/>
      <c r="E83" s="82"/>
      <c r="F83" s="16"/>
      <c r="G83" s="16"/>
      <c r="H83" s="189">
        <f>H78+H80</f>
        <v>64581833</v>
      </c>
      <c r="I83" s="267"/>
      <c r="J83" s="283"/>
      <c r="K83" s="82"/>
      <c r="L83" s="189"/>
      <c r="M83" s="189"/>
      <c r="N83" s="189">
        <f>N78+N80</f>
        <v>62343968</v>
      </c>
      <c r="O83" s="189"/>
      <c r="P83" s="314"/>
      <c r="Q83" s="189"/>
      <c r="R83" s="303">
        <f>R78+R80</f>
        <v>2237865</v>
      </c>
      <c r="S83" s="16"/>
      <c r="T83" s="260">
        <f>IF(N83&lt;&gt;0,R83/N83,"-     ")</f>
        <v>0.03589545343</v>
      </c>
      <c r="U83" s="261"/>
      <c r="V83" s="262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</row>
    <row r="84" ht="3.75" customHeight="1">
      <c r="A84" s="1"/>
      <c r="B84" s="89"/>
      <c r="C84" s="89"/>
      <c r="D84" s="254"/>
      <c r="E84" s="82"/>
      <c r="F84" s="185"/>
      <c r="G84" s="185"/>
      <c r="H84" s="274"/>
      <c r="I84" s="271"/>
      <c r="J84" s="283"/>
      <c r="K84" s="82"/>
      <c r="L84" s="16"/>
      <c r="M84" s="16"/>
      <c r="N84" s="274"/>
      <c r="O84" s="271"/>
      <c r="P84" s="315"/>
      <c r="Q84" s="16"/>
      <c r="R84" s="307"/>
      <c r="S84" s="261"/>
      <c r="T84" s="307"/>
      <c r="U84" s="89"/>
      <c r="V84" s="28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</row>
    <row r="85" ht="14.25" customHeight="1">
      <c r="A85" s="1"/>
      <c r="B85" s="132" t="s">
        <v>138</v>
      </c>
      <c r="C85" s="247"/>
      <c r="D85" s="254"/>
      <c r="E85" s="82"/>
      <c r="F85" s="316"/>
      <c r="G85" s="89"/>
      <c r="H85" s="189">
        <f>H46-H83</f>
        <v>4203896.817</v>
      </c>
      <c r="I85" s="264"/>
      <c r="J85" s="288"/>
      <c r="K85" s="82"/>
      <c r="L85" s="89"/>
      <c r="M85" s="189"/>
      <c r="N85" s="189">
        <f>N46-N83</f>
        <v>388171</v>
      </c>
      <c r="O85" s="315"/>
      <c r="P85" s="315"/>
      <c r="Q85" s="16"/>
      <c r="R85" s="189">
        <f>R46-R83</f>
        <v>1495725.817</v>
      </c>
      <c r="S85" s="261"/>
      <c r="T85" s="260">
        <f>IF(N85&lt;&gt;0,R85/N85,"-     ")</f>
        <v>3.853265228</v>
      </c>
      <c r="U85" s="261"/>
      <c r="V85" s="262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</row>
    <row r="86" ht="4.5" customHeight="1">
      <c r="A86" s="1"/>
      <c r="B86" s="132"/>
      <c r="C86" s="247"/>
      <c r="D86" s="254"/>
      <c r="E86" s="82"/>
      <c r="F86" s="316"/>
      <c r="G86" s="89"/>
      <c r="H86" s="189"/>
      <c r="I86" s="264"/>
      <c r="J86" s="288"/>
      <c r="K86" s="82"/>
      <c r="L86" s="192"/>
      <c r="M86" s="91"/>
      <c r="N86" s="317"/>
      <c r="O86" s="288"/>
      <c r="P86" s="315"/>
      <c r="Q86" s="16"/>
      <c r="R86" s="192"/>
      <c r="S86" s="261"/>
      <c r="T86" s="261"/>
      <c r="U86" s="261"/>
      <c r="V86" s="262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</row>
    <row r="87" ht="14.25" customHeight="1">
      <c r="A87" s="1"/>
      <c r="B87" s="132" t="s">
        <v>141</v>
      </c>
      <c r="C87" s="89"/>
      <c r="D87" s="254"/>
      <c r="E87" s="82"/>
      <c r="F87" s="1"/>
      <c r="G87" s="296" t="s">
        <v>214</v>
      </c>
      <c r="H87" s="189">
        <f>-'M Non student'!F131</f>
        <v>2934772</v>
      </c>
      <c r="I87" s="267"/>
      <c r="J87" s="283"/>
      <c r="K87" s="82"/>
      <c r="L87" s="16"/>
      <c r="M87" s="16"/>
      <c r="N87" s="189">
        <f>'D PY Audit'!O86</f>
        <v>1657229</v>
      </c>
      <c r="O87" s="16"/>
      <c r="P87" s="285"/>
      <c r="Q87" s="185"/>
      <c r="R87" s="189">
        <f>H87-N87</f>
        <v>1277543</v>
      </c>
      <c r="S87" s="16"/>
      <c r="T87" s="260">
        <f>IF(N87&lt;&gt;0,R87/N87,"-     ")</f>
        <v>0.7708910476</v>
      </c>
      <c r="U87" s="261"/>
      <c r="V87" s="262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</row>
    <row r="88" ht="4.5" customHeight="1">
      <c r="A88" s="1"/>
      <c r="B88" s="132"/>
      <c r="C88" s="89"/>
      <c r="D88" s="254"/>
      <c r="E88" s="82"/>
      <c r="F88" s="1"/>
      <c r="G88" s="296"/>
      <c r="H88" s="189"/>
      <c r="I88" s="267"/>
      <c r="J88" s="283"/>
      <c r="K88" s="82"/>
      <c r="L88" s="16"/>
      <c r="M88" s="16"/>
      <c r="N88" s="189"/>
      <c r="O88" s="16"/>
      <c r="P88" s="285"/>
      <c r="Q88" s="185"/>
      <c r="R88" s="16"/>
      <c r="S88" s="16"/>
      <c r="T88" s="260"/>
      <c r="U88" s="261"/>
      <c r="V88" s="262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</row>
    <row r="89" ht="14.25" customHeight="1">
      <c r="A89" s="1"/>
      <c r="B89" s="132" t="s">
        <v>145</v>
      </c>
      <c r="C89" s="247"/>
      <c r="D89" s="254"/>
      <c r="E89" s="82"/>
      <c r="F89" s="316"/>
      <c r="G89" s="296" t="s">
        <v>214</v>
      </c>
      <c r="H89" s="189">
        <f>'M Non student'!F38</f>
        <v>-370070</v>
      </c>
      <c r="I89" s="264"/>
      <c r="J89" s="288"/>
      <c r="K89" s="82"/>
      <c r="L89" s="89"/>
      <c r="M89" s="189"/>
      <c r="N89" s="189">
        <f>'D PY Audit'!O88</f>
        <v>-1030000</v>
      </c>
      <c r="O89" s="315"/>
      <c r="P89" s="315"/>
      <c r="Q89" s="16"/>
      <c r="R89" s="189">
        <f>H89-N89</f>
        <v>659930</v>
      </c>
      <c r="S89" s="261"/>
      <c r="T89" s="260">
        <f>IF(N89&lt;&gt;0,R89/N89,"-     ")</f>
        <v>-0.6407087379</v>
      </c>
      <c r="U89" s="261"/>
      <c r="V89" s="262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</row>
    <row r="90" ht="4.5" customHeight="1">
      <c r="A90" s="1"/>
      <c r="B90" s="158"/>
      <c r="C90" s="247"/>
      <c r="D90" s="254"/>
      <c r="E90" s="82"/>
      <c r="F90" s="316"/>
      <c r="G90" s="89"/>
      <c r="H90" s="196"/>
      <c r="I90" s="264"/>
      <c r="J90" s="288"/>
      <c r="K90" s="82"/>
      <c r="L90" s="189"/>
      <c r="M90" s="189"/>
      <c r="N90" s="274"/>
      <c r="O90" s="315"/>
      <c r="P90" s="315"/>
      <c r="Q90" s="16"/>
      <c r="R90" s="196"/>
      <c r="S90" s="261"/>
      <c r="T90" s="274"/>
      <c r="U90" s="261"/>
      <c r="V90" s="262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</row>
    <row r="91" ht="14.25" customHeight="1">
      <c r="A91" s="1"/>
      <c r="B91" s="158" t="s">
        <v>147</v>
      </c>
      <c r="C91" s="247"/>
      <c r="D91" s="254"/>
      <c r="E91" s="82"/>
      <c r="F91" s="316"/>
      <c r="G91" s="89"/>
      <c r="H91" s="189"/>
      <c r="I91" s="264"/>
      <c r="J91" s="288"/>
      <c r="K91" s="82"/>
      <c r="L91" s="189"/>
      <c r="M91" s="189"/>
      <c r="N91" s="291"/>
      <c r="O91" s="315"/>
      <c r="P91" s="315"/>
      <c r="Q91" s="16"/>
      <c r="R91" s="189"/>
      <c r="S91" s="261"/>
      <c r="T91" s="261"/>
      <c r="U91" s="261"/>
      <c r="V91" s="262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</row>
    <row r="92" ht="18.75" customHeight="1">
      <c r="A92" s="1"/>
      <c r="B92" s="197" t="s">
        <v>150</v>
      </c>
      <c r="C92" s="247"/>
      <c r="D92" s="254"/>
      <c r="E92" s="82"/>
      <c r="F92" s="316"/>
      <c r="G92" s="89"/>
      <c r="H92" s="189">
        <f>SUM(H85:H89)</f>
        <v>6768598.817</v>
      </c>
      <c r="I92" s="264"/>
      <c r="J92" s="288"/>
      <c r="K92" s="82"/>
      <c r="L92" s="189"/>
      <c r="M92" s="189"/>
      <c r="N92" s="189">
        <f>SUM(N85:N89)</f>
        <v>1015400</v>
      </c>
      <c r="O92" s="315"/>
      <c r="P92" s="315"/>
      <c r="Q92" s="16"/>
      <c r="R92" s="189">
        <f>SUM(R85:R89)</f>
        <v>3433198.817</v>
      </c>
      <c r="S92" s="261"/>
      <c r="T92" s="260">
        <f>IF(N92&lt;&gt;0,R92/N92,"-     ")</f>
        <v>3.381129424</v>
      </c>
      <c r="U92" s="261"/>
      <c r="V92" s="262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</row>
    <row r="93" ht="4.5" customHeight="1">
      <c r="A93" s="1"/>
      <c r="B93" s="158"/>
      <c r="C93" s="247"/>
      <c r="D93" s="254"/>
      <c r="E93" s="82"/>
      <c r="F93" s="316"/>
      <c r="G93" s="89"/>
      <c r="H93" s="189"/>
      <c r="I93" s="264"/>
      <c r="J93" s="288"/>
      <c r="K93" s="82"/>
      <c r="L93" s="189"/>
      <c r="M93" s="189"/>
      <c r="N93" s="291"/>
      <c r="O93" s="315"/>
      <c r="P93" s="315"/>
      <c r="Q93" s="16"/>
      <c r="R93" s="189"/>
      <c r="S93" s="261"/>
      <c r="T93" s="261"/>
      <c r="U93" s="261"/>
      <c r="V93" s="262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</row>
    <row r="94" ht="14.25" customHeight="1">
      <c r="A94" s="1"/>
      <c r="B94" s="158" t="s">
        <v>152</v>
      </c>
      <c r="C94" s="247"/>
      <c r="D94" s="254"/>
      <c r="E94" s="82"/>
      <c r="F94" s="1"/>
      <c r="G94" s="318" t="s">
        <v>214</v>
      </c>
      <c r="H94" s="189">
        <f>'M Non student'!F139</f>
        <v>4949337.403</v>
      </c>
      <c r="I94" s="264"/>
      <c r="J94" s="288"/>
      <c r="K94" s="82"/>
      <c r="L94" s="89"/>
      <c r="M94" s="189"/>
      <c r="N94" s="189">
        <f>'D PY Audit'!O94</f>
        <v>5974337</v>
      </c>
      <c r="O94" s="315"/>
      <c r="P94" s="315"/>
      <c r="Q94" s="16"/>
      <c r="R94" s="189">
        <f>H94-N94</f>
        <v>-1024999.597</v>
      </c>
      <c r="S94" s="261"/>
      <c r="T94" s="260">
        <f>IF(N94&lt;&gt;0,R94/N94,"-     ")</f>
        <v>-0.1715670872</v>
      </c>
      <c r="U94" s="261"/>
      <c r="V94" s="262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  <row r="95" ht="3.75" customHeight="1">
      <c r="A95" s="1"/>
      <c r="B95" s="158"/>
      <c r="C95" s="247"/>
      <c r="D95" s="254"/>
      <c r="E95" s="82"/>
      <c r="F95" s="316"/>
      <c r="G95" s="89"/>
      <c r="H95" s="189"/>
      <c r="I95" s="264"/>
      <c r="J95" s="288"/>
      <c r="K95" s="82"/>
      <c r="L95" s="189"/>
      <c r="M95" s="189"/>
      <c r="N95" s="291"/>
      <c r="O95" s="315"/>
      <c r="P95" s="315"/>
      <c r="Q95" s="16"/>
      <c r="R95" s="189"/>
      <c r="S95" s="261"/>
      <c r="T95" s="261"/>
      <c r="U95" s="261"/>
      <c r="V95" s="262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</row>
    <row r="96" ht="14.25" customHeight="1">
      <c r="A96" s="1"/>
      <c r="B96" s="158" t="s">
        <v>154</v>
      </c>
      <c r="C96" s="247"/>
      <c r="D96" s="254"/>
      <c r="E96" s="82"/>
      <c r="F96" s="319"/>
      <c r="G96" s="296" t="s">
        <v>215</v>
      </c>
      <c r="H96" s="189">
        <f>'M Non student'!F74</f>
        <v>3000000</v>
      </c>
      <c r="I96" s="264"/>
      <c r="J96" s="288"/>
      <c r="K96" s="82"/>
      <c r="L96" s="89"/>
      <c r="M96" s="189"/>
      <c r="N96" s="189">
        <f>'D PY Audit'!O96</f>
        <v>3071226</v>
      </c>
      <c r="O96" s="315"/>
      <c r="P96" s="315"/>
      <c r="Q96" s="16"/>
      <c r="R96" s="189">
        <f>H96-N96</f>
        <v>-71226</v>
      </c>
      <c r="S96" s="261"/>
      <c r="T96" s="260">
        <f>IF(N96&lt;&gt;0,R96/N96,"-     ")</f>
        <v>-0.02319139002</v>
      </c>
      <c r="U96" s="261"/>
      <c r="V96" s="262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</row>
    <row r="97" ht="3.75" customHeight="1">
      <c r="A97" s="1"/>
      <c r="B97" s="158"/>
      <c r="C97" s="247"/>
      <c r="D97" s="254"/>
      <c r="E97" s="82"/>
      <c r="F97" s="316"/>
      <c r="G97" s="89"/>
      <c r="H97" s="196"/>
      <c r="I97" s="264"/>
      <c r="J97" s="288"/>
      <c r="K97" s="82"/>
      <c r="L97" s="189"/>
      <c r="M97" s="189"/>
      <c r="N97" s="274"/>
      <c r="O97" s="315"/>
      <c r="P97" s="315"/>
      <c r="Q97" s="16"/>
      <c r="R97" s="196"/>
      <c r="S97" s="261"/>
      <c r="T97" s="274"/>
      <c r="U97" s="261"/>
      <c r="V97" s="262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</row>
    <row r="98" ht="3.75" customHeight="1">
      <c r="A98" s="1"/>
      <c r="B98" s="158"/>
      <c r="C98" s="247"/>
      <c r="D98" s="254"/>
      <c r="E98" s="82"/>
      <c r="F98" s="316"/>
      <c r="G98" s="89"/>
      <c r="H98" s="192"/>
      <c r="I98" s="264"/>
      <c r="J98" s="288"/>
      <c r="K98" s="82"/>
      <c r="L98" s="192"/>
      <c r="M98" s="91"/>
      <c r="N98" s="317"/>
      <c r="O98" s="288"/>
      <c r="P98" s="315"/>
      <c r="Q98" s="16"/>
      <c r="R98" s="192"/>
      <c r="S98" s="261"/>
      <c r="T98" s="261"/>
      <c r="U98" s="261"/>
      <c r="V98" s="262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</row>
    <row r="99" ht="16.5" customHeight="1">
      <c r="A99" s="1"/>
      <c r="B99" s="320" t="s">
        <v>157</v>
      </c>
      <c r="C99" s="247"/>
      <c r="D99" s="254"/>
      <c r="E99" s="82"/>
      <c r="F99" s="316"/>
      <c r="G99" s="89"/>
      <c r="H99" s="321">
        <f>H92+H94+H96</f>
        <v>14717936.22</v>
      </c>
      <c r="I99" s="264"/>
      <c r="J99" s="288"/>
      <c r="K99" s="82"/>
      <c r="L99" s="247"/>
      <c r="M99" s="322"/>
      <c r="N99" s="321">
        <f>N92+N94+N96</f>
        <v>10060963</v>
      </c>
      <c r="O99" s="323"/>
      <c r="P99" s="315"/>
      <c r="Q99" s="16"/>
      <c r="R99" s="324">
        <f>H99-N99</f>
        <v>4656973.22</v>
      </c>
      <c r="S99" s="261"/>
      <c r="T99" s="260">
        <f>IF(N99&lt;&gt;0,R99/N99,"-     ")</f>
        <v>0.4628754941</v>
      </c>
      <c r="U99" s="261"/>
      <c r="V99" s="262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</row>
    <row r="100" ht="3.75" customHeight="1">
      <c r="A100" s="1"/>
      <c r="B100" s="158"/>
      <c r="C100" s="247"/>
      <c r="D100" s="254"/>
      <c r="E100" s="82"/>
      <c r="F100" s="316"/>
      <c r="G100" s="89"/>
      <c r="H100" s="325"/>
      <c r="I100" s="264"/>
      <c r="J100" s="288"/>
      <c r="K100" s="82"/>
      <c r="L100" s="192"/>
      <c r="M100" s="91"/>
      <c r="N100" s="326"/>
      <c r="O100" s="288"/>
      <c r="P100" s="315"/>
      <c r="Q100" s="16"/>
      <c r="R100" s="326"/>
      <c r="S100" s="261"/>
      <c r="T100" s="326"/>
      <c r="U100" s="261"/>
      <c r="V100" s="262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</row>
    <row r="101" ht="3.75" customHeight="1">
      <c r="A101" s="1"/>
      <c r="B101" s="158"/>
      <c r="C101" s="247"/>
      <c r="D101" s="254"/>
      <c r="E101" s="82"/>
      <c r="F101" s="316"/>
      <c r="G101" s="89"/>
      <c r="H101" s="192"/>
      <c r="I101" s="264"/>
      <c r="J101" s="288"/>
      <c r="K101" s="82"/>
      <c r="L101" s="192"/>
      <c r="M101" s="91"/>
      <c r="N101" s="317"/>
      <c r="O101" s="327"/>
      <c r="P101" s="328"/>
      <c r="Q101" s="329"/>
      <c r="R101" s="265"/>
      <c r="S101" s="261"/>
      <c r="T101" s="261"/>
      <c r="U101" s="261"/>
      <c r="V101" s="262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</row>
    <row r="102" ht="17.25" customHeight="1">
      <c r="A102" s="1"/>
      <c r="B102" s="89"/>
      <c r="C102" s="89"/>
      <c r="D102" s="254"/>
      <c r="E102" s="89"/>
      <c r="F102" s="235" t="s">
        <v>171</v>
      </c>
      <c r="G102" s="236" t="str">
        <f>'F Population'!P$6</f>
        <v>2026 - 27</v>
      </c>
      <c r="H102" s="237"/>
      <c r="I102" s="238"/>
      <c r="J102" s="239"/>
      <c r="K102" s="240"/>
      <c r="L102" s="241" t="s">
        <v>6</v>
      </c>
      <c r="M102" s="236" t="str">
        <f>'F Population'!N$6</f>
        <v>2025 - 26</v>
      </c>
      <c r="N102" s="237"/>
      <c r="O102" s="239"/>
      <c r="P102" s="239"/>
      <c r="Q102" s="239"/>
      <c r="R102" s="242" t="s">
        <v>173</v>
      </c>
      <c r="S102" s="243"/>
      <c r="T102" s="244"/>
      <c r="U102" s="89"/>
      <c r="V102" s="28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</row>
    <row r="103" ht="4.5" customHeight="1">
      <c r="A103" s="1"/>
      <c r="B103" s="89"/>
      <c r="C103" s="89"/>
      <c r="D103" s="254"/>
      <c r="E103" s="82"/>
      <c r="F103" s="89"/>
      <c r="G103" s="89"/>
      <c r="H103" s="89"/>
      <c r="I103" s="256"/>
      <c r="J103" s="257"/>
      <c r="K103" s="82"/>
      <c r="L103" s="82"/>
      <c r="M103" s="82"/>
      <c r="N103" s="82"/>
      <c r="O103" s="89"/>
      <c r="P103" s="254"/>
      <c r="Q103" s="254"/>
      <c r="R103" s="16"/>
      <c r="S103" s="16"/>
      <c r="T103" s="289"/>
      <c r="U103" s="89"/>
      <c r="V103" s="28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</row>
    <row r="104" ht="14.25" customHeight="1">
      <c r="A104" s="1"/>
      <c r="B104" s="152" t="s">
        <v>216</v>
      </c>
      <c r="C104" s="89"/>
      <c r="D104" s="254"/>
      <c r="E104" s="82"/>
      <c r="F104" s="89"/>
      <c r="G104" s="89"/>
      <c r="H104" s="89"/>
      <c r="I104" s="256"/>
      <c r="J104" s="257"/>
      <c r="K104" s="82"/>
      <c r="L104" s="82"/>
      <c r="M104" s="82"/>
      <c r="N104" s="82"/>
      <c r="O104" s="89"/>
      <c r="P104" s="281"/>
      <c r="Q104" s="89"/>
      <c r="R104" s="16"/>
      <c r="S104" s="16"/>
      <c r="T104" s="289"/>
      <c r="U104" s="89"/>
      <c r="V104" s="28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</row>
    <row r="105" ht="3.75" customHeight="1">
      <c r="A105" s="1"/>
      <c r="B105" s="152"/>
      <c r="C105" s="89"/>
      <c r="D105" s="254"/>
      <c r="E105" s="82"/>
      <c r="F105" s="89"/>
      <c r="G105" s="89"/>
      <c r="H105" s="89"/>
      <c r="I105" s="256"/>
      <c r="J105" s="257"/>
      <c r="K105" s="82"/>
      <c r="L105" s="82"/>
      <c r="M105" s="82"/>
      <c r="N105" s="82"/>
      <c r="O105" s="89"/>
      <c r="P105" s="281"/>
      <c r="Q105" s="89"/>
      <c r="R105" s="16"/>
      <c r="S105" s="16"/>
      <c r="T105" s="289"/>
      <c r="U105" s="89"/>
      <c r="V105" s="28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6" ht="14.25" customHeight="1">
      <c r="A106" s="1"/>
      <c r="B106" s="89" t="s">
        <v>217</v>
      </c>
      <c r="C106" s="89"/>
      <c r="D106" s="254"/>
      <c r="E106" s="82"/>
      <c r="F106" s="330">
        <f>H99</f>
        <v>14717936.22</v>
      </c>
      <c r="G106" s="89"/>
      <c r="H106" s="89"/>
      <c r="I106" s="256"/>
      <c r="J106" s="257"/>
      <c r="K106" s="82"/>
      <c r="L106" s="330">
        <f>N99</f>
        <v>10060963</v>
      </c>
      <c r="M106" s="89"/>
      <c r="N106" s="185"/>
      <c r="O106" s="185"/>
      <c r="P106" s="285"/>
      <c r="Q106" s="89"/>
      <c r="R106" s="16"/>
      <c r="S106" s="16"/>
      <c r="T106" s="265"/>
      <c r="U106" s="256"/>
      <c r="V106" s="28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</row>
    <row r="107" ht="4.5" customHeight="1">
      <c r="A107" s="1"/>
      <c r="B107" s="89"/>
      <c r="C107" s="89"/>
      <c r="D107" s="254"/>
      <c r="E107" s="82"/>
      <c r="F107" s="185"/>
      <c r="G107" s="89"/>
      <c r="H107" s="89"/>
      <c r="I107" s="256"/>
      <c r="J107" s="257"/>
      <c r="K107" s="82"/>
      <c r="L107" s="185"/>
      <c r="M107" s="89"/>
      <c r="N107" s="185"/>
      <c r="O107" s="185"/>
      <c r="P107" s="285"/>
      <c r="Q107" s="89"/>
      <c r="R107" s="16"/>
      <c r="S107" s="16"/>
      <c r="T107" s="265"/>
      <c r="U107" s="89"/>
      <c r="V107" s="28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</row>
    <row r="108" ht="14.25" customHeight="1">
      <c r="A108" s="1"/>
      <c r="B108" s="1" t="s">
        <v>218</v>
      </c>
      <c r="C108" s="89"/>
      <c r="D108" s="254"/>
      <c r="E108" s="82"/>
      <c r="F108" s="185">
        <f>'L Capital'!L194</f>
        <v>7120000</v>
      </c>
      <c r="G108" s="331" t="s">
        <v>219</v>
      </c>
      <c r="H108" s="89"/>
      <c r="I108" s="256"/>
      <c r="J108" s="257"/>
      <c r="K108" s="82"/>
      <c r="L108" s="185"/>
      <c r="M108" s="89"/>
      <c r="N108" s="185"/>
      <c r="O108" s="185"/>
      <c r="P108" s="285"/>
      <c r="Q108" s="89"/>
      <c r="R108" s="16"/>
      <c r="S108" s="16"/>
      <c r="T108" s="265"/>
      <c r="U108" s="89"/>
      <c r="V108" s="28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09" ht="4.5" customHeight="1">
      <c r="A109" s="1"/>
      <c r="B109" s="89"/>
      <c r="C109" s="89"/>
      <c r="D109" s="254"/>
      <c r="E109" s="82"/>
      <c r="F109" s="185"/>
      <c r="G109" s="89"/>
      <c r="H109" s="89"/>
      <c r="I109" s="256"/>
      <c r="J109" s="257"/>
      <c r="K109" s="82"/>
      <c r="L109" s="185"/>
      <c r="M109" s="89"/>
      <c r="N109" s="185"/>
      <c r="O109" s="185"/>
      <c r="P109" s="285"/>
      <c r="Q109" s="89"/>
      <c r="R109" s="16"/>
      <c r="S109" s="16"/>
      <c r="T109" s="265"/>
      <c r="U109" s="89"/>
      <c r="V109" s="28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</row>
    <row r="110" ht="14.25" customHeight="1">
      <c r="A110" s="1"/>
      <c r="B110" s="89" t="s">
        <v>220</v>
      </c>
      <c r="C110" s="89"/>
      <c r="D110" s="254"/>
      <c r="E110" s="82"/>
      <c r="F110" s="85">
        <f>'P Fcast 5yr'!G58</f>
        <v>-918550.991</v>
      </c>
      <c r="G110" s="1"/>
      <c r="H110" s="1"/>
      <c r="I110" s="256"/>
      <c r="J110" s="257"/>
      <c r="K110" s="82"/>
      <c r="L110" s="185"/>
      <c r="M110" s="89"/>
      <c r="N110" s="185"/>
      <c r="O110" s="185"/>
      <c r="P110" s="285"/>
      <c r="Q110" s="89"/>
      <c r="R110" s="16"/>
      <c r="S110" s="16"/>
      <c r="T110" s="265"/>
      <c r="U110" s="89"/>
      <c r="V110" s="28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</row>
    <row r="111" ht="3.75" customHeight="1">
      <c r="A111" s="1"/>
      <c r="B111" s="1"/>
      <c r="C111" s="89"/>
      <c r="D111" s="254"/>
      <c r="E111" s="82"/>
      <c r="F111" s="185"/>
      <c r="G111" s="89"/>
      <c r="H111" s="332"/>
      <c r="I111" s="256"/>
      <c r="J111" s="257"/>
      <c r="K111" s="82"/>
      <c r="L111" s="185"/>
      <c r="M111" s="89"/>
      <c r="N111" s="185"/>
      <c r="O111" s="185"/>
      <c r="P111" s="285"/>
      <c r="Q111" s="89"/>
      <c r="R111" s="16"/>
      <c r="S111" s="16"/>
      <c r="T111" s="265"/>
      <c r="U111" s="89"/>
      <c r="V111" s="28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</row>
    <row r="112" ht="14.25" customHeight="1">
      <c r="A112" s="1"/>
      <c r="B112" s="89" t="s">
        <v>221</v>
      </c>
      <c r="C112" s="89"/>
      <c r="D112" s="254"/>
      <c r="E112" s="82"/>
      <c r="F112" s="189">
        <f>'P Fcast 5yr'!G57</f>
        <v>-9409109.403</v>
      </c>
      <c r="G112" s="89"/>
      <c r="H112" s="89"/>
      <c r="I112" s="256"/>
      <c r="J112" s="257"/>
      <c r="K112" s="82"/>
      <c r="L112" s="333" t="s">
        <v>222</v>
      </c>
      <c r="M112" s="334"/>
      <c r="N112" s="335"/>
      <c r="O112" s="185"/>
      <c r="P112" s="285"/>
      <c r="Q112" s="89"/>
      <c r="R112" s="16"/>
      <c r="S112" s="16"/>
      <c r="T112" s="265"/>
      <c r="U112" s="89"/>
      <c r="V112" s="28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</row>
    <row r="113" ht="4.5" customHeight="1">
      <c r="A113" s="1"/>
      <c r="B113" s="1"/>
      <c r="C113" s="89"/>
      <c r="D113" s="254"/>
      <c r="E113" s="82"/>
      <c r="F113" s="189"/>
      <c r="G113" s="89"/>
      <c r="H113" s="89"/>
      <c r="I113" s="256"/>
      <c r="J113" s="257"/>
      <c r="K113" s="82"/>
      <c r="L113" s="335"/>
      <c r="M113" s="334"/>
      <c r="N113" s="335"/>
      <c r="O113" s="185"/>
      <c r="P113" s="285"/>
      <c r="Q113" s="89"/>
      <c r="R113" s="16"/>
      <c r="S113" s="16"/>
      <c r="T113" s="265"/>
      <c r="U113" s="89"/>
      <c r="V113" s="28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ht="14.25" customHeight="1">
      <c r="A114" s="1"/>
      <c r="B114" s="89" t="s">
        <v>223</v>
      </c>
      <c r="C114" s="89"/>
      <c r="D114" s="254"/>
      <c r="E114" s="82"/>
      <c r="F114" s="85">
        <f>'P Fcast 5yr'!G59</f>
        <v>434987.6797</v>
      </c>
      <c r="G114" s="89"/>
      <c r="H114" s="89"/>
      <c r="I114" s="256"/>
      <c r="J114" s="257"/>
      <c r="K114" s="82"/>
      <c r="L114" s="335"/>
      <c r="M114" s="334"/>
      <c r="N114" s="335" t="s">
        <v>224</v>
      </c>
      <c r="O114" s="185"/>
      <c r="P114" s="285"/>
      <c r="Q114" s="89"/>
      <c r="R114" s="16"/>
      <c r="S114" s="16"/>
      <c r="T114" s="265"/>
      <c r="U114" s="89"/>
      <c r="V114" s="28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</row>
    <row r="115" ht="4.5" customHeight="1">
      <c r="A115" s="1"/>
      <c r="B115" s="89"/>
      <c r="C115" s="89"/>
      <c r="D115" s="254"/>
      <c r="E115" s="82"/>
      <c r="F115" s="1"/>
      <c r="G115" s="89"/>
      <c r="H115" s="89"/>
      <c r="I115" s="256"/>
      <c r="J115" s="257"/>
      <c r="K115" s="82"/>
      <c r="L115" s="335"/>
      <c r="M115" s="334"/>
      <c r="N115" s="335"/>
      <c r="O115" s="185"/>
      <c r="P115" s="285"/>
      <c r="Q115" s="89"/>
      <c r="R115" s="16"/>
      <c r="S115" s="16"/>
      <c r="T115" s="265"/>
      <c r="U115" s="89"/>
      <c r="V115" s="28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6" ht="14.25" customHeight="1">
      <c r="A116" s="1"/>
      <c r="B116" s="89" t="s">
        <v>225</v>
      </c>
      <c r="C116" s="89"/>
      <c r="D116" s="254"/>
      <c r="E116" s="82"/>
      <c r="F116" s="85">
        <f>'P Fcast 5yr'!G60</f>
        <v>0</v>
      </c>
      <c r="G116" s="89"/>
      <c r="H116" s="89"/>
      <c r="I116" s="256"/>
      <c r="J116" s="257"/>
      <c r="K116" s="82"/>
      <c r="L116" s="335"/>
      <c r="M116" s="334"/>
      <c r="N116" s="335"/>
      <c r="O116" s="185"/>
      <c r="P116" s="285"/>
      <c r="Q116" s="89"/>
      <c r="R116" s="16"/>
      <c r="S116" s="16"/>
      <c r="T116" s="265"/>
      <c r="U116" s="89"/>
      <c r="V116" s="28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ht="4.5" customHeight="1">
      <c r="A117" s="1"/>
      <c r="B117" s="89"/>
      <c r="C117" s="89"/>
      <c r="D117" s="254"/>
      <c r="E117" s="82"/>
      <c r="F117" s="85"/>
      <c r="G117" s="89"/>
      <c r="H117" s="89"/>
      <c r="I117" s="256"/>
      <c r="J117" s="257"/>
      <c r="K117" s="82"/>
      <c r="L117" s="120"/>
      <c r="M117" s="89"/>
      <c r="N117" s="185"/>
      <c r="O117" s="185"/>
      <c r="P117" s="285"/>
      <c r="Q117" s="89"/>
      <c r="R117" s="16"/>
      <c r="S117" s="16"/>
      <c r="T117" s="265"/>
      <c r="U117" s="89"/>
      <c r="V117" s="28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</row>
    <row r="118" ht="13.5" customHeight="1">
      <c r="A118" s="1"/>
      <c r="B118" s="89" t="s">
        <v>226</v>
      </c>
      <c r="C118" s="89"/>
      <c r="D118" s="254"/>
      <c r="E118" s="82"/>
      <c r="F118" s="85">
        <f>'P Fcast 5yr'!G61</f>
        <v>1000000</v>
      </c>
      <c r="G118" s="89"/>
      <c r="H118" s="89"/>
      <c r="I118" s="256"/>
      <c r="J118" s="257"/>
      <c r="K118" s="82"/>
      <c r="L118" s="120"/>
      <c r="M118" s="89"/>
      <c r="N118" s="185"/>
      <c r="O118" s="185"/>
      <c r="P118" s="285"/>
      <c r="Q118" s="89"/>
      <c r="R118" s="16"/>
      <c r="S118" s="16"/>
      <c r="T118" s="265"/>
      <c r="U118" s="89"/>
      <c r="V118" s="28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19" ht="4.5" customHeight="1">
      <c r="A119" s="1"/>
      <c r="B119" s="89"/>
      <c r="C119" s="89"/>
      <c r="D119" s="254"/>
      <c r="E119" s="82"/>
      <c r="F119" s="85"/>
      <c r="G119" s="89"/>
      <c r="H119" s="89"/>
      <c r="I119" s="256"/>
      <c r="J119" s="257"/>
      <c r="K119" s="82"/>
      <c r="L119" s="120"/>
      <c r="M119" s="89"/>
      <c r="N119" s="185"/>
      <c r="O119" s="185"/>
      <c r="P119" s="285"/>
      <c r="Q119" s="89"/>
      <c r="R119" s="16"/>
      <c r="S119" s="16"/>
      <c r="T119" s="265"/>
      <c r="U119" s="89"/>
      <c r="V119" s="28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</row>
    <row r="120" ht="14.25" customHeight="1">
      <c r="A120" s="1"/>
      <c r="B120" s="89" t="s">
        <v>227</v>
      </c>
      <c r="C120" s="89"/>
      <c r="D120" s="254"/>
      <c r="E120" s="82"/>
      <c r="F120" s="189">
        <f>'P Fcast 5yr'!G62</f>
        <v>6195564.816</v>
      </c>
      <c r="G120" s="336" t="s">
        <v>228</v>
      </c>
      <c r="H120" s="1"/>
      <c r="I120" s="256"/>
      <c r="J120" s="257"/>
      <c r="K120" s="82"/>
      <c r="L120" s="120"/>
      <c r="M120" s="89"/>
      <c r="N120" s="185"/>
      <c r="O120" s="185"/>
      <c r="P120" s="285"/>
      <c r="Q120" s="89"/>
      <c r="R120" s="16"/>
      <c r="S120" s="16"/>
      <c r="T120" s="265"/>
      <c r="U120" s="89"/>
      <c r="V120" s="28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</row>
    <row r="121" ht="4.5" customHeight="1">
      <c r="A121" s="1"/>
      <c r="B121" s="89"/>
      <c r="C121" s="89"/>
      <c r="D121" s="254"/>
      <c r="E121" s="82"/>
      <c r="F121" s="89"/>
      <c r="G121" s="336"/>
      <c r="H121" s="1"/>
      <c r="I121" s="256"/>
      <c r="J121" s="257"/>
      <c r="K121" s="82"/>
      <c r="L121" s="120"/>
      <c r="M121" s="89"/>
      <c r="N121" s="185"/>
      <c r="O121" s="185"/>
      <c r="P121" s="285"/>
      <c r="Q121" s="89"/>
      <c r="R121" s="16"/>
      <c r="S121" s="16"/>
      <c r="T121" s="265"/>
      <c r="U121" s="89"/>
      <c r="V121" s="28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</row>
    <row r="122" ht="14.25" customHeight="1">
      <c r="A122" s="1"/>
      <c r="B122" s="89" t="s">
        <v>229</v>
      </c>
      <c r="C122" s="89"/>
      <c r="D122" s="254"/>
      <c r="E122" s="82"/>
      <c r="F122" s="189">
        <f>'P Fcast 5yr'!G63</f>
        <v>-10530000</v>
      </c>
      <c r="G122" s="336" t="s">
        <v>228</v>
      </c>
      <c r="H122" s="1"/>
      <c r="I122" s="256"/>
      <c r="J122" s="257"/>
      <c r="K122" s="82"/>
      <c r="L122" s="120"/>
      <c r="M122" s="89"/>
      <c r="N122" s="185"/>
      <c r="O122" s="185"/>
      <c r="P122" s="285"/>
      <c r="Q122" s="89"/>
      <c r="R122" s="16"/>
      <c r="S122" s="16"/>
      <c r="T122" s="265"/>
      <c r="U122" s="89"/>
      <c r="V122" s="28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</row>
    <row r="123" ht="4.5" customHeight="1">
      <c r="A123" s="1"/>
      <c r="B123" s="89"/>
      <c r="C123" s="89"/>
      <c r="D123" s="254"/>
      <c r="E123" s="82"/>
      <c r="F123" s="337"/>
      <c r="G123" s="89"/>
      <c r="H123" s="89"/>
      <c r="I123" s="256"/>
      <c r="J123" s="257"/>
      <c r="K123" s="82"/>
      <c r="L123" s="120"/>
      <c r="M123" s="89"/>
      <c r="N123" s="185"/>
      <c r="O123" s="185"/>
      <c r="P123" s="285"/>
      <c r="Q123" s="89"/>
      <c r="R123" s="16"/>
      <c r="S123" s="16"/>
      <c r="T123" s="265"/>
      <c r="U123" s="89"/>
      <c r="V123" s="28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</row>
    <row r="124" ht="14.25" customHeight="1">
      <c r="A124" s="1"/>
      <c r="B124" s="158" t="s">
        <v>230</v>
      </c>
      <c r="C124" s="89"/>
      <c r="D124" s="254"/>
      <c r="E124" s="82"/>
      <c r="F124" s="89"/>
      <c r="G124" s="89"/>
      <c r="H124" s="185">
        <f>SUM(F106:F122)</f>
        <v>8610828.322</v>
      </c>
      <c r="I124" s="256"/>
      <c r="J124" s="257"/>
      <c r="K124" s="82"/>
      <c r="L124" s="338"/>
      <c r="M124" s="89"/>
      <c r="N124" s="185"/>
      <c r="O124" s="89"/>
      <c r="P124" s="285"/>
      <c r="Q124" s="89"/>
      <c r="R124" s="189"/>
      <c r="S124" s="16"/>
      <c r="T124" s="265"/>
      <c r="U124" s="256"/>
      <c r="V124" s="28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</row>
    <row r="125" ht="19.5" customHeight="1">
      <c r="A125" s="1"/>
      <c r="B125" s="89" t="s">
        <v>231</v>
      </c>
      <c r="C125" s="89"/>
      <c r="D125" s="254"/>
      <c r="E125" s="82"/>
      <c r="F125" s="89"/>
      <c r="G125" s="89"/>
      <c r="H125" s="185">
        <f>'R Bal sheets'!F7</f>
        <v>6514000</v>
      </c>
      <c r="I125" s="256"/>
      <c r="J125" s="257"/>
      <c r="K125" s="82"/>
      <c r="L125" s="338"/>
      <c r="M125" s="89"/>
      <c r="N125" s="185"/>
      <c r="O125" s="89"/>
      <c r="P125" s="285"/>
      <c r="Q125" s="89"/>
      <c r="R125" s="189"/>
      <c r="S125" s="16"/>
      <c r="T125" s="265"/>
      <c r="U125" s="256"/>
      <c r="V125" s="28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</row>
    <row r="126" ht="18.75" customHeight="1">
      <c r="A126" s="1"/>
      <c r="B126" s="89" t="s">
        <v>232</v>
      </c>
      <c r="C126" s="89"/>
      <c r="D126" s="254"/>
      <c r="E126" s="82"/>
      <c r="F126" s="89"/>
      <c r="G126" s="89"/>
      <c r="H126" s="339">
        <f>H124+H125</f>
        <v>15124828.32</v>
      </c>
      <c r="I126" s="340"/>
      <c r="J126" s="257"/>
      <c r="K126" s="82"/>
      <c r="L126" s="338"/>
      <c r="M126" s="89"/>
      <c r="N126" s="339">
        <f>'R Bal sheets'!F7</f>
        <v>6514000</v>
      </c>
      <c r="O126" s="89"/>
      <c r="P126" s="285"/>
      <c r="Q126" s="89"/>
      <c r="R126" s="189"/>
      <c r="S126" s="16"/>
      <c r="T126" s="265"/>
      <c r="U126" s="256"/>
      <c r="V126" s="28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</row>
    <row r="127" ht="14.25" customHeight="1">
      <c r="A127" s="1"/>
      <c r="B127" s="341"/>
      <c r="C127" s="89"/>
      <c r="D127" s="254"/>
      <c r="E127" s="82"/>
      <c r="F127" s="342"/>
      <c r="G127" s="337"/>
      <c r="H127" s="342"/>
      <c r="I127" s="343"/>
      <c r="J127" s="344"/>
      <c r="K127" s="345"/>
      <c r="L127" s="337"/>
      <c r="M127" s="337"/>
      <c r="N127" s="342"/>
      <c r="O127" s="342"/>
      <c r="P127" s="346"/>
      <c r="Q127" s="337"/>
      <c r="R127" s="342"/>
      <c r="S127" s="127"/>
      <c r="T127" s="308"/>
      <c r="U127" s="347"/>
      <c r="V127" s="28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</row>
    <row r="128" ht="14.25" customHeight="1">
      <c r="A128" s="1"/>
      <c r="B128" s="158" t="s">
        <v>233</v>
      </c>
      <c r="C128" s="89"/>
      <c r="D128" s="254"/>
      <c r="E128" s="82"/>
      <c r="F128" s="348"/>
      <c r="G128" s="348"/>
      <c r="H128" s="348"/>
      <c r="I128" s="249"/>
      <c r="J128" s="349"/>
      <c r="K128" s="348"/>
      <c r="L128" s="348"/>
      <c r="M128" s="348"/>
      <c r="N128" s="350"/>
      <c r="O128" s="351"/>
      <c r="P128" s="352"/>
      <c r="Q128" s="353"/>
      <c r="R128" s="252"/>
      <c r="S128" s="252"/>
      <c r="T128" s="354"/>
      <c r="U128" s="355"/>
      <c r="V128" s="25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</row>
    <row r="129" ht="14.25" customHeight="1">
      <c r="A129" s="1"/>
      <c r="B129" s="89" t="s">
        <v>234</v>
      </c>
      <c r="C129" s="89"/>
      <c r="D129" s="254"/>
      <c r="E129" s="82"/>
      <c r="F129" s="258">
        <f>H18</f>
        <v>17848468</v>
      </c>
      <c r="G129" s="89"/>
      <c r="H129" s="1"/>
      <c r="I129" s="290"/>
      <c r="J129" s="264"/>
      <c r="K129" s="89"/>
      <c r="L129" s="258">
        <f>N18</f>
        <v>15377881</v>
      </c>
      <c r="M129" s="89"/>
      <c r="N129" s="1"/>
      <c r="O129" s="1"/>
      <c r="P129" s="356"/>
      <c r="Q129" s="89"/>
      <c r="R129" s="16">
        <f t="shared" ref="R129:R130" si="1">F129-L129</f>
        <v>2470587</v>
      </c>
      <c r="S129" s="16"/>
      <c r="T129" s="260">
        <f t="shared" ref="T129:T130" si="2">IF(L129&lt;&gt;0,R129/L129,"-     ")</f>
        <v>0.1606584808</v>
      </c>
      <c r="U129" s="362"/>
      <c r="V129" s="28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</row>
    <row r="130" ht="14.25" customHeight="1">
      <c r="A130" s="1"/>
      <c r="B130" s="89" t="s">
        <v>235</v>
      </c>
      <c r="C130" s="89"/>
      <c r="D130" s="254"/>
      <c r="E130" s="82"/>
      <c r="F130" s="274">
        <f>-F74</f>
        <v>-8419341</v>
      </c>
      <c r="G130" s="89"/>
      <c r="H130" s="1"/>
      <c r="I130" s="290"/>
      <c r="J130" s="264"/>
      <c r="K130" s="89"/>
      <c r="L130" s="274">
        <f>-L74</f>
        <v>-8377045</v>
      </c>
      <c r="M130" s="89"/>
      <c r="N130" s="1"/>
      <c r="O130" s="1"/>
      <c r="P130" s="356"/>
      <c r="Q130" s="89"/>
      <c r="R130" s="127">
        <f t="shared" si="1"/>
        <v>-42296</v>
      </c>
      <c r="S130" s="16"/>
      <c r="T130" s="363">
        <f t="shared" si="2"/>
        <v>0.005049035788</v>
      </c>
      <c r="U130" s="362"/>
      <c r="V130" s="28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</row>
    <row r="131" ht="14.25" customHeight="1">
      <c r="A131" s="1"/>
      <c r="B131" s="158" t="s">
        <v>237</v>
      </c>
      <c r="C131" s="89"/>
      <c r="D131" s="254"/>
      <c r="E131" s="82"/>
      <c r="F131" s="365">
        <f>H131/F129</f>
        <v>0.52828775</v>
      </c>
      <c r="G131" s="89"/>
      <c r="H131" s="367">
        <f>F129+F130</f>
        <v>9429127</v>
      </c>
      <c r="I131" s="264"/>
      <c r="J131" s="264"/>
      <c r="K131" s="89"/>
      <c r="L131" s="365">
        <f>N131/L129</f>
        <v>0.4552536204</v>
      </c>
      <c r="M131" s="89"/>
      <c r="N131" s="367">
        <f>L129+L130</f>
        <v>7000836</v>
      </c>
      <c r="O131" s="91"/>
      <c r="P131" s="356"/>
      <c r="Q131" s="89"/>
      <c r="R131" s="369">
        <f>R129+R130</f>
        <v>2428291</v>
      </c>
      <c r="S131" s="16"/>
      <c r="T131" s="370">
        <f>R131/N131</f>
        <v>0.3468572896</v>
      </c>
      <c r="U131" s="362"/>
      <c r="V131" s="28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</row>
    <row r="132" ht="14.25" customHeight="1">
      <c r="A132" s="1"/>
      <c r="B132" s="89"/>
      <c r="C132" s="89"/>
      <c r="D132" s="254"/>
      <c r="E132" s="82"/>
      <c r="F132" s="345"/>
      <c r="G132" s="345"/>
      <c r="H132" s="345"/>
      <c r="I132" s="344"/>
      <c r="J132" s="257"/>
      <c r="K132" s="345"/>
      <c r="L132" s="345"/>
      <c r="M132" s="345"/>
      <c r="N132" s="345"/>
      <c r="O132" s="337"/>
      <c r="P132" s="281"/>
      <c r="Q132" s="337"/>
      <c r="R132" s="127"/>
      <c r="S132" s="127"/>
      <c r="T132" s="371"/>
      <c r="U132" s="337"/>
      <c r="V132" s="372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</row>
    <row r="133" ht="14.25" customHeight="1">
      <c r="A133" s="1"/>
      <c r="B133" s="158" t="s">
        <v>238</v>
      </c>
      <c r="C133" s="1"/>
      <c r="D133" s="254"/>
      <c r="E133" s="82"/>
      <c r="F133" s="348"/>
      <c r="G133" s="348"/>
      <c r="H133" s="348"/>
      <c r="I133" s="249"/>
      <c r="J133" s="349"/>
      <c r="K133" s="348"/>
      <c r="L133" s="348"/>
      <c r="M133" s="348"/>
      <c r="N133" s="350"/>
      <c r="O133" s="351"/>
      <c r="P133" s="352"/>
      <c r="Q133" s="353"/>
      <c r="R133" s="252"/>
      <c r="S133" s="252"/>
      <c r="T133" s="354"/>
      <c r="U133" s="355"/>
      <c r="V133" s="25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</row>
    <row r="134" ht="14.25" customHeight="1">
      <c r="A134" s="1"/>
      <c r="B134" s="1" t="s">
        <v>240</v>
      </c>
      <c r="C134" s="1"/>
      <c r="D134" s="254"/>
      <c r="E134" s="82"/>
      <c r="F134" s="258">
        <f>H22</f>
        <v>9895500</v>
      </c>
      <c r="G134" s="258"/>
      <c r="H134" s="376"/>
      <c r="I134" s="378"/>
      <c r="J134" s="379"/>
      <c r="K134" s="258"/>
      <c r="L134" s="258">
        <f>N22</f>
        <v>9417500</v>
      </c>
      <c r="M134" s="89"/>
      <c r="N134" s="1"/>
      <c r="O134" s="1"/>
      <c r="P134" s="356"/>
      <c r="Q134" s="89"/>
      <c r="R134" s="16">
        <f t="shared" ref="R134:R135" si="3">F134-L134</f>
        <v>478000</v>
      </c>
      <c r="S134" s="16"/>
      <c r="T134" s="260">
        <f t="shared" ref="T134:T135" si="4">IF(L134&lt;&gt;0,R134/L134,"-     ")</f>
        <v>0.05075657022</v>
      </c>
      <c r="U134" s="362"/>
      <c r="V134" s="28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</row>
    <row r="135" ht="14.25" customHeight="1">
      <c r="A135" s="1"/>
      <c r="B135" s="1" t="s">
        <v>242</v>
      </c>
      <c r="C135" s="1"/>
      <c r="D135" s="254"/>
      <c r="E135" s="82"/>
      <c r="F135" s="274">
        <f>-F64</f>
        <v>-6750000</v>
      </c>
      <c r="G135" s="89"/>
      <c r="H135" s="1"/>
      <c r="I135" s="290"/>
      <c r="J135" s="264"/>
      <c r="K135" s="89"/>
      <c r="L135" s="274">
        <f>-L64</f>
        <v>-6339780</v>
      </c>
      <c r="M135" s="89"/>
      <c r="N135" s="1"/>
      <c r="O135" s="1"/>
      <c r="P135" s="356"/>
      <c r="Q135" s="89"/>
      <c r="R135" s="127">
        <f t="shared" si="3"/>
        <v>-410220</v>
      </c>
      <c r="S135" s="16"/>
      <c r="T135" s="363">
        <f t="shared" si="4"/>
        <v>0.06470571534</v>
      </c>
      <c r="U135" s="362"/>
      <c r="V135" s="28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</row>
    <row r="136" ht="14.25" customHeight="1">
      <c r="A136" s="1"/>
      <c r="B136" s="197" t="s">
        <v>244</v>
      </c>
      <c r="C136" s="1"/>
      <c r="D136" s="254"/>
      <c r="E136" s="82"/>
      <c r="F136" s="365">
        <f>H136/F134</f>
        <v>0.3178717599</v>
      </c>
      <c r="G136" s="89"/>
      <c r="H136" s="367">
        <f>F134+F135</f>
        <v>3145500</v>
      </c>
      <c r="I136" s="264"/>
      <c r="J136" s="264"/>
      <c r="K136" s="89"/>
      <c r="L136" s="365">
        <f>N136/L134</f>
        <v>0.326808601</v>
      </c>
      <c r="M136" s="89"/>
      <c r="N136" s="367">
        <f>L134+L135</f>
        <v>3077720</v>
      </c>
      <c r="O136" s="91"/>
      <c r="P136" s="356"/>
      <c r="Q136" s="89"/>
      <c r="R136" s="369">
        <f>R134+R135</f>
        <v>67780</v>
      </c>
      <c r="S136" s="16"/>
      <c r="T136" s="370">
        <f>R136/N136</f>
        <v>0.0220227961</v>
      </c>
      <c r="U136" s="362"/>
      <c r="V136" s="28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</row>
    <row r="137" ht="14.25" customHeight="1">
      <c r="A137" s="1"/>
      <c r="B137" s="1"/>
      <c r="C137" s="1"/>
      <c r="D137" s="254"/>
      <c r="E137" s="82"/>
      <c r="F137" s="345"/>
      <c r="G137" s="345"/>
      <c r="H137" s="345"/>
      <c r="I137" s="344"/>
      <c r="J137" s="257"/>
      <c r="K137" s="345"/>
      <c r="L137" s="345"/>
      <c r="M137" s="345"/>
      <c r="N137" s="345"/>
      <c r="O137" s="337"/>
      <c r="P137" s="281"/>
      <c r="Q137" s="337"/>
      <c r="R137" s="127"/>
      <c r="S137" s="127"/>
      <c r="T137" s="371"/>
      <c r="U137" s="337"/>
      <c r="V137" s="372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38" ht="17.25" customHeight="1">
      <c r="A138" s="1"/>
      <c r="B138" s="197" t="s">
        <v>245</v>
      </c>
      <c r="C138" s="1"/>
      <c r="D138" s="254"/>
      <c r="E138" s="39"/>
      <c r="F138" s="385"/>
      <c r="G138" s="387" t="str">
        <f>'F Population'!P$6</f>
        <v>2026 - 27</v>
      </c>
      <c r="H138" s="391"/>
      <c r="I138" s="392"/>
      <c r="J138" s="239"/>
      <c r="K138" s="240"/>
      <c r="L138" s="393" t="s">
        <v>6</v>
      </c>
      <c r="M138" s="387" t="str">
        <f>'F Population'!N$6</f>
        <v>2025 - 26</v>
      </c>
      <c r="N138" s="391"/>
      <c r="O138" s="239"/>
      <c r="P138" s="239"/>
      <c r="Q138" s="239"/>
      <c r="R138" s="394" t="s">
        <v>173</v>
      </c>
      <c r="S138" s="395"/>
      <c r="T138" s="396"/>
      <c r="U138" s="1"/>
      <c r="V138" s="372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</row>
    <row r="139" ht="4.5" customHeight="1">
      <c r="A139" s="1"/>
      <c r="B139" s="1"/>
      <c r="C139" s="1"/>
      <c r="D139" s="254"/>
      <c r="E139" s="39"/>
      <c r="F139" s="1"/>
      <c r="G139" s="1"/>
      <c r="H139" s="1"/>
      <c r="I139" s="1"/>
      <c r="J139" s="356"/>
      <c r="K139" s="1"/>
      <c r="L139" s="1"/>
      <c r="M139" s="1"/>
      <c r="N139" s="1"/>
      <c r="O139" s="1"/>
      <c r="P139" s="356"/>
      <c r="Q139" s="1"/>
      <c r="R139" s="1"/>
      <c r="S139" s="1"/>
      <c r="T139" s="1"/>
      <c r="U139" s="1"/>
      <c r="V139" s="372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</row>
    <row r="140" ht="14.25" customHeight="1">
      <c r="A140" s="1"/>
      <c r="B140" s="1" t="s">
        <v>246</v>
      </c>
      <c r="C140" s="1"/>
      <c r="D140" s="254"/>
      <c r="E140" s="1"/>
      <c r="F140" s="397">
        <v>4775320.0</v>
      </c>
      <c r="G140" s="1"/>
      <c r="H140" s="1"/>
      <c r="I140" s="1"/>
      <c r="J140" s="356"/>
      <c r="K140" s="1"/>
      <c r="L140" s="85">
        <f>'D PY Audit'!H92</f>
        <v>4541000</v>
      </c>
      <c r="M140" s="1"/>
      <c r="N140" s="1"/>
      <c r="O140" s="1"/>
      <c r="P140" s="356"/>
      <c r="Q140" s="1"/>
      <c r="R140" s="16">
        <f>F140-L140</f>
        <v>234320</v>
      </c>
      <c r="S140" s="1"/>
      <c r="T140" s="260">
        <f>IF(L140&lt;&gt;0,R140/L140,"-     ")</f>
        <v>0.05160096895</v>
      </c>
      <c r="U140" s="1"/>
      <c r="V140" s="372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</row>
    <row r="141" ht="4.5" customHeight="1">
      <c r="A141" s="1"/>
      <c r="B141" s="1"/>
      <c r="C141" s="1"/>
      <c r="D141" s="254"/>
      <c r="E141" s="1"/>
      <c r="F141" s="1"/>
      <c r="G141" s="1"/>
      <c r="H141" s="1"/>
      <c r="I141" s="1"/>
      <c r="J141" s="356"/>
      <c r="K141" s="1"/>
      <c r="L141" s="85"/>
      <c r="M141" s="1"/>
      <c r="N141" s="1"/>
      <c r="O141" s="1"/>
      <c r="P141" s="356"/>
      <c r="Q141" s="1"/>
      <c r="R141" s="1"/>
      <c r="S141" s="1"/>
      <c r="T141" s="260"/>
      <c r="U141" s="1"/>
      <c r="V141" s="372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</row>
    <row r="142" ht="14.25" customHeight="1">
      <c r="A142" s="1"/>
      <c r="B142" s="1" t="s">
        <v>247</v>
      </c>
      <c r="C142" s="1"/>
      <c r="D142" s="254"/>
      <c r="E142" s="1"/>
      <c r="F142" s="397">
        <v>4567092.0</v>
      </c>
      <c r="G142" s="1"/>
      <c r="H142" s="1"/>
      <c r="I142" s="1"/>
      <c r="J142" s="356"/>
      <c r="K142" s="1"/>
      <c r="L142" s="85">
        <f>'D PY Audit'!H94</f>
        <v>4346500</v>
      </c>
      <c r="M142" s="1"/>
      <c r="N142" s="1"/>
      <c r="O142" s="1"/>
      <c r="P142" s="356"/>
      <c r="Q142" s="1"/>
      <c r="R142" s="16">
        <f>F142-L142</f>
        <v>220592</v>
      </c>
      <c r="S142" s="1"/>
      <c r="T142" s="260">
        <f>IF(L142&lt;&gt;0,R142/L142,"-     ")</f>
        <v>0.05075163925</v>
      </c>
      <c r="U142" s="1"/>
      <c r="V142" s="372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</row>
    <row r="143" ht="4.5" customHeight="1">
      <c r="A143" s="1"/>
      <c r="B143" s="1"/>
      <c r="C143" s="1"/>
      <c r="D143" s="254"/>
      <c r="E143" s="1"/>
      <c r="F143" s="1"/>
      <c r="G143" s="1"/>
      <c r="H143" s="1"/>
      <c r="I143" s="1"/>
      <c r="J143" s="356"/>
      <c r="K143" s="1"/>
      <c r="L143" s="85"/>
      <c r="M143" s="1"/>
      <c r="N143" s="1"/>
      <c r="O143" s="1"/>
      <c r="P143" s="356"/>
      <c r="Q143" s="1"/>
      <c r="R143" s="1"/>
      <c r="S143" s="1"/>
      <c r="T143" s="1"/>
      <c r="U143" s="1"/>
      <c r="V143" s="372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</row>
    <row r="144" ht="14.25" customHeight="1">
      <c r="A144" s="1"/>
      <c r="B144" s="1" t="s">
        <v>248</v>
      </c>
      <c r="C144" s="1"/>
      <c r="D144" s="399"/>
      <c r="E144" s="1"/>
      <c r="F144" s="397">
        <v>553088.0</v>
      </c>
      <c r="G144" s="1"/>
      <c r="H144" s="1"/>
      <c r="I144" s="1"/>
      <c r="J144" s="356"/>
      <c r="K144" s="1"/>
      <c r="L144" s="400">
        <f>'D PY Audit'!H96</f>
        <v>530000</v>
      </c>
      <c r="M144" s="1"/>
      <c r="N144" s="1"/>
      <c r="O144" s="1"/>
      <c r="P144" s="356"/>
      <c r="Q144" s="1"/>
      <c r="R144" s="401">
        <f>F144-L144</f>
        <v>23088</v>
      </c>
      <c r="S144" s="1"/>
      <c r="T144" s="402">
        <f>IF(L144&lt;&gt;0,R144/L144,"-     ")</f>
        <v>0.04356226415</v>
      </c>
      <c r="U144" s="1"/>
      <c r="V144" s="372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</row>
    <row r="145" ht="4.5" customHeight="1">
      <c r="A145" s="1"/>
      <c r="B145" s="1"/>
      <c r="C145" s="1"/>
      <c r="D145" s="254"/>
      <c r="E145" s="1"/>
      <c r="F145" s="1"/>
      <c r="G145" s="1"/>
      <c r="H145" s="1"/>
      <c r="I145" s="1"/>
      <c r="J145" s="356"/>
      <c r="K145" s="1"/>
      <c r="L145" s="1"/>
      <c r="M145" s="1"/>
      <c r="N145" s="1"/>
      <c r="O145" s="1"/>
      <c r="P145" s="356"/>
      <c r="Q145" s="1"/>
      <c r="R145" s="1"/>
      <c r="S145" s="1"/>
      <c r="T145" s="1"/>
      <c r="U145" s="1"/>
      <c r="V145" s="372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</row>
    <row r="146" ht="14.25" customHeight="1">
      <c r="A146" s="1"/>
      <c r="B146" s="1" t="s">
        <v>249</v>
      </c>
      <c r="C146" s="1"/>
      <c r="D146" s="399"/>
      <c r="E146" s="1"/>
      <c r="F146" s="294"/>
      <c r="G146" s="294"/>
      <c r="H146" s="405">
        <f>SUM(F140:F144)</f>
        <v>9895500</v>
      </c>
      <c r="I146" s="406" t="s">
        <v>251</v>
      </c>
      <c r="J146" s="407"/>
      <c r="K146" s="294"/>
      <c r="L146" s="294"/>
      <c r="M146" s="294"/>
      <c r="N146" s="405">
        <f>SUM(L140:L144)</f>
        <v>9417500</v>
      </c>
      <c r="O146" s="294"/>
      <c r="P146" s="407"/>
      <c r="Q146" s="294"/>
      <c r="R146" s="127">
        <f>H146-N146</f>
        <v>478000</v>
      </c>
      <c r="S146" s="294"/>
      <c r="T146" s="363">
        <f>IF(N146&lt;&gt;0,R146/N146,"-     ")</f>
        <v>0.05075657022</v>
      </c>
      <c r="U146" s="294"/>
      <c r="V146" s="408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</row>
  </sheetData>
  <mergeCells count="7">
    <mergeCell ref="R2:T2"/>
    <mergeCell ref="L3:N3"/>
    <mergeCell ref="R4:T4"/>
    <mergeCell ref="L5:N5"/>
    <mergeCell ref="F81:F82"/>
    <mergeCell ref="R102:T102"/>
    <mergeCell ref="R138:T138"/>
  </mergeCells>
  <printOptions horizontalCentered="1"/>
  <pageMargins bottom="1.0457" footer="0.0" header="0.0" left="0.7" right="0.7" top="1.0457"/>
  <pageSetup orientation="landscape" pageOrder="overThenDown"/>
  <headerFooter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3">
    <pageSetUpPr/>
  </sheetPr>
  <sheetViews>
    <sheetView workbookViewId="0">
      <pane xSplit="2.0" ySplit="6.0" topLeftCell="C7" activePane="bottomRight" state="frozen"/>
      <selection activeCell="C1" sqref="C1" pane="topRight"/>
      <selection activeCell="A7" sqref="A7" pane="bottomLeft"/>
      <selection activeCell="C7" sqref="C7" pane="bottomRight"/>
    </sheetView>
  </sheetViews>
  <sheetFormatPr customHeight="1" defaultColWidth="12.63" defaultRowHeight="15.0" outlineLevelCol="1"/>
  <cols>
    <col customWidth="1" min="1" max="1" width="2.25"/>
    <col customWidth="1" min="2" max="2" width="34.75"/>
    <col customWidth="1" min="3" max="3" width="1.75"/>
    <col customWidth="1" min="4" max="4" width="8.75"/>
    <col customWidth="1" min="5" max="5" width="1.63"/>
    <col customWidth="1" min="6" max="6" width="8.75"/>
    <col customWidth="1" min="7" max="7" width="1.63"/>
    <col customWidth="1" min="8" max="8" width="8.75"/>
    <col customWidth="1" min="9" max="9" width="1.13"/>
    <col customWidth="1" min="10" max="10" width="8.75"/>
    <col customWidth="1" min="11" max="11" width="1.13"/>
    <col customWidth="1" min="12" max="12" width="8.75"/>
    <col customWidth="1" min="13" max="13" width="1.13"/>
    <col customWidth="1" min="14" max="14" width="8.75"/>
    <col customWidth="1" min="15" max="15" width="1.13"/>
    <col customWidth="1" min="16" max="16" width="8.75"/>
    <col customWidth="1" min="17" max="17" width="1.75"/>
    <col customWidth="1" min="18" max="18" width="8.75"/>
    <col customWidth="1" min="19" max="19" width="7.88"/>
    <col customWidth="1" min="20" max="20" width="4.25"/>
    <col customWidth="1" min="21" max="21" width="8.63"/>
    <col customWidth="1" min="22" max="22" width="1.38"/>
    <col customWidth="1" min="23" max="23" width="9.0"/>
    <col customWidth="1" min="24" max="24" width="1.38"/>
    <col customWidth="1" min="25" max="25" width="9.25"/>
    <col customWidth="1" min="26" max="26" width="1.38"/>
    <col customWidth="1" min="27" max="27" width="8.63"/>
    <col customWidth="1" min="28" max="28" width="1.38"/>
    <col customWidth="1" min="29" max="29" width="8.63"/>
    <col customWidth="1" min="30" max="30" width="2.63"/>
    <col customWidth="1" min="31" max="43" width="8.38"/>
    <col customWidth="1" min="44" max="44" width="6.13"/>
    <col customWidth="1" min="45" max="45" width="1.13"/>
    <col customWidth="1" min="46" max="46" width="6.13"/>
    <col customWidth="1" min="47" max="47" width="1.13"/>
    <col customWidth="1" min="48" max="48" width="6.13"/>
    <col customWidth="1" min="49" max="49" width="1.13"/>
    <col customWidth="1" min="50" max="50" width="6.13"/>
    <col customWidth="1" min="51" max="51" width="1.13"/>
    <col customWidth="1" min="52" max="52" width="6.13"/>
    <col customWidth="1" min="53" max="53" width="1.13"/>
    <col customWidth="1" min="54" max="54" width="8.38"/>
    <col customWidth="1" min="55" max="55" width="1.13"/>
    <col customWidth="1" min="56" max="56" width="8.38"/>
    <col customWidth="1" min="57" max="57" width="1.13"/>
    <col customWidth="1" min="58" max="58" width="8.38"/>
    <col customWidth="1" min="59" max="59" width="1.13"/>
    <col customWidth="1" min="60" max="60" width="8.38"/>
  </cols>
  <sheetData>
    <row r="1" ht="24.0" customHeight="1">
      <c r="A1" s="1"/>
      <c r="B1" s="2" t="str">
        <f>'A Cover'!G8</f>
        <v>Example University</v>
      </c>
      <c r="C1" s="1"/>
      <c r="D1" s="357"/>
      <c r="E1" s="357"/>
      <c r="F1" s="358"/>
      <c r="G1" s="357"/>
      <c r="H1" s="358"/>
      <c r="I1" s="357"/>
      <c r="J1" s="359"/>
      <c r="K1" s="357"/>
      <c r="L1" s="359"/>
      <c r="M1" s="357"/>
      <c r="N1" s="359"/>
      <c r="O1" s="359"/>
      <c r="P1" s="358"/>
      <c r="Q1" s="358"/>
      <c r="R1" s="358"/>
      <c r="S1" s="358"/>
      <c r="T1" s="358"/>
      <c r="U1" s="360"/>
      <c r="V1" s="360"/>
      <c r="W1" s="1"/>
      <c r="X1" s="361"/>
      <c r="Y1" s="358"/>
      <c r="Z1" s="1"/>
      <c r="AA1" s="46"/>
      <c r="AB1" s="46"/>
      <c r="AC1" s="46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ht="51.0" customHeight="1">
      <c r="A2" s="1"/>
      <c r="B2" s="364" t="s">
        <v>236</v>
      </c>
      <c r="C2" s="1"/>
      <c r="D2" s="29" t="s">
        <v>0</v>
      </c>
      <c r="E2" s="34" t="s">
        <v>9</v>
      </c>
      <c r="F2" s="36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368"/>
      <c r="V2" s="35"/>
      <c r="W2" s="21"/>
      <c r="X2" s="174"/>
      <c r="Y2" s="46"/>
      <c r="Z2" s="19">
        <f>'A Cover'!G12</f>
        <v>46307</v>
      </c>
      <c r="AA2" s="35"/>
      <c r="AB2" s="35"/>
      <c r="AC2" s="2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ht="6.0" customHeight="1">
      <c r="A3" s="1"/>
      <c r="B3" s="373" t="s">
        <v>239</v>
      </c>
      <c r="C3" s="374"/>
      <c r="D3" s="374"/>
      <c r="E3" s="374"/>
      <c r="F3" s="374"/>
      <c r="G3" s="374"/>
      <c r="H3" s="374"/>
      <c r="I3" s="374"/>
      <c r="J3" s="1"/>
      <c r="K3" s="374"/>
      <c r="L3" s="1"/>
      <c r="M3" s="374"/>
      <c r="N3" s="1"/>
      <c r="O3" s="1"/>
      <c r="P3" s="374"/>
      <c r="Q3" s="375"/>
      <c r="R3" s="375"/>
      <c r="S3" s="374"/>
      <c r="T3" s="374"/>
      <c r="U3" s="377"/>
      <c r="V3" s="377"/>
      <c r="W3" s="1"/>
      <c r="X3" s="1"/>
      <c r="Y3" s="374"/>
      <c r="Z3" s="374"/>
      <c r="AA3" s="374"/>
      <c r="AB3" s="374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ht="19.5" customHeight="1">
      <c r="A4" s="89"/>
      <c r="B4" s="205"/>
      <c r="C4" s="380" t="s">
        <v>241</v>
      </c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4"/>
      <c r="R4" s="381"/>
      <c r="S4" s="382"/>
      <c r="T4" s="383" t="s">
        <v>243</v>
      </c>
      <c r="U4" s="13"/>
      <c r="V4" s="13"/>
      <c r="W4" s="13"/>
      <c r="X4" s="13"/>
      <c r="Y4" s="13"/>
      <c r="Z4" s="13"/>
      <c r="AA4" s="13"/>
      <c r="AB4" s="13"/>
      <c r="AC4" s="13"/>
      <c r="AD4" s="14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</row>
    <row r="5" ht="5.25" customHeight="1">
      <c r="A5" s="1"/>
      <c r="B5" s="199"/>
      <c r="C5" s="199"/>
      <c r="D5" s="384"/>
      <c r="E5" s="386"/>
      <c r="F5" s="384"/>
      <c r="G5" s="386"/>
      <c r="H5" s="384"/>
      <c r="I5" s="386"/>
      <c r="J5" s="384"/>
      <c r="K5" s="386"/>
      <c r="L5" s="384"/>
      <c r="M5" s="386"/>
      <c r="N5" s="384"/>
      <c r="O5" s="384"/>
      <c r="P5" s="384"/>
      <c r="Q5" s="375"/>
      <c r="R5" s="388"/>
      <c r="S5" s="389"/>
      <c r="T5" s="389"/>
      <c r="U5" s="390"/>
      <c r="V5" s="390"/>
      <c r="W5" s="390"/>
      <c r="X5" s="390"/>
      <c r="Y5" s="390"/>
      <c r="Z5" s="390"/>
      <c r="AA5" s="390"/>
      <c r="AB5" s="390"/>
      <c r="AC5" s="390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ht="14.25" customHeight="1">
      <c r="A6" s="89"/>
      <c r="B6" s="52"/>
      <c r="C6" s="52"/>
      <c r="D6" s="398" t="str">
        <f>IF(('A Cover'!$J12-5-2000)&gt;9,'A Cover'!$J12-6&amp;" - "&amp;'A Cover'!$J12-5-2000,'A Cover'!$J12-6&amp;" - 0"&amp;'A Cover'!$J12-5-2000)</f>
        <v>2020 - 21</v>
      </c>
      <c r="E6" s="52"/>
      <c r="F6" s="398" t="str">
        <f>IF(('A Cover'!$J12-4-2000)&gt;9,'A Cover'!$J12-5&amp;" - "&amp;'A Cover'!$J12-4-2000,'A Cover'!$J12-5&amp;" - 0"&amp;'A Cover'!$J12-4-2000)</f>
        <v>2021 - 22</v>
      </c>
      <c r="G6" s="52"/>
      <c r="H6" s="398" t="str">
        <f>IF(('A Cover'!$J12-3-2000)&gt;9,'A Cover'!$J12-4&amp;" - "&amp;'A Cover'!$J12-3-2000,'A Cover'!$J12-4&amp;" - 0"&amp;'A Cover'!$J12-3-2000)</f>
        <v>2022 - 23</v>
      </c>
      <c r="I6" s="52"/>
      <c r="J6" s="398" t="str">
        <f>IF(('A Cover'!$J12-2-2000)&gt;9,'A Cover'!$J12-3&amp;" - "&amp;'A Cover'!$J12-2-2000,'A Cover'!$J12-3&amp;" - 0"&amp;'A Cover'!$J12-2-2000)</f>
        <v>2023 - 24</v>
      </c>
      <c r="K6" s="52"/>
      <c r="L6" s="398" t="str">
        <f>IF(('A Cover'!$J12-1-2000)&gt;9,'A Cover'!$J12-2&amp;" - "&amp;'A Cover'!$J12-1-2000,'A Cover'!$J12-2&amp;" - 0"&amp;'A Cover'!$J12-1-2000)</f>
        <v>2024 - 25</v>
      </c>
      <c r="M6" s="52"/>
      <c r="N6" s="398" t="str">
        <f>IF(('A Cover'!$J12-0-2000)&gt;9,'A Cover'!$J12-1&amp;" - "&amp;'A Cover'!$J12-0-2000,'A Cover'!$J12-1&amp;" - 0"&amp;'A Cover'!$J12-0-2000)</f>
        <v>2025 - 26</v>
      </c>
      <c r="O6" s="65"/>
      <c r="P6" s="398" t="str">
        <f>IF(('A Cover'!$J12+1-2000)&gt;9,'A Cover'!$J12-0&amp;" - "&amp;'A Cover'!$J12+1-2000,'A Cover'!$J12-0&amp;" - 0"&amp;'A Cover'!$J12+1-2000)</f>
        <v>2026 - 27</v>
      </c>
      <c r="Q6" s="375"/>
      <c r="R6" s="403"/>
      <c r="S6" s="404" t="s">
        <v>250</v>
      </c>
      <c r="T6" s="404"/>
      <c r="U6" s="398" t="str">
        <f>IF(('A Cover'!$J12+2-2000)&gt;9,'A Cover'!$J12+1&amp;" - "&amp;'A Cover'!$J12+2-2000,'A Cover'!$J12+1&amp;" - 0"&amp;'A Cover'!$J12+2-2000)</f>
        <v>2027 - 28</v>
      </c>
      <c r="V6" s="52"/>
      <c r="W6" s="398" t="str">
        <f>IF(('A Cover'!$J12+3-2000)&gt;9,'A Cover'!$J12+2&amp;" - "&amp;'A Cover'!$J12+3-2000,'A Cover'!$J12+2&amp;" - 0"&amp;'A Cover'!$J12+3-2000)</f>
        <v>2028 - 29</v>
      </c>
      <c r="X6" s="52"/>
      <c r="Y6" s="398" t="str">
        <f>IF(('A Cover'!$J12+4-2000)&gt;9,'A Cover'!$J12+3&amp;" - "&amp;'A Cover'!$J12+4-2000,'A Cover'!$J12+3&amp;" - 0"&amp;'A Cover'!$J12+4-2000)</f>
        <v>2029 - 30</v>
      </c>
      <c r="Z6" s="52"/>
      <c r="AA6" s="398" t="str">
        <f>IF(('A Cover'!$J12+5-2000)&gt;9,'A Cover'!$J12+4&amp;" - "&amp;'A Cover'!$J12+5-2000,'A Cover'!$J12+4&amp;" - 0"&amp;'A Cover'!$J12+5-2000)</f>
        <v>2030 - 31</v>
      </c>
      <c r="AB6" s="65"/>
      <c r="AC6" s="398" t="str">
        <f>IF(('A Cover'!$J12+6-2000)&gt;9,'A Cover'!$J12+5&amp;" - "&amp;'A Cover'!$J12+6-2000,'A Cover'!$J12+5&amp;" - 0"&amp;'A Cover'!$J12+6-2000)</f>
        <v>2031 - 32</v>
      </c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</row>
    <row r="7" ht="3.75" customHeight="1">
      <c r="A7" s="1"/>
      <c r="B7" s="409" t="s">
        <v>252</v>
      </c>
      <c r="C7" s="410"/>
      <c r="D7" s="39"/>
      <c r="E7" s="411"/>
      <c r="F7" s="412"/>
      <c r="G7" s="411"/>
      <c r="H7" s="411"/>
      <c r="I7" s="411"/>
      <c r="J7" s="411"/>
      <c r="K7" s="411"/>
      <c r="L7" s="411"/>
      <c r="M7" s="411"/>
      <c r="N7" s="413"/>
      <c r="O7" s="411"/>
      <c r="P7" s="413"/>
      <c r="Q7" s="375"/>
      <c r="R7" s="414"/>
      <c r="S7" s="415"/>
      <c r="T7" s="415"/>
      <c r="U7" s="377"/>
      <c r="V7" s="377"/>
      <c r="W7" s="1"/>
      <c r="X7" s="1"/>
      <c r="Y7" s="1"/>
      <c r="Z7" s="1"/>
      <c r="AA7" s="1"/>
      <c r="AB7" s="1"/>
      <c r="AC7" s="1"/>
      <c r="AD7" s="416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ht="17.25" customHeight="1">
      <c r="A8" s="1"/>
      <c r="B8" s="417"/>
      <c r="C8" s="23"/>
      <c r="D8" s="39"/>
      <c r="E8" s="386"/>
      <c r="F8" s="39"/>
      <c r="G8" s="386"/>
      <c r="H8" s="386"/>
      <c r="I8" s="386"/>
      <c r="J8" s="386"/>
      <c r="K8" s="386"/>
      <c r="L8" s="386"/>
      <c r="M8" s="386"/>
      <c r="N8" s="418"/>
      <c r="O8" s="386"/>
      <c r="P8" s="418"/>
      <c r="Q8" s="375"/>
      <c r="R8" s="419"/>
      <c r="S8" s="420" t="s">
        <v>253</v>
      </c>
      <c r="T8" s="21"/>
      <c r="U8" s="422">
        <f>F95</f>
        <v>551</v>
      </c>
      <c r="V8" s="423"/>
      <c r="W8" s="422">
        <f>F96</f>
        <v>564.4642857</v>
      </c>
      <c r="X8" s="424"/>
      <c r="Y8" s="422">
        <f>F97</f>
        <v>577.9285714</v>
      </c>
      <c r="Z8" s="425"/>
      <c r="AA8" s="422">
        <f>F98</f>
        <v>591.3928571</v>
      </c>
      <c r="AB8" s="425"/>
      <c r="AC8" s="422">
        <f>F99</f>
        <v>604.8571429</v>
      </c>
      <c r="AD8" s="290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</row>
    <row r="9" ht="14.25" customHeight="1">
      <c r="A9" s="1"/>
      <c r="B9" s="427" t="s">
        <v>255</v>
      </c>
      <c r="C9" s="199"/>
      <c r="D9" s="429">
        <v>530.0</v>
      </c>
      <c r="E9" s="386"/>
      <c r="F9" s="429">
        <v>490.0</v>
      </c>
      <c r="G9" s="386"/>
      <c r="H9" s="429">
        <v>413.0</v>
      </c>
      <c r="I9" s="386"/>
      <c r="J9" s="429">
        <v>396.0</v>
      </c>
      <c r="K9" s="384"/>
      <c r="L9" s="429">
        <v>517.0</v>
      </c>
      <c r="M9" s="384"/>
      <c r="N9" s="429">
        <v>559.0</v>
      </c>
      <c r="O9" s="384"/>
      <c r="P9" s="429">
        <v>575.0</v>
      </c>
      <c r="Q9" s="375"/>
      <c r="R9" s="388"/>
      <c r="S9" s="389">
        <f>AVERAGE(D9:P9)</f>
        <v>497.1428571</v>
      </c>
      <c r="T9" s="389"/>
      <c r="U9" s="429">
        <v>580.0</v>
      </c>
      <c r="V9" s="386"/>
      <c r="W9" s="429">
        <v>580.0</v>
      </c>
      <c r="X9" s="390"/>
      <c r="Y9" s="429">
        <v>580.0</v>
      </c>
      <c r="Z9" s="390"/>
      <c r="AA9" s="429">
        <v>580.0</v>
      </c>
      <c r="AB9" s="390"/>
      <c r="AC9" s="429">
        <v>580.0</v>
      </c>
      <c r="AD9" s="290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429"/>
      <c r="AR9" s="85">
        <f>U9</f>
        <v>580</v>
      </c>
      <c r="AS9" s="1"/>
      <c r="AT9" s="85">
        <f>W9</f>
        <v>580</v>
      </c>
      <c r="AU9" s="1"/>
      <c r="AV9" s="85">
        <f>Y9</f>
        <v>580</v>
      </c>
      <c r="AW9" s="1"/>
      <c r="AX9" s="85">
        <f>AA9</f>
        <v>580</v>
      </c>
      <c r="AY9" s="1"/>
      <c r="AZ9" s="85">
        <f>AC9</f>
        <v>580</v>
      </c>
      <c r="BA9" s="1"/>
      <c r="BB9" s="1"/>
      <c r="BC9" s="1"/>
      <c r="BD9" s="1"/>
      <c r="BE9" s="1"/>
      <c r="BF9" s="1"/>
      <c r="BG9" s="1"/>
      <c r="BH9" s="1"/>
    </row>
    <row r="10" ht="5.25" customHeight="1">
      <c r="A10" s="1"/>
      <c r="B10" s="427"/>
      <c r="C10" s="199"/>
      <c r="D10" s="384"/>
      <c r="E10" s="386"/>
      <c r="F10" s="384"/>
      <c r="G10" s="386"/>
      <c r="H10" s="384"/>
      <c r="I10" s="384"/>
      <c r="J10" s="384"/>
      <c r="K10" s="384"/>
      <c r="L10" s="384"/>
      <c r="M10" s="384"/>
      <c r="N10" s="384"/>
      <c r="O10" s="384"/>
      <c r="P10" s="384"/>
      <c r="Q10" s="375"/>
      <c r="R10" s="388"/>
      <c r="S10" s="389"/>
      <c r="T10" s="389"/>
      <c r="U10" s="384"/>
      <c r="V10" s="386"/>
      <c r="W10" s="384"/>
      <c r="X10" s="386"/>
      <c r="Y10" s="384"/>
      <c r="Z10" s="384"/>
      <c r="AA10" s="384"/>
      <c r="AB10" s="384"/>
      <c r="AC10" s="384"/>
      <c r="AD10" s="290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</row>
    <row r="11" ht="14.25" customHeight="1">
      <c r="A11" s="1"/>
      <c r="B11" s="427" t="s">
        <v>258</v>
      </c>
      <c r="C11" s="199"/>
      <c r="D11" s="429">
        <v>38.0</v>
      </c>
      <c r="E11" s="386"/>
      <c r="F11" s="429">
        <v>43.0</v>
      </c>
      <c r="G11" s="386"/>
      <c r="H11" s="429">
        <v>45.0</v>
      </c>
      <c r="I11" s="386"/>
      <c r="J11" s="429">
        <v>38.0</v>
      </c>
      <c r="K11" s="384"/>
      <c r="L11" s="429">
        <v>24.0</v>
      </c>
      <c r="M11" s="384"/>
      <c r="N11" s="429">
        <v>31.0</v>
      </c>
      <c r="O11" s="384"/>
      <c r="P11" s="429">
        <v>30.0</v>
      </c>
      <c r="Q11" s="375"/>
      <c r="R11" s="388"/>
      <c r="S11" s="389">
        <f>AVERAGE(D11:P11)</f>
        <v>35.57142857</v>
      </c>
      <c r="T11" s="389"/>
      <c r="U11" s="425">
        <f>ROUND(AR11+((U23-$S23)*($S11/SUM($S$11:$S$17))),0)</f>
        <v>41</v>
      </c>
      <c r="V11" s="435"/>
      <c r="W11" s="425">
        <f>ROUND(AT11+((W23-$S23)*($S11/SUM($S$11:$S$17))),0)</f>
        <v>42</v>
      </c>
      <c r="X11" s="435"/>
      <c r="Y11" s="425">
        <f>ROUND(AV11+((Y23-$S23)*($S11/SUM($S$11:$S$17))),0)</f>
        <v>42</v>
      </c>
      <c r="Z11" s="435"/>
      <c r="AA11" s="425">
        <f>ROUND(AX11+((AA23-$S23)*($S11/SUM($S$11:$S$17))),0)</f>
        <v>42</v>
      </c>
      <c r="AB11" s="440"/>
      <c r="AC11" s="425">
        <f>ROUND(AZ11+((AC23-$S23)*($S11/SUM($S$11:$S$17))),0)</f>
        <v>42</v>
      </c>
      <c r="AD11" s="290"/>
      <c r="AE11" s="442"/>
      <c r="AF11" s="442"/>
      <c r="AG11" s="442"/>
      <c r="AH11" s="442"/>
      <c r="AI11" s="442"/>
      <c r="AJ11" s="442"/>
      <c r="AK11" s="442"/>
      <c r="AL11" s="442"/>
      <c r="AM11" s="442"/>
      <c r="AN11" s="442"/>
      <c r="AO11" s="442"/>
      <c r="AP11" s="442"/>
      <c r="AQ11" s="442"/>
      <c r="AR11" s="443">
        <f>ROUND(($AR31*U73/100),0)</f>
        <v>41</v>
      </c>
      <c r="AS11" s="444"/>
      <c r="AT11" s="443">
        <f>ROUND(U31*W73/100,0)</f>
        <v>42</v>
      </c>
      <c r="AU11" s="444"/>
      <c r="AV11" s="443">
        <f>ROUND(W31*Y73/100,0)</f>
        <v>42</v>
      </c>
      <c r="AW11" s="444"/>
      <c r="AX11" s="443">
        <f>ROUND(Y31*AA73/100,0)</f>
        <v>42</v>
      </c>
      <c r="AY11" s="444"/>
      <c r="AZ11" s="443">
        <f>ROUND(AA31*AC73/100,0)</f>
        <v>42</v>
      </c>
      <c r="BA11" s="1"/>
      <c r="BB11" s="1"/>
      <c r="BC11" s="1"/>
      <c r="BD11" s="1"/>
      <c r="BE11" s="1"/>
      <c r="BF11" s="1"/>
      <c r="BG11" s="1"/>
      <c r="BH11" s="1"/>
    </row>
    <row r="12" ht="5.25" customHeight="1">
      <c r="A12" s="1"/>
      <c r="B12" s="427"/>
      <c r="C12" s="199"/>
      <c r="D12" s="384"/>
      <c r="E12" s="386"/>
      <c r="F12" s="384"/>
      <c r="G12" s="386"/>
      <c r="H12" s="384"/>
      <c r="I12" s="386"/>
      <c r="J12" s="384"/>
      <c r="K12" s="384"/>
      <c r="L12" s="384"/>
      <c r="M12" s="384"/>
      <c r="N12" s="384"/>
      <c r="O12" s="384"/>
      <c r="P12" s="384"/>
      <c r="Q12" s="375"/>
      <c r="R12" s="388"/>
      <c r="S12" s="389"/>
      <c r="T12" s="389"/>
      <c r="U12" s="452"/>
      <c r="V12" s="452"/>
      <c r="W12" s="452"/>
      <c r="X12" s="452"/>
      <c r="Y12" s="452"/>
      <c r="Z12" s="452"/>
      <c r="AA12" s="452"/>
      <c r="AB12" s="452"/>
      <c r="AC12" s="452"/>
      <c r="AD12" s="290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443"/>
      <c r="AS12" s="444"/>
      <c r="AT12" s="444"/>
      <c r="AU12" s="444"/>
      <c r="AV12" s="444"/>
      <c r="AW12" s="444"/>
      <c r="AX12" s="444"/>
      <c r="AY12" s="444"/>
      <c r="AZ12" s="444"/>
      <c r="BA12" s="1"/>
      <c r="BB12" s="1"/>
      <c r="BC12" s="1"/>
      <c r="BD12" s="1"/>
      <c r="BE12" s="1"/>
      <c r="BF12" s="1"/>
      <c r="BG12" s="1"/>
      <c r="BH12" s="1"/>
    </row>
    <row r="13" ht="14.25" customHeight="1">
      <c r="A13" s="1"/>
      <c r="B13" s="427" t="s">
        <v>261</v>
      </c>
      <c r="C13" s="199"/>
      <c r="D13" s="429">
        <v>372.0</v>
      </c>
      <c r="E13" s="386"/>
      <c r="F13" s="429">
        <v>404.0</v>
      </c>
      <c r="G13" s="386"/>
      <c r="H13" s="429">
        <v>440.0</v>
      </c>
      <c r="I13" s="386"/>
      <c r="J13" s="429">
        <v>333.0</v>
      </c>
      <c r="K13" s="384"/>
      <c r="L13" s="429">
        <v>346.0</v>
      </c>
      <c r="M13" s="384"/>
      <c r="N13" s="429">
        <v>429.0</v>
      </c>
      <c r="O13" s="384"/>
      <c r="P13" s="429">
        <v>419.0</v>
      </c>
      <c r="Q13" s="375"/>
      <c r="R13" s="388"/>
      <c r="S13" s="389">
        <f>AVERAGE(D13:P13)</f>
        <v>391.8571429</v>
      </c>
      <c r="T13" s="389"/>
      <c r="U13" s="425">
        <f>ROUND(($AR31*U74/100-$U11)+((U23-$S23)*(($S11+$S13)/SUM($S$11:$S$17))),0)</f>
        <v>464</v>
      </c>
      <c r="V13" s="425"/>
      <c r="W13" s="425">
        <f>ROUND((U31*W74/100-$U11)+((W23-$S23)*(($S11+$S13)/SUM($S$11:$S$17))),0)</f>
        <v>478</v>
      </c>
      <c r="X13" s="425"/>
      <c r="Y13" s="425">
        <f>ROUND((W31*Y74/100-$U11)+((Y23-$S23)*(($S11+$S13)/SUM($S$11:$S$17))),0)</f>
        <v>479</v>
      </c>
      <c r="Z13" s="425"/>
      <c r="AA13" s="425">
        <f>ROUND((Y31*AA74/100-$U11)+((AA23-$S23)*(($S11+$S13)/SUM($S$11:$S$17))),0)</f>
        <v>479</v>
      </c>
      <c r="AB13" s="425"/>
      <c r="AC13" s="425">
        <f>ROUND((AA31*AC74/100-$U11)+((AC23-$S23)*(($S11+$S13)/SUM($S$11:$S$17))),0)</f>
        <v>479</v>
      </c>
      <c r="AD13" s="290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443">
        <f>ROUND(($AR31*U74/100-$AR11),0)</f>
        <v>461</v>
      </c>
      <c r="AS13" s="444"/>
      <c r="AT13" s="443">
        <f>ROUND((U31*W74/100-AT11),0)</f>
        <v>473</v>
      </c>
      <c r="AU13" s="444"/>
      <c r="AV13" s="443">
        <f>ROUND((W31*Y74/100-AV11),0)</f>
        <v>475</v>
      </c>
      <c r="AW13" s="444"/>
      <c r="AX13" s="443">
        <f>ROUND((Y31*AA74/100-AX11),0)</f>
        <v>475</v>
      </c>
      <c r="AY13" s="444"/>
      <c r="AZ13" s="443">
        <f>ROUND((AA31*AC74/100-AZ11),0)</f>
        <v>475</v>
      </c>
      <c r="BA13" s="1"/>
      <c r="BB13" s="1"/>
      <c r="BC13" s="1"/>
      <c r="BD13" s="1"/>
      <c r="BE13" s="1"/>
      <c r="BF13" s="1"/>
      <c r="BG13" s="1"/>
      <c r="BH13" s="1"/>
    </row>
    <row r="14" ht="5.25" customHeight="1">
      <c r="A14" s="1"/>
      <c r="B14" s="427"/>
      <c r="C14" s="199"/>
      <c r="D14" s="384"/>
      <c r="E14" s="386"/>
      <c r="F14" s="384"/>
      <c r="G14" s="386"/>
      <c r="H14" s="384"/>
      <c r="I14" s="386"/>
      <c r="J14" s="384"/>
      <c r="K14" s="384"/>
      <c r="L14" s="384"/>
      <c r="M14" s="384"/>
      <c r="N14" s="384"/>
      <c r="O14" s="384"/>
      <c r="P14" s="384"/>
      <c r="Q14" s="375"/>
      <c r="R14" s="388"/>
      <c r="S14" s="389"/>
      <c r="T14" s="389"/>
      <c r="U14" s="452"/>
      <c r="V14" s="452"/>
      <c r="W14" s="452"/>
      <c r="X14" s="452"/>
      <c r="Y14" s="452"/>
      <c r="Z14" s="452"/>
      <c r="AA14" s="452"/>
      <c r="AB14" s="452"/>
      <c r="AC14" s="452"/>
      <c r="AD14" s="290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443"/>
      <c r="AS14" s="444"/>
      <c r="AT14" s="444"/>
      <c r="AU14" s="444"/>
      <c r="AV14" s="444"/>
      <c r="AW14" s="444"/>
      <c r="AX14" s="444"/>
      <c r="AY14" s="444"/>
      <c r="AZ14" s="444"/>
      <c r="BA14" s="1"/>
      <c r="BB14" s="1"/>
      <c r="BC14" s="1"/>
      <c r="BD14" s="1"/>
      <c r="BE14" s="1"/>
      <c r="BF14" s="1"/>
      <c r="BG14" s="1"/>
      <c r="BH14" s="1"/>
    </row>
    <row r="15" ht="14.25" customHeight="1">
      <c r="A15" s="1"/>
      <c r="B15" s="427" t="s">
        <v>265</v>
      </c>
      <c r="C15" s="199"/>
      <c r="D15" s="429">
        <v>408.0</v>
      </c>
      <c r="E15" s="386"/>
      <c r="F15" s="429">
        <v>403.0</v>
      </c>
      <c r="G15" s="386"/>
      <c r="H15" s="429">
        <v>389.0</v>
      </c>
      <c r="I15" s="386"/>
      <c r="J15" s="429">
        <v>420.0</v>
      </c>
      <c r="K15" s="384"/>
      <c r="L15" s="429">
        <v>373.0</v>
      </c>
      <c r="M15" s="384"/>
      <c r="N15" s="429">
        <v>389.0</v>
      </c>
      <c r="O15" s="384"/>
      <c r="P15" s="429">
        <v>509.0</v>
      </c>
      <c r="Q15" s="375"/>
      <c r="R15" s="388"/>
      <c r="S15" s="389">
        <f>AVERAGE(D15:P15)</f>
        <v>413</v>
      </c>
      <c r="T15" s="389"/>
      <c r="U15" s="425">
        <f>ROUND(($AR33*$S75/100)+((U23-$S23)*($S15/SUM($S$11:$S$17))),0)</f>
        <v>456</v>
      </c>
      <c r="V15" s="425"/>
      <c r="W15" s="425">
        <f>ROUND((U33*W75/100)+((W23-$S23)*($S15/SUM($S$11:$S$17))),0)</f>
        <v>504</v>
      </c>
      <c r="X15" s="425"/>
      <c r="Y15" s="425">
        <f>ROUND((W33*Y75/100)+((Y23-$S23)*($S15/SUM($S$11:$S$17))),0)</f>
        <v>518</v>
      </c>
      <c r="Z15" s="425"/>
      <c r="AA15" s="425">
        <f>ROUND((Y33*AA75/100)+((AA23-$S23)*($S15/SUM($S$11:$S$17))),0)</f>
        <v>520</v>
      </c>
      <c r="AB15" s="425"/>
      <c r="AC15" s="425">
        <f>ROUND((AA33*AC75/100)+((AC23-$S23)*($S15/SUM($S$11:$S$17))),0)</f>
        <v>520</v>
      </c>
      <c r="AD15" s="290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443">
        <f>ROUND(($AR33*U75/100),0)</f>
        <v>452</v>
      </c>
      <c r="AS15" s="444"/>
      <c r="AT15" s="443">
        <f>ROUND(U33*W75/100,0)</f>
        <v>500</v>
      </c>
      <c r="AU15" s="444"/>
      <c r="AV15" s="443">
        <f>ROUND(W33*Y75/100,0)</f>
        <v>515</v>
      </c>
      <c r="AW15" s="444"/>
      <c r="AX15" s="443">
        <f>ROUND(Y33*AA75/100,0)</f>
        <v>517</v>
      </c>
      <c r="AY15" s="444"/>
      <c r="AZ15" s="443">
        <f>ROUND(AA33*AC75/100,0)</f>
        <v>517</v>
      </c>
      <c r="BA15" s="1"/>
      <c r="BB15" s="1"/>
      <c r="BC15" s="1"/>
      <c r="BD15" s="1"/>
      <c r="BE15" s="1"/>
      <c r="BF15" s="1"/>
      <c r="BG15" s="1"/>
      <c r="BH15" s="1"/>
    </row>
    <row r="16" ht="5.25" customHeight="1">
      <c r="A16" s="1"/>
      <c r="B16" s="427"/>
      <c r="C16" s="199"/>
      <c r="D16" s="384"/>
      <c r="E16" s="386"/>
      <c r="F16" s="384"/>
      <c r="G16" s="386"/>
      <c r="H16" s="384"/>
      <c r="I16" s="386"/>
      <c r="J16" s="384"/>
      <c r="K16" s="384"/>
      <c r="L16" s="384"/>
      <c r="M16" s="384"/>
      <c r="N16" s="384"/>
      <c r="O16" s="384"/>
      <c r="P16" s="384"/>
      <c r="Q16" s="375"/>
      <c r="R16" s="388"/>
      <c r="S16" s="389"/>
      <c r="T16" s="389"/>
      <c r="U16" s="452"/>
      <c r="V16" s="452"/>
      <c r="W16" s="452"/>
      <c r="X16" s="452"/>
      <c r="Y16" s="452"/>
      <c r="Z16" s="452"/>
      <c r="AA16" s="452"/>
      <c r="AB16" s="452"/>
      <c r="AC16" s="452"/>
      <c r="AD16" s="290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443"/>
      <c r="AS16" s="444"/>
      <c r="AT16" s="444"/>
      <c r="AU16" s="444"/>
      <c r="AV16" s="444"/>
      <c r="AW16" s="444"/>
      <c r="AX16" s="444"/>
      <c r="AY16" s="444"/>
      <c r="AZ16" s="444"/>
      <c r="BA16" s="1"/>
      <c r="BB16" s="1"/>
      <c r="BC16" s="1"/>
      <c r="BD16" s="1"/>
      <c r="BE16" s="1"/>
      <c r="BF16" s="1"/>
      <c r="BG16" s="1"/>
      <c r="BH16" s="1"/>
    </row>
    <row r="17" ht="14.25" customHeight="1">
      <c r="A17" s="1"/>
      <c r="B17" s="427" t="s">
        <v>266</v>
      </c>
      <c r="C17" s="199"/>
      <c r="D17" s="429">
        <v>485.0</v>
      </c>
      <c r="E17" s="386"/>
      <c r="F17" s="429">
        <v>442.0</v>
      </c>
      <c r="G17" s="386"/>
      <c r="H17" s="429">
        <v>432.0</v>
      </c>
      <c r="I17" s="386"/>
      <c r="J17" s="429">
        <v>475.0</v>
      </c>
      <c r="K17" s="384"/>
      <c r="L17" s="429">
        <v>458.0</v>
      </c>
      <c r="M17" s="384"/>
      <c r="N17" s="429">
        <v>428.0</v>
      </c>
      <c r="O17" s="384"/>
      <c r="P17" s="429">
        <v>441.0</v>
      </c>
      <c r="Q17" s="375"/>
      <c r="R17" s="388"/>
      <c r="S17" s="389">
        <f>AVERAGE(D17:P17)</f>
        <v>451.5714286</v>
      </c>
      <c r="T17" s="389"/>
      <c r="U17" s="425">
        <f>ROUND(($AR35*$S76/100)+((U23-$S23)*($S17/SUM($S$11:$S$17))),0)</f>
        <v>580</v>
      </c>
      <c r="V17" s="425"/>
      <c r="W17" s="425">
        <f>ROUND((U35*W76/100)+((W24-$S24)*($S17/SUM($S$11:$S$17))),0)</f>
        <v>549</v>
      </c>
      <c r="X17" s="425"/>
      <c r="Y17" s="425">
        <f>ROUND((W35*Y76/100)+((Y24-$S24)*($S17/SUM($S$11:$S$17))),0)</f>
        <v>604</v>
      </c>
      <c r="Z17" s="425"/>
      <c r="AA17" s="425">
        <f>ROUND((Y35*AA76/100)+((AA24-$S24)*($S17/SUM($S$11:$S$17))),0)</f>
        <v>620</v>
      </c>
      <c r="AB17" s="425"/>
      <c r="AC17" s="425">
        <f>ROUND((AA35*AC76/100)+((AC24-$S24)*($S17/SUM($S$11:$S$17))),0)</f>
        <v>622</v>
      </c>
      <c r="AD17" s="290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443">
        <f>ROUND(($AR35*U76/100),0)</f>
        <v>577</v>
      </c>
      <c r="AS17" s="444"/>
      <c r="AT17" s="443">
        <f>ROUND(U35*W76/100,0)</f>
        <v>516</v>
      </c>
      <c r="AU17" s="444"/>
      <c r="AV17" s="443">
        <f>ROUND(W35*Y76/100,0)</f>
        <v>571</v>
      </c>
      <c r="AW17" s="444"/>
      <c r="AX17" s="443">
        <f>ROUND(Y35*AA76/100,0)</f>
        <v>587</v>
      </c>
      <c r="AY17" s="444"/>
      <c r="AZ17" s="443">
        <f>ROUND(AA35*AC76/100,0)</f>
        <v>589</v>
      </c>
      <c r="BA17" s="1"/>
      <c r="BB17" s="1"/>
      <c r="BC17" s="1"/>
      <c r="BD17" s="1"/>
      <c r="BE17" s="1"/>
      <c r="BF17" s="1"/>
      <c r="BG17" s="1"/>
      <c r="BH17" s="1"/>
    </row>
    <row r="18" ht="5.25" customHeight="1">
      <c r="A18" s="1"/>
      <c r="B18" s="427"/>
      <c r="C18" s="199"/>
      <c r="D18" s="384"/>
      <c r="E18" s="386"/>
      <c r="F18" s="384"/>
      <c r="G18" s="386"/>
      <c r="H18" s="384"/>
      <c r="I18" s="386"/>
      <c r="J18" s="384"/>
      <c r="K18" s="384"/>
      <c r="L18" s="384"/>
      <c r="M18" s="384"/>
      <c r="N18" s="384"/>
      <c r="O18" s="384"/>
      <c r="P18" s="384"/>
      <c r="Q18" s="375"/>
      <c r="R18" s="388"/>
      <c r="S18" s="389"/>
      <c r="T18" s="389"/>
      <c r="U18" s="390"/>
      <c r="V18" s="390"/>
      <c r="W18" s="390"/>
      <c r="X18" s="390"/>
      <c r="Y18" s="390"/>
      <c r="Z18" s="390"/>
      <c r="AA18" s="390"/>
      <c r="AB18" s="390"/>
      <c r="AC18" s="390"/>
      <c r="AD18" s="290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</row>
    <row r="19" ht="14.25" customHeight="1">
      <c r="A19" s="1"/>
      <c r="B19" s="458" t="s">
        <v>268</v>
      </c>
      <c r="C19" s="459"/>
      <c r="D19" s="429">
        <v>9.0</v>
      </c>
      <c r="E19" s="386"/>
      <c r="F19" s="429">
        <v>6.0</v>
      </c>
      <c r="G19" s="386"/>
      <c r="H19" s="429">
        <v>9.0</v>
      </c>
      <c r="I19" s="386"/>
      <c r="J19" s="429">
        <v>10.0</v>
      </c>
      <c r="K19" s="390"/>
      <c r="L19" s="429">
        <v>15.0</v>
      </c>
      <c r="M19" s="390"/>
      <c r="N19" s="429">
        <v>10.0</v>
      </c>
      <c r="O19" s="390"/>
      <c r="P19" s="429">
        <v>14.0</v>
      </c>
      <c r="Q19" s="375"/>
      <c r="R19" s="388"/>
      <c r="S19" s="460">
        <f>IF(SUM(D19:P19)&gt;0,AVERAGE(D19:P19),"")</f>
        <v>10.42857143</v>
      </c>
      <c r="T19" s="460"/>
      <c r="U19" s="429">
        <v>12.0</v>
      </c>
      <c r="V19" s="386"/>
      <c r="W19" s="429">
        <v>13.0</v>
      </c>
      <c r="X19" s="390"/>
      <c r="Y19" s="429">
        <v>15.0</v>
      </c>
      <c r="Z19" s="390"/>
      <c r="AA19" s="429">
        <v>15.0</v>
      </c>
      <c r="AB19" s="390"/>
      <c r="AC19" s="429">
        <v>15.0</v>
      </c>
      <c r="AD19" s="290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85">
        <f>U19</f>
        <v>12</v>
      </c>
      <c r="AS19" s="1"/>
      <c r="AT19" s="85">
        <f>W19</f>
        <v>13</v>
      </c>
      <c r="AU19" s="1"/>
      <c r="AV19" s="85">
        <f>Y19</f>
        <v>15</v>
      </c>
      <c r="AW19" s="1"/>
      <c r="AX19" s="85">
        <f>AA19</f>
        <v>15</v>
      </c>
      <c r="AY19" s="1"/>
      <c r="AZ19" s="85">
        <f>AC19</f>
        <v>15</v>
      </c>
      <c r="BA19" s="1"/>
      <c r="BB19" s="1"/>
      <c r="BC19" s="1"/>
      <c r="BD19" s="1"/>
      <c r="BE19" s="1"/>
      <c r="BF19" s="1"/>
      <c r="BG19" s="1"/>
      <c r="BH19" s="1"/>
    </row>
    <row r="20" ht="18.0" customHeight="1">
      <c r="A20" s="1"/>
      <c r="B20" s="461" t="s">
        <v>271</v>
      </c>
      <c r="C20" s="462"/>
      <c r="D20" s="464">
        <f>IF(SUM(D9:D19)&gt;0,D9+D11+D13+D15+D17+D19,"")</f>
        <v>1842</v>
      </c>
      <c r="E20" s="386"/>
      <c r="F20" s="464">
        <f>IF(SUM(F9:F19)&gt;0,F9+F11+F13+F15+F17+F19,"")</f>
        <v>1788</v>
      </c>
      <c r="G20" s="386"/>
      <c r="H20" s="464">
        <f>IF(SUM(H9:H19)&gt;0,H9+H11+H13+H15+H17+H19,"")</f>
        <v>1728</v>
      </c>
      <c r="I20" s="386"/>
      <c r="J20" s="464">
        <f>IF(SUM(J9:J19)&gt;0,J9+J11+J13+J15+J17+J19,"")</f>
        <v>1672</v>
      </c>
      <c r="K20" s="386"/>
      <c r="L20" s="464">
        <f>IF(SUM(L9:L19)&gt;0,L9+L11+L13+L15+L17+L19,"")</f>
        <v>1733</v>
      </c>
      <c r="M20" s="386"/>
      <c r="N20" s="464">
        <f>IF(SUM(N9:N19)&gt;0,N9+N11+N13+N15+N17+N19,"")</f>
        <v>1846</v>
      </c>
      <c r="O20" s="464"/>
      <c r="P20" s="464">
        <f>IF(SUM(P9:P19)&gt;0,P9+P11+P13+P15+P17+P19,"")</f>
        <v>1988</v>
      </c>
      <c r="Q20" s="375"/>
      <c r="R20" s="465"/>
      <c r="S20" s="460">
        <f>AVERAGE(D20:P20)</f>
        <v>1799.571429</v>
      </c>
      <c r="T20" s="460"/>
      <c r="U20" s="466">
        <f>U9+U11+U13+U15+U17+U19</f>
        <v>2133</v>
      </c>
      <c r="V20" s="466"/>
      <c r="W20" s="466">
        <f>W9+W11+W13+W15+W17+W19</f>
        <v>2166</v>
      </c>
      <c r="X20" s="466"/>
      <c r="Y20" s="466">
        <f>Y9+Y11+Y13+Y15+Y17+Y19</f>
        <v>2238</v>
      </c>
      <c r="Z20" s="466"/>
      <c r="AA20" s="466">
        <f>AA9+AA11+AA13+AA15+AA17+AA19</f>
        <v>2256</v>
      </c>
      <c r="AB20" s="466"/>
      <c r="AC20" s="466">
        <f>AC9+AC11+AC13+AC15+AC17+AC19</f>
        <v>2258</v>
      </c>
      <c r="AD20" s="290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85">
        <f>SUM(AR9:AR19)</f>
        <v>2123</v>
      </c>
      <c r="AS20" s="1"/>
      <c r="AT20" s="85">
        <f>SUM(AT9:AT19)</f>
        <v>2124</v>
      </c>
      <c r="AU20" s="1"/>
      <c r="AV20" s="85">
        <f>SUM(AV9:AV19)</f>
        <v>2198</v>
      </c>
      <c r="AW20" s="1"/>
      <c r="AX20" s="85">
        <f>SUM(AX9:AX19)</f>
        <v>2216</v>
      </c>
      <c r="AY20" s="1"/>
      <c r="AZ20" s="85">
        <f>SUM(AZ9:AZ19)</f>
        <v>2218</v>
      </c>
      <c r="BA20" s="1"/>
      <c r="BB20" s="1"/>
      <c r="BC20" s="1"/>
      <c r="BD20" s="1"/>
      <c r="BE20" s="1"/>
      <c r="BF20" s="1"/>
      <c r="BG20" s="1"/>
      <c r="BH20" s="1"/>
    </row>
    <row r="21" ht="4.5" customHeight="1">
      <c r="A21" s="1"/>
      <c r="B21" s="467"/>
      <c r="C21" s="1"/>
      <c r="D21" s="468"/>
      <c r="E21" s="468"/>
      <c r="F21" s="468"/>
      <c r="G21" s="468"/>
      <c r="H21" s="468"/>
      <c r="I21" s="468"/>
      <c r="J21" s="469"/>
      <c r="K21" s="468"/>
      <c r="L21" s="468"/>
      <c r="M21" s="468"/>
      <c r="N21" s="468"/>
      <c r="O21" s="468"/>
      <c r="P21" s="468"/>
      <c r="Q21" s="468"/>
      <c r="R21" s="375"/>
      <c r="S21" s="415"/>
      <c r="T21" s="415"/>
      <c r="U21" s="470"/>
      <c r="V21" s="470"/>
      <c r="W21" s="471"/>
      <c r="X21" s="471"/>
      <c r="Y21" s="471"/>
      <c r="Z21" s="471"/>
      <c r="AA21" s="471"/>
      <c r="AB21" s="471"/>
      <c r="AC21" s="471"/>
      <c r="AD21" s="290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</row>
    <row r="22" ht="13.5" customHeight="1">
      <c r="A22" s="1"/>
      <c r="B22" s="472"/>
      <c r="C22" s="1"/>
      <c r="D22" s="468"/>
      <c r="E22" s="468"/>
      <c r="F22" s="468"/>
      <c r="G22" s="468"/>
      <c r="H22" s="468"/>
      <c r="I22" s="468"/>
      <c r="J22" s="469"/>
      <c r="K22" s="468"/>
      <c r="L22" s="468"/>
      <c r="M22" s="468"/>
      <c r="N22" s="468"/>
      <c r="O22" s="468"/>
      <c r="P22" s="468"/>
      <c r="Q22" s="375"/>
      <c r="R22" s="375"/>
      <c r="S22" s="474" t="s">
        <v>253</v>
      </c>
      <c r="T22" s="21"/>
      <c r="U22" s="475">
        <f>J95</f>
        <v>34</v>
      </c>
      <c r="V22" s="475"/>
      <c r="W22" s="475">
        <f>J96</f>
        <v>34.03571429</v>
      </c>
      <c r="X22" s="475"/>
      <c r="Y22" s="475">
        <f>J97</f>
        <v>34.07142857</v>
      </c>
      <c r="Z22" s="475"/>
      <c r="AA22" s="475">
        <f>J98</f>
        <v>34.10714286</v>
      </c>
      <c r="AB22" s="475"/>
      <c r="AC22" s="475">
        <f>J99</f>
        <v>34.14285714</v>
      </c>
      <c r="AD22" s="290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478">
        <f>ROUND(U23-AR23,0)</f>
        <v>45</v>
      </c>
      <c r="AS22" s="478"/>
      <c r="AT22" s="478">
        <f>ROUND(W23-AT23,0)</f>
        <v>45</v>
      </c>
      <c r="AU22" s="478"/>
      <c r="AV22" s="478">
        <f>ROUND(Y23-AV23,0)</f>
        <v>45</v>
      </c>
      <c r="AW22" s="478"/>
      <c r="AX22" s="478">
        <f>ROUND(AA23-AX23,0)</f>
        <v>45</v>
      </c>
      <c r="AY22" s="478"/>
      <c r="AZ22" s="478">
        <f>ROUND(AC23-AZ23,0)</f>
        <v>45</v>
      </c>
      <c r="BA22" s="1"/>
      <c r="BB22" s="1"/>
      <c r="BC22" s="1"/>
      <c r="BD22" s="1"/>
      <c r="BE22" s="1"/>
      <c r="BF22" s="1"/>
      <c r="BG22" s="1"/>
      <c r="BH22" s="1"/>
    </row>
    <row r="23" ht="14.25" customHeight="1">
      <c r="A23" s="1"/>
      <c r="B23" s="427" t="s">
        <v>274</v>
      </c>
      <c r="C23" s="199"/>
      <c r="D23" s="482">
        <v>37.0</v>
      </c>
      <c r="E23" s="483"/>
      <c r="F23" s="482">
        <v>36.0</v>
      </c>
      <c r="G23" s="483"/>
      <c r="H23" s="482">
        <v>34.0</v>
      </c>
      <c r="I23" s="483"/>
      <c r="J23" s="482">
        <v>32.0</v>
      </c>
      <c r="K23" s="484"/>
      <c r="L23" s="482">
        <v>28.0</v>
      </c>
      <c r="M23" s="484"/>
      <c r="N23" s="482">
        <v>20.0</v>
      </c>
      <c r="O23" s="484"/>
      <c r="P23" s="482">
        <v>50.0</v>
      </c>
      <c r="Q23" s="486"/>
      <c r="R23" s="487"/>
      <c r="S23" s="489">
        <f t="shared" ref="S23:S25" si="1">AVERAGE(D23:P23)</f>
        <v>33.85714286</v>
      </c>
      <c r="T23" s="489"/>
      <c r="U23" s="482">
        <v>45.0</v>
      </c>
      <c r="V23" s="483"/>
      <c r="W23" s="482">
        <v>45.0</v>
      </c>
      <c r="X23" s="484"/>
      <c r="Y23" s="482">
        <v>45.0</v>
      </c>
      <c r="Z23" s="484"/>
      <c r="AA23" s="482">
        <v>45.0</v>
      </c>
      <c r="AB23" s="484"/>
      <c r="AC23" s="482">
        <v>45.0</v>
      </c>
      <c r="AD23" s="290"/>
      <c r="AE23" s="442"/>
      <c r="AF23" s="442"/>
      <c r="AG23" s="442"/>
      <c r="AH23" s="442"/>
      <c r="AI23" s="442"/>
      <c r="AJ23" s="442"/>
      <c r="AK23" s="442"/>
      <c r="AL23" s="442"/>
      <c r="AM23" s="442"/>
      <c r="AN23" s="442"/>
      <c r="AO23" s="442"/>
      <c r="AP23" s="442"/>
      <c r="AQ23" s="442"/>
      <c r="AR23" s="490">
        <f>SUM(AR11:AR17)*AR24</f>
        <v>0</v>
      </c>
      <c r="AS23" s="1"/>
      <c r="AT23" s="490">
        <f>SUM(AT11:AT17)*AT24</f>
        <v>0</v>
      </c>
      <c r="AU23" s="1"/>
      <c r="AV23" s="490">
        <f>SUM(AV11:AV17)*AV24</f>
        <v>0</v>
      </c>
      <c r="AW23" s="1"/>
      <c r="AX23" s="490">
        <f>SUM(AX11:AX17)*AX24</f>
        <v>0</v>
      </c>
      <c r="AY23" s="1"/>
      <c r="AZ23" s="490">
        <f>SUM(AZ11:AZ17)*AZ24</f>
        <v>0</v>
      </c>
      <c r="BA23" s="1"/>
      <c r="BB23" s="1"/>
      <c r="BC23" s="1"/>
      <c r="BD23" s="1"/>
      <c r="BE23" s="1"/>
      <c r="BF23" s="1"/>
      <c r="BG23" s="1"/>
      <c r="BH23" s="1"/>
    </row>
    <row r="24" ht="17.25" customHeight="1">
      <c r="A24" s="1"/>
      <c r="B24" s="427" t="s">
        <v>279</v>
      </c>
      <c r="C24" s="199"/>
      <c r="D24" s="494">
        <f>D9+D23</f>
        <v>567</v>
      </c>
      <c r="E24" s="494"/>
      <c r="F24" s="494">
        <f>F9+F23</f>
        <v>526</v>
      </c>
      <c r="G24" s="495"/>
      <c r="H24" s="494">
        <f>H9+H23</f>
        <v>447</v>
      </c>
      <c r="I24" s="494"/>
      <c r="J24" s="494">
        <f>J9+J23</f>
        <v>428</v>
      </c>
      <c r="K24" s="494"/>
      <c r="L24" s="494">
        <f>L9+L23</f>
        <v>545</v>
      </c>
      <c r="M24" s="494"/>
      <c r="N24" s="494">
        <f>N9+N23</f>
        <v>579</v>
      </c>
      <c r="O24" s="494"/>
      <c r="P24" s="494">
        <f>P9+P23</f>
        <v>625</v>
      </c>
      <c r="Q24" s="499"/>
      <c r="R24" s="1"/>
      <c r="S24" s="389">
        <f t="shared" si="1"/>
        <v>531</v>
      </c>
      <c r="T24" s="500">
        <f>S24/S20</f>
        <v>0.2950702548</v>
      </c>
      <c r="U24" s="502">
        <f>U9+U23</f>
        <v>625</v>
      </c>
      <c r="V24" s="504"/>
      <c r="W24" s="502">
        <f>W9+W23</f>
        <v>625</v>
      </c>
      <c r="X24" s="504"/>
      <c r="Y24" s="502">
        <f>Y9+Y23</f>
        <v>625</v>
      </c>
      <c r="Z24" s="504"/>
      <c r="AA24" s="502">
        <f>AA9+AA23</f>
        <v>625</v>
      </c>
      <c r="AB24" s="504"/>
      <c r="AC24" s="502">
        <f>AC9+AC23</f>
        <v>625</v>
      </c>
      <c r="AD24" s="290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505" t="str">
        <f>$S110</f>
        <v/>
      </c>
      <c r="AS24" s="1"/>
      <c r="AT24" s="505" t="str">
        <f>$S110</f>
        <v/>
      </c>
      <c r="AU24" s="1"/>
      <c r="AV24" s="505" t="str">
        <f>$S110</f>
        <v/>
      </c>
      <c r="AW24" s="1"/>
      <c r="AX24" s="505" t="str">
        <f>$S110</f>
        <v/>
      </c>
      <c r="AY24" s="1"/>
      <c r="AZ24" s="505" t="str">
        <f>$S110</f>
        <v/>
      </c>
      <c r="BA24" s="1"/>
      <c r="BB24" s="1"/>
      <c r="BC24" s="1"/>
      <c r="BD24" s="1"/>
      <c r="BE24" s="1"/>
      <c r="BF24" s="1"/>
      <c r="BG24" s="1"/>
      <c r="BH24" s="1"/>
    </row>
    <row r="25" ht="18.0" customHeight="1">
      <c r="A25" s="1"/>
      <c r="B25" s="427" t="s">
        <v>290</v>
      </c>
      <c r="C25" s="199"/>
      <c r="D25" s="494">
        <f>IF(D20&lt;&gt;"",D20-D24,"")</f>
        <v>1275</v>
      </c>
      <c r="E25" s="494"/>
      <c r="F25" s="508">
        <f>IF(F20&lt;&gt;"",F20-F24,"")</f>
        <v>1262</v>
      </c>
      <c r="G25" s="509"/>
      <c r="H25" s="508">
        <f>IF(H20&lt;&gt;"",H20-H24,"")</f>
        <v>1281</v>
      </c>
      <c r="I25" s="508"/>
      <c r="J25" s="508">
        <f>IF(J20&lt;&gt;"",J20-J24,"")</f>
        <v>1244</v>
      </c>
      <c r="K25" s="508"/>
      <c r="L25" s="508">
        <f>IF(L20&lt;&gt;"",L20-L24,"")</f>
        <v>1188</v>
      </c>
      <c r="M25" s="508"/>
      <c r="N25" s="508">
        <f>IF(N20&lt;&gt;"",N20-N24,"")</f>
        <v>1267</v>
      </c>
      <c r="O25" s="508"/>
      <c r="P25" s="508">
        <f>IF(P20&lt;&gt;"",P20-P24,"")</f>
        <v>1363</v>
      </c>
      <c r="Q25" s="499"/>
      <c r="R25" s="1"/>
      <c r="S25" s="389">
        <f t="shared" si="1"/>
        <v>1268.571429</v>
      </c>
      <c r="T25" s="500">
        <f>S25/S20</f>
        <v>0.7049297452</v>
      </c>
      <c r="U25" s="502">
        <f>U20-U24</f>
        <v>1508</v>
      </c>
      <c r="V25" s="504"/>
      <c r="W25" s="502">
        <f>W20-W24</f>
        <v>1541</v>
      </c>
      <c r="X25" s="504"/>
      <c r="Y25" s="502">
        <f>Y20-Y24</f>
        <v>1613</v>
      </c>
      <c r="Z25" s="504"/>
      <c r="AA25" s="502">
        <f>AA20-AA24</f>
        <v>1631</v>
      </c>
      <c r="AB25" s="504"/>
      <c r="AC25" s="502">
        <f>AC20-AC24</f>
        <v>1633</v>
      </c>
      <c r="AD25" s="290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</row>
    <row r="26" ht="16.5" customHeight="1">
      <c r="A26" s="1"/>
      <c r="B26" s="427" t="s">
        <v>295</v>
      </c>
      <c r="C26" s="199"/>
      <c r="D26" s="499"/>
      <c r="E26" s="499"/>
      <c r="F26" s="499">
        <f>D41-D43</f>
        <v>1391</v>
      </c>
      <c r="G26" s="517"/>
      <c r="H26" s="499">
        <f>F41-F43</f>
        <v>1391</v>
      </c>
      <c r="I26" s="499"/>
      <c r="J26" s="499">
        <f>H41-H43</f>
        <v>1342</v>
      </c>
      <c r="K26" s="499"/>
      <c r="L26" s="499">
        <f>J41-J43</f>
        <v>1281</v>
      </c>
      <c r="M26" s="499"/>
      <c r="N26" s="499">
        <f>L41-L43</f>
        <v>1344</v>
      </c>
      <c r="O26" s="499"/>
      <c r="P26" s="499">
        <f>IF(P25&gt;0,N41-N43,0)</f>
        <v>1449</v>
      </c>
      <c r="Q26" s="499"/>
      <c r="R26" s="1"/>
      <c r="S26" s="389">
        <f>AVERAGE(F26:P26)</f>
        <v>1366.333333</v>
      </c>
      <c r="T26" s="500">
        <f>AVERAGE(F27:P27)</f>
        <v>0.9276522257</v>
      </c>
      <c r="U26" s="518"/>
      <c r="V26" s="519"/>
      <c r="W26" s="518"/>
      <c r="X26" s="519"/>
      <c r="Y26" s="518"/>
      <c r="Z26" s="519"/>
      <c r="AA26" s="518"/>
      <c r="AB26" s="519"/>
      <c r="AC26" s="518"/>
      <c r="AD26" s="290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</row>
    <row r="27" ht="15.75" customHeight="1">
      <c r="A27" s="1"/>
      <c r="B27" s="520" t="s">
        <v>297</v>
      </c>
      <c r="C27" s="199"/>
      <c r="D27" s="499"/>
      <c r="E27" s="499"/>
      <c r="F27" s="522">
        <f>F25/F26</f>
        <v>0.9072609633</v>
      </c>
      <c r="G27" s="517"/>
      <c r="H27" s="522">
        <f>H25/H26</f>
        <v>0.9209202013</v>
      </c>
      <c r="I27" s="499"/>
      <c r="J27" s="522">
        <f>J25/J26</f>
        <v>0.9269746647</v>
      </c>
      <c r="K27" s="499"/>
      <c r="L27" s="522">
        <f>L25/L26</f>
        <v>0.9274004684</v>
      </c>
      <c r="M27" s="499"/>
      <c r="N27" s="522">
        <f>N25/N26</f>
        <v>0.9427083333</v>
      </c>
      <c r="O27" s="499"/>
      <c r="P27" s="522">
        <f>P25/P26</f>
        <v>0.9406487233</v>
      </c>
      <c r="Q27" s="499"/>
      <c r="R27" s="1"/>
      <c r="S27" s="415"/>
      <c r="T27" s="415"/>
      <c r="U27" s="518"/>
      <c r="V27" s="519"/>
      <c r="W27" s="518"/>
      <c r="X27" s="519"/>
      <c r="Y27" s="518"/>
      <c r="Z27" s="519"/>
      <c r="AA27" s="518"/>
      <c r="AB27" s="519"/>
      <c r="AC27" s="518"/>
      <c r="AD27" s="290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</row>
    <row r="28" ht="16.5" customHeight="1">
      <c r="A28" s="1"/>
      <c r="B28" s="524" t="s">
        <v>299</v>
      </c>
      <c r="C28" s="525"/>
      <c r="D28" s="526"/>
      <c r="E28" s="526"/>
      <c r="F28" s="526"/>
      <c r="G28" s="527"/>
      <c r="H28" s="526"/>
      <c r="I28" s="526"/>
      <c r="J28" s="526"/>
      <c r="K28" s="526"/>
      <c r="L28" s="526"/>
      <c r="M28" s="526"/>
      <c r="N28" s="528">
        <f>'P Fcast 5yr'!E9/1000</f>
        <v>25539.45</v>
      </c>
      <c r="O28" s="529"/>
      <c r="P28" s="530">
        <f>'P Fcast 5yr'!G9/1000</f>
        <v>29890.79307</v>
      </c>
      <c r="Q28" s="526"/>
      <c r="R28" s="375"/>
      <c r="S28" s="531"/>
      <c r="T28" s="531"/>
      <c r="U28" s="530">
        <f>'P Fcast 5yr'!I9/1000</f>
        <v>29977.98136</v>
      </c>
      <c r="V28" s="530"/>
      <c r="W28" s="530">
        <f>'P Fcast 5yr'!K9/1000</f>
        <v>29976.79095</v>
      </c>
      <c r="X28" s="530"/>
      <c r="Y28" s="530">
        <f>'P Fcast 5yr'!M9/1000</f>
        <v>31442.32376</v>
      </c>
      <c r="Z28" s="532"/>
      <c r="AA28" s="530">
        <f>'P Fcast 5yr'!O9/1000</f>
        <v>31729.21781</v>
      </c>
      <c r="AB28" s="471"/>
      <c r="AC28" s="530">
        <f>'P Fcast 5yr'!Q9/1000</f>
        <v>32021.07909</v>
      </c>
      <c r="AD28" s="533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</row>
    <row r="29" ht="15.0" customHeight="1">
      <c r="A29" s="1"/>
      <c r="B29" s="409" t="s">
        <v>301</v>
      </c>
      <c r="C29" s="534"/>
      <c r="D29" s="535"/>
      <c r="E29" s="411"/>
      <c r="F29" s="535"/>
      <c r="G29" s="411"/>
      <c r="H29" s="535"/>
      <c r="I29" s="411"/>
      <c r="J29" s="535"/>
      <c r="K29" s="411"/>
      <c r="L29" s="535"/>
      <c r="M29" s="411"/>
      <c r="N29" s="535"/>
      <c r="O29" s="535"/>
      <c r="P29" s="536" t="s">
        <v>302</v>
      </c>
      <c r="Q29" s="537"/>
      <c r="R29" s="538"/>
      <c r="S29" s="539"/>
      <c r="T29" s="539"/>
      <c r="U29" s="540"/>
      <c r="V29" s="540"/>
      <c r="W29" s="540"/>
      <c r="X29" s="540"/>
      <c r="Y29" s="540"/>
      <c r="Z29" s="540"/>
      <c r="AA29" s="540"/>
      <c r="AB29" s="540"/>
      <c r="AC29" s="540"/>
      <c r="AD29" s="416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</row>
    <row r="30" ht="12.0" customHeight="1">
      <c r="A30" s="1"/>
      <c r="B30" s="417"/>
      <c r="C30" s="23"/>
      <c r="D30" s="541"/>
      <c r="E30" s="386"/>
      <c r="F30" s="541"/>
      <c r="G30" s="386"/>
      <c r="H30" s="542"/>
      <c r="I30" s="386"/>
      <c r="J30" s="280"/>
      <c r="K30" s="386"/>
      <c r="L30" s="543"/>
      <c r="M30" s="386"/>
      <c r="N30" s="1"/>
      <c r="O30" s="1"/>
      <c r="P30" s="544" t="s">
        <v>303</v>
      </c>
      <c r="Q30" s="546"/>
      <c r="R30" s="547" t="s">
        <v>304</v>
      </c>
      <c r="S30" s="549" t="s">
        <v>305</v>
      </c>
      <c r="T30" s="389"/>
      <c r="U30" s="452"/>
      <c r="V30" s="452"/>
      <c r="W30" s="452"/>
      <c r="X30" s="452"/>
      <c r="Y30" s="452"/>
      <c r="Z30" s="452"/>
      <c r="AA30" s="452"/>
      <c r="AB30" s="452"/>
      <c r="AC30" s="452"/>
      <c r="AD30" s="290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</row>
    <row r="31" ht="14.25" customHeight="1">
      <c r="A31" s="1"/>
      <c r="B31" s="427" t="s">
        <v>306</v>
      </c>
      <c r="C31" s="199"/>
      <c r="D31" s="429">
        <v>364.0</v>
      </c>
      <c r="E31" s="386"/>
      <c r="F31" s="429">
        <v>340.0</v>
      </c>
      <c r="G31" s="386"/>
      <c r="H31" s="429">
        <v>273.0</v>
      </c>
      <c r="I31" s="386"/>
      <c r="J31" s="429">
        <v>279.0</v>
      </c>
      <c r="K31" s="386"/>
      <c r="L31" s="429">
        <v>317.0</v>
      </c>
      <c r="M31" s="386"/>
      <c r="N31" s="429">
        <v>318.0</v>
      </c>
      <c r="O31" s="384"/>
      <c r="P31" s="550">
        <f>IF(R31&gt;0,0,ROUND((P9+P11)*S55/100,0))</f>
        <v>367</v>
      </c>
      <c r="Q31" s="551"/>
      <c r="R31" s="429"/>
      <c r="S31" s="389">
        <f>AVERAGE(D31:N31)</f>
        <v>315.1666667</v>
      </c>
      <c r="T31" s="389"/>
      <c r="U31" s="425">
        <f>ROUND((U9+U11)*$S55/100,0)</f>
        <v>377</v>
      </c>
      <c r="V31" s="425"/>
      <c r="W31" s="425">
        <f>ROUND((W9+W11)*$S55/100,0)</f>
        <v>378</v>
      </c>
      <c r="X31" s="425"/>
      <c r="Y31" s="425">
        <f>ROUND((Y9+Y11)*$S55/100,0)</f>
        <v>378</v>
      </c>
      <c r="Z31" s="425"/>
      <c r="AA31" s="425">
        <f>ROUND((AA9+AA11)*$S55/100,0)</f>
        <v>378</v>
      </c>
      <c r="AB31" s="425"/>
      <c r="AC31" s="425">
        <f>ROUND((AC9+AC11)*$S55/100,0)</f>
        <v>378</v>
      </c>
      <c r="AD31" s="290"/>
      <c r="AE31" s="1"/>
      <c r="AF31" s="429">
        <v>359.0</v>
      </c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295">
        <f>IF(R31&lt;&gt;"",R31,P31)</f>
        <v>367</v>
      </c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</row>
    <row r="32" ht="5.25" customHeight="1">
      <c r="A32" s="1"/>
      <c r="B32" s="427"/>
      <c r="C32" s="199"/>
      <c r="D32" s="384"/>
      <c r="E32" s="386"/>
      <c r="F32" s="384"/>
      <c r="G32" s="386"/>
      <c r="H32" s="384"/>
      <c r="I32" s="386"/>
      <c r="J32" s="384"/>
      <c r="K32" s="386"/>
      <c r="L32" s="384"/>
      <c r="M32" s="386"/>
      <c r="N32" s="384"/>
      <c r="O32" s="384"/>
      <c r="P32" s="550"/>
      <c r="Q32" s="551"/>
      <c r="R32" s="384"/>
      <c r="S32" s="389"/>
      <c r="T32" s="389"/>
      <c r="U32" s="452"/>
      <c r="V32" s="452"/>
      <c r="W32" s="452"/>
      <c r="X32" s="452"/>
      <c r="Y32" s="452"/>
      <c r="Z32" s="452"/>
      <c r="AA32" s="452"/>
      <c r="AB32" s="452"/>
      <c r="AC32" s="452"/>
      <c r="AD32" s="290"/>
      <c r="AE32" s="1"/>
      <c r="AF32" s="384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</row>
    <row r="33" ht="14.25" customHeight="1">
      <c r="A33" s="1"/>
      <c r="B33" s="427" t="str">
        <f>B13</f>
        <v>Sophomores</v>
      </c>
      <c r="C33" s="199"/>
      <c r="D33" s="429">
        <v>367.0</v>
      </c>
      <c r="E33" s="386"/>
      <c r="F33" s="429">
        <v>416.0</v>
      </c>
      <c r="G33" s="386"/>
      <c r="H33" s="429">
        <v>377.0</v>
      </c>
      <c r="I33" s="386"/>
      <c r="J33" s="429">
        <v>402.0</v>
      </c>
      <c r="K33" s="386"/>
      <c r="L33" s="429">
        <v>392.0</v>
      </c>
      <c r="M33" s="386"/>
      <c r="N33" s="429">
        <v>464.0</v>
      </c>
      <c r="O33" s="384"/>
      <c r="P33" s="550">
        <f>IF(R33&gt;0,0,ROUND(P13*S56/100,0))</f>
        <v>440</v>
      </c>
      <c r="Q33" s="551"/>
      <c r="R33" s="429"/>
      <c r="S33" s="389">
        <f>AVERAGE(D33:N33)</f>
        <v>403</v>
      </c>
      <c r="T33" s="389"/>
      <c r="U33" s="425">
        <f>ROUND(U13*$S56/100,0)</f>
        <v>487</v>
      </c>
      <c r="V33" s="425"/>
      <c r="W33" s="425">
        <f>ROUND(W13*$S56/100,0)</f>
        <v>501</v>
      </c>
      <c r="X33" s="425"/>
      <c r="Y33" s="425">
        <f>ROUND(Y13*$S56/100,0)</f>
        <v>503</v>
      </c>
      <c r="Z33" s="425"/>
      <c r="AA33" s="425">
        <f>ROUND(AA13*$S56/100,0)</f>
        <v>503</v>
      </c>
      <c r="AB33" s="425"/>
      <c r="AC33" s="425">
        <f>ROUND(AC13*$S56/100,0)</f>
        <v>503</v>
      </c>
      <c r="AD33" s="290"/>
      <c r="AE33" s="1"/>
      <c r="AF33" s="429">
        <v>442.0</v>
      </c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295">
        <f>IF(R33&lt;&gt;"",R33,P33)</f>
        <v>440</v>
      </c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</row>
    <row r="34" ht="5.25" customHeight="1">
      <c r="A34" s="1"/>
      <c r="B34" s="427"/>
      <c r="C34" s="199"/>
      <c r="D34" s="384"/>
      <c r="E34" s="386"/>
      <c r="F34" s="384"/>
      <c r="G34" s="386"/>
      <c r="H34" s="384"/>
      <c r="I34" s="386"/>
      <c r="J34" s="384"/>
      <c r="K34" s="386"/>
      <c r="L34" s="384"/>
      <c r="M34" s="386"/>
      <c r="N34" s="384"/>
      <c r="O34" s="384"/>
      <c r="P34" s="557"/>
      <c r="Q34" s="559"/>
      <c r="R34" s="384"/>
      <c r="S34" s="389"/>
      <c r="T34" s="389"/>
      <c r="U34" s="452"/>
      <c r="V34" s="452"/>
      <c r="W34" s="452"/>
      <c r="X34" s="452"/>
      <c r="Y34" s="452"/>
      <c r="Z34" s="452"/>
      <c r="AA34" s="452"/>
      <c r="AB34" s="452"/>
      <c r="AC34" s="452"/>
      <c r="AD34" s="290"/>
      <c r="AE34" s="1"/>
      <c r="AF34" s="384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</row>
    <row r="35" ht="14.25" customHeight="1">
      <c r="A35" s="1"/>
      <c r="B35" s="427" t="str">
        <f>B15</f>
        <v>Juniors</v>
      </c>
      <c r="C35" s="199"/>
      <c r="D35" s="429">
        <v>407.0</v>
      </c>
      <c r="E35" s="386"/>
      <c r="F35" s="429">
        <v>392.0</v>
      </c>
      <c r="G35" s="386"/>
      <c r="H35" s="429">
        <v>429.0</v>
      </c>
      <c r="I35" s="386"/>
      <c r="J35" s="429">
        <v>347.0</v>
      </c>
      <c r="K35" s="386"/>
      <c r="L35" s="429">
        <v>394.0</v>
      </c>
      <c r="M35" s="386"/>
      <c r="N35" s="429">
        <v>434.0</v>
      </c>
      <c r="O35" s="384"/>
      <c r="P35" s="550">
        <f>IF(R35&gt;0,0,ROUND(P15*S57/100,0))</f>
        <v>515</v>
      </c>
      <c r="Q35" s="375"/>
      <c r="R35" s="429"/>
      <c r="S35" s="389">
        <f>AVERAGE(D35:N35)</f>
        <v>400.5</v>
      </c>
      <c r="T35" s="389"/>
      <c r="U35" s="425">
        <f>ROUND(U15*$S57/100,0)</f>
        <v>461</v>
      </c>
      <c r="V35" s="425"/>
      <c r="W35" s="425">
        <f>ROUND(W15*$S57/100,0)</f>
        <v>510</v>
      </c>
      <c r="X35" s="425"/>
      <c r="Y35" s="425">
        <f>ROUND(Y15*$S57/100,0)</f>
        <v>524</v>
      </c>
      <c r="Z35" s="425"/>
      <c r="AA35" s="425">
        <f>ROUND(AA15*$S57/100,0)</f>
        <v>526</v>
      </c>
      <c r="AB35" s="425"/>
      <c r="AC35" s="425">
        <f>ROUND(AC15*$S57/100,0)</f>
        <v>526</v>
      </c>
      <c r="AD35" s="290"/>
      <c r="AE35" s="1"/>
      <c r="AF35" s="429">
        <v>519.0</v>
      </c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295">
        <f>IF(R35&lt;&gt;"",R35,P35)</f>
        <v>515</v>
      </c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</row>
    <row r="36" ht="5.25" customHeight="1">
      <c r="A36" s="1"/>
      <c r="B36" s="427"/>
      <c r="C36" s="199"/>
      <c r="D36" s="384"/>
      <c r="E36" s="386"/>
      <c r="F36" s="384"/>
      <c r="G36" s="386"/>
      <c r="H36" s="384"/>
      <c r="I36" s="386"/>
      <c r="J36" s="384"/>
      <c r="K36" s="386"/>
      <c r="L36" s="384"/>
      <c r="M36" s="386"/>
      <c r="N36" s="384"/>
      <c r="O36" s="384"/>
      <c r="P36" s="557"/>
      <c r="Q36" s="375"/>
      <c r="R36" s="384"/>
      <c r="S36" s="389"/>
      <c r="T36" s="389"/>
      <c r="U36" s="452"/>
      <c r="V36" s="452"/>
      <c r="W36" s="452"/>
      <c r="X36" s="452"/>
      <c r="Y36" s="452"/>
      <c r="Z36" s="452"/>
      <c r="AA36" s="452"/>
      <c r="AB36" s="452"/>
      <c r="AC36" s="452"/>
      <c r="AD36" s="290"/>
      <c r="AE36" s="1"/>
      <c r="AF36" s="384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</row>
    <row r="37" ht="14.25" customHeight="1">
      <c r="A37" s="1"/>
      <c r="B37" s="427" t="str">
        <f>B17</f>
        <v>Seniors</v>
      </c>
      <c r="C37" s="199"/>
      <c r="D37" s="429">
        <v>629.0</v>
      </c>
      <c r="E37" s="386"/>
      <c r="F37" s="429">
        <v>579.0</v>
      </c>
      <c r="G37" s="386"/>
      <c r="H37" s="429">
        <v>590.0</v>
      </c>
      <c r="I37" s="386"/>
      <c r="J37" s="429">
        <v>607.0</v>
      </c>
      <c r="K37" s="386"/>
      <c r="L37" s="429">
        <v>575.0</v>
      </c>
      <c r="M37" s="386"/>
      <c r="N37" s="429">
        <v>557.0</v>
      </c>
      <c r="O37" s="384"/>
      <c r="P37" s="550">
        <f>IF(R37&gt;0,0,ROUND(P17*S58/100,0))</f>
        <v>574</v>
      </c>
      <c r="Q37" s="375"/>
      <c r="R37" s="429"/>
      <c r="S37" s="389">
        <f>AVERAGE(D37:N37)</f>
        <v>589.5</v>
      </c>
      <c r="T37" s="389"/>
      <c r="U37" s="425">
        <f>ROUND(U17*$S58/100,0)</f>
        <v>755</v>
      </c>
      <c r="V37" s="425"/>
      <c r="W37" s="425">
        <f>ROUND(W17*$S58/100,0)</f>
        <v>714</v>
      </c>
      <c r="X37" s="425"/>
      <c r="Y37" s="425">
        <f>ROUND(Y17*$S58/100,0)</f>
        <v>786</v>
      </c>
      <c r="Z37" s="425"/>
      <c r="AA37" s="425">
        <f>ROUND(AA17*$S58/100,0)</f>
        <v>807</v>
      </c>
      <c r="AB37" s="425"/>
      <c r="AC37" s="425">
        <f>ROUND(AC17*$S58/100,0)</f>
        <v>809</v>
      </c>
      <c r="AD37" s="290"/>
      <c r="AE37" s="1"/>
      <c r="AF37" s="429">
        <v>569.0</v>
      </c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295">
        <f>IF(R37&lt;&gt;"",R37,P37)</f>
        <v>574</v>
      </c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</row>
    <row r="38" ht="5.25" customHeight="1">
      <c r="A38" s="1"/>
      <c r="B38" s="427"/>
      <c r="C38" s="199"/>
      <c r="D38" s="384"/>
      <c r="E38" s="386"/>
      <c r="F38" s="384"/>
      <c r="G38" s="386"/>
      <c r="H38" s="384"/>
      <c r="I38" s="386"/>
      <c r="J38" s="384"/>
      <c r="K38" s="386"/>
      <c r="L38" s="384"/>
      <c r="M38" s="386"/>
      <c r="N38" s="384"/>
      <c r="O38" s="384"/>
      <c r="P38" s="559"/>
      <c r="Q38" s="375"/>
      <c r="R38" s="384"/>
      <c r="S38" s="389"/>
      <c r="T38" s="389"/>
      <c r="U38" s="452"/>
      <c r="V38" s="452"/>
      <c r="W38" s="452"/>
      <c r="X38" s="452"/>
      <c r="Y38" s="452"/>
      <c r="Z38" s="452"/>
      <c r="AA38" s="452"/>
      <c r="AB38" s="452"/>
      <c r="AC38" s="452"/>
      <c r="AD38" s="290"/>
      <c r="AE38" s="1"/>
      <c r="AF38" s="384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</row>
    <row r="39" ht="14.25" customHeight="1">
      <c r="A39" s="1"/>
      <c r="B39" s="458" t="str">
        <f>B19</f>
        <v>Others</v>
      </c>
      <c r="C39" s="459"/>
      <c r="D39" s="429">
        <v>7.0</v>
      </c>
      <c r="E39" s="386"/>
      <c r="F39" s="429">
        <v>5.0</v>
      </c>
      <c r="G39" s="386"/>
      <c r="H39" s="429">
        <v>11.0</v>
      </c>
      <c r="I39" s="386"/>
      <c r="J39" s="429">
        <v>8.0</v>
      </c>
      <c r="K39" s="386"/>
      <c r="L39" s="429">
        <v>12.0</v>
      </c>
      <c r="M39" s="386"/>
      <c r="N39" s="429">
        <v>11.0</v>
      </c>
      <c r="O39" s="384"/>
      <c r="P39" s="429">
        <v>15.0</v>
      </c>
      <c r="Q39" s="375"/>
      <c r="R39" s="429"/>
      <c r="S39" s="389">
        <f>IF(SUM(D39:N39)&gt;0,AVERAGE(D39:N39),"")</f>
        <v>9</v>
      </c>
      <c r="T39" s="389"/>
      <c r="U39" s="466">
        <f>ROUND(U19*$S59/100,0)</f>
        <v>11</v>
      </c>
      <c r="V39" s="466"/>
      <c r="W39" s="466">
        <f>ROUND(W19*$S59/100,0)</f>
        <v>12</v>
      </c>
      <c r="X39" s="466"/>
      <c r="Y39" s="466">
        <f>ROUND(Y19*$S59/100,0)</f>
        <v>14</v>
      </c>
      <c r="Z39" s="466"/>
      <c r="AA39" s="466">
        <f>ROUND(AA19*$S59/100,0)</f>
        <v>14</v>
      </c>
      <c r="AB39" s="466"/>
      <c r="AC39" s="466">
        <f>ROUND(AC19*$S59/100,0)</f>
        <v>14</v>
      </c>
      <c r="AD39" s="290"/>
      <c r="AE39" s="1"/>
      <c r="AF39" s="429">
        <v>14.0</v>
      </c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85">
        <f>IF(R39&lt;&gt;"",R39,P39)</f>
        <v>15</v>
      </c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</row>
    <row r="40" ht="5.25" customHeight="1">
      <c r="A40" s="1"/>
      <c r="B40" s="427"/>
      <c r="C40" s="199"/>
      <c r="D40" s="389"/>
      <c r="E40" s="390"/>
      <c r="F40" s="390"/>
      <c r="G40" s="390"/>
      <c r="H40" s="390"/>
      <c r="I40" s="390"/>
      <c r="J40" s="390"/>
      <c r="K40" s="390"/>
      <c r="L40" s="390"/>
      <c r="M40" s="390"/>
      <c r="N40" s="1"/>
      <c r="O40" s="1"/>
      <c r="P40" s="551"/>
      <c r="Q40" s="375"/>
      <c r="R40" s="577"/>
      <c r="S40" s="389"/>
      <c r="T40" s="389"/>
      <c r="U40" s="425"/>
      <c r="V40" s="425"/>
      <c r="W40" s="425"/>
      <c r="X40" s="425"/>
      <c r="Y40" s="425"/>
      <c r="Z40" s="425"/>
      <c r="AA40" s="425"/>
      <c r="AB40" s="425"/>
      <c r="AC40" s="425"/>
      <c r="AD40" s="290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</row>
    <row r="41" ht="14.25" customHeight="1">
      <c r="A41" s="1"/>
      <c r="B41" s="578" t="s">
        <v>331</v>
      </c>
      <c r="C41" s="580"/>
      <c r="D41" s="582">
        <f>IF(SUM(D31:D39)&gt;0,D31+D33+D35+D37+D39,"")</f>
        <v>1774</v>
      </c>
      <c r="E41" s="583"/>
      <c r="F41" s="582">
        <f>IF(SUM(F31:F39)&gt;0,F31+F33+F35+F37+F39,"")</f>
        <v>1732</v>
      </c>
      <c r="G41" s="583"/>
      <c r="H41" s="582">
        <f>IF(SUM(H31:H39)&gt;0,H31+H33+H35+H37+H39,"")</f>
        <v>1680</v>
      </c>
      <c r="I41" s="583"/>
      <c r="J41" s="582">
        <f>IF(SUM(J31:J39)&gt;0,J31+J33+J35+J37+J39,"")</f>
        <v>1643</v>
      </c>
      <c r="K41" s="583"/>
      <c r="L41" s="582">
        <f>IF(SUM(L31:L39)&gt;0,L31+L33+L35+L37+L39,"")</f>
        <v>1690</v>
      </c>
      <c r="M41" s="583"/>
      <c r="N41" s="582">
        <f>IF(SUM(N31:N39)&gt;0,N31+N33+N35+N37+N39,"")</f>
        <v>1784</v>
      </c>
      <c r="O41" s="582"/>
      <c r="P41" s="587">
        <f>IF(SUM(P31:P37)&gt;0,P31+P33+P35+P37+P39,"")</f>
        <v>1911</v>
      </c>
      <c r="Q41" s="375"/>
      <c r="R41" s="588" t="str">
        <f>IF(SUM(R31:R39)&gt;1,SUM(R31:R39),"")</f>
        <v/>
      </c>
      <c r="S41" s="389">
        <f>AVERAGE(D41:P41)</f>
        <v>1744.857143</v>
      </c>
      <c r="T41" s="389"/>
      <c r="U41" s="587">
        <f>U31+U33+U35+U37+U39</f>
        <v>2091</v>
      </c>
      <c r="V41" s="587"/>
      <c r="W41" s="587">
        <f>W31+W33+W35+W37+W39</f>
        <v>2115</v>
      </c>
      <c r="X41" s="587"/>
      <c r="Y41" s="587">
        <f>Y31+Y33+Y35+Y37+Y39</f>
        <v>2205</v>
      </c>
      <c r="Z41" s="587"/>
      <c r="AA41" s="587">
        <f>AA31+AA33+AA35+AA37+AA39</f>
        <v>2228</v>
      </c>
      <c r="AB41" s="587"/>
      <c r="AC41" s="587">
        <f>AC31+AC33+AC35+AC37+AC39</f>
        <v>2230</v>
      </c>
      <c r="AD41" s="290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295">
        <f>SUM(AR31:AR39)</f>
        <v>1911</v>
      </c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</row>
    <row r="42" ht="17.25" customHeight="1">
      <c r="A42" s="1"/>
      <c r="B42" s="594" t="s">
        <v>336</v>
      </c>
      <c r="C42" s="595"/>
      <c r="D42" s="596">
        <f>IF(D20&lt;&gt;"",D41/D20,"")</f>
        <v>0.9630836048</v>
      </c>
      <c r="E42" s="483"/>
      <c r="F42" s="596">
        <f>IF(F20&lt;&gt;"",F41/F20,"")</f>
        <v>0.9686800895</v>
      </c>
      <c r="G42" s="483"/>
      <c r="H42" s="596">
        <f>IF(H20&lt;&gt;"",H41/H20,"")</f>
        <v>0.9722222222</v>
      </c>
      <c r="I42" s="483"/>
      <c r="J42" s="596">
        <f>IF(J20&lt;&gt;"",J41/J20,"")</f>
        <v>0.9826555024</v>
      </c>
      <c r="K42" s="483"/>
      <c r="L42" s="596">
        <f>IF(L20&lt;&gt;"",L41/L20,"")</f>
        <v>0.9751875361</v>
      </c>
      <c r="M42" s="483"/>
      <c r="N42" s="596">
        <f>IF(N20&lt;&gt;"",N41/N20,"")</f>
        <v>0.9664138678</v>
      </c>
      <c r="O42" s="603"/>
      <c r="P42" s="605">
        <f>IF(R41="",P41/P20,"")</f>
        <v>0.9612676056</v>
      </c>
      <c r="Q42" s="606"/>
      <c r="R42" s="607" t="str">
        <f>IF(R41&lt;&gt;"",R41/P20,"")</f>
        <v/>
      </c>
      <c r="S42" s="608">
        <f>IF(S20&gt;0,S41/S20,"")</f>
        <v>0.9695959355</v>
      </c>
      <c r="T42" s="260"/>
      <c r="U42" s="605">
        <f>IF(U20&lt;&gt;"",U41/U20,"")</f>
        <v>0.9803094233</v>
      </c>
      <c r="V42" s="609"/>
      <c r="W42" s="605">
        <f>IF(W20&lt;&gt;"",W41/W20,"")</f>
        <v>0.9764542936</v>
      </c>
      <c r="X42" s="609"/>
      <c r="Y42" s="605">
        <f>IF(Y20&lt;&gt;"",Y41/Y20,"")</f>
        <v>0.9852546917</v>
      </c>
      <c r="Z42" s="609"/>
      <c r="AA42" s="605">
        <f>IF(AA20&lt;&gt;"",AA41/AA20,"")</f>
        <v>0.9875886525</v>
      </c>
      <c r="AB42" s="609"/>
      <c r="AC42" s="605">
        <f>IF(AC20&lt;&gt;"",AC41/AC20,"")</f>
        <v>0.9875996457</v>
      </c>
      <c r="AD42" s="290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</row>
    <row r="43" ht="15.75" customHeight="1">
      <c r="A43" s="1"/>
      <c r="B43" s="611" t="s">
        <v>340</v>
      </c>
      <c r="C43" s="595"/>
      <c r="D43" s="429">
        <v>383.0</v>
      </c>
      <c r="E43" s="612"/>
      <c r="F43" s="429">
        <v>341.0</v>
      </c>
      <c r="G43" s="612"/>
      <c r="H43" s="429">
        <v>338.0</v>
      </c>
      <c r="I43" s="612"/>
      <c r="J43" s="429">
        <v>362.0</v>
      </c>
      <c r="K43" s="612"/>
      <c r="L43" s="429">
        <v>346.0</v>
      </c>
      <c r="M43" s="612"/>
      <c r="N43" s="429">
        <v>335.0</v>
      </c>
      <c r="O43" s="613"/>
      <c r="P43" s="502">
        <f>ROUND(P37*S43,0)</f>
        <v>342</v>
      </c>
      <c r="Q43" s="613"/>
      <c r="R43" s="429"/>
      <c r="S43" s="615">
        <f>((D43/D37)+(F43/F37)+(H43/H37)+(J43/J37)+(L43/L37)+(N43/N37))/6</f>
        <v>0.595046975</v>
      </c>
      <c r="T43" s="616" t="s">
        <v>341</v>
      </c>
      <c r="U43" s="617"/>
      <c r="V43" s="617"/>
      <c r="W43" s="617"/>
      <c r="X43" s="617"/>
      <c r="Y43" s="617"/>
      <c r="Z43" s="617"/>
      <c r="AA43" s="617"/>
      <c r="AB43" s="617"/>
      <c r="AC43" s="617"/>
      <c r="AD43" s="290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</row>
    <row r="44" ht="17.25" customHeight="1">
      <c r="A44" s="1"/>
      <c r="B44" s="520" t="s">
        <v>342</v>
      </c>
      <c r="C44" s="618"/>
      <c r="D44" s="619">
        <f>IF(D20&lt;&gt;"",D20/(D20+D41),"")</f>
        <v>0.5094026549</v>
      </c>
      <c r="E44" s="620"/>
      <c r="F44" s="619">
        <f>IF(F20&lt;&gt;"",F20/(F20+F41),"")</f>
        <v>0.5079545455</v>
      </c>
      <c r="G44" s="620"/>
      <c r="H44" s="619">
        <f>IF(H20&lt;&gt;"",H20/(H20+H41),"")</f>
        <v>0.5070422535</v>
      </c>
      <c r="I44" s="620"/>
      <c r="J44" s="619">
        <f>IF(J20&lt;&gt;"",J20/(J20+J41),"")</f>
        <v>0.5043740573</v>
      </c>
      <c r="K44" s="620"/>
      <c r="L44" s="619">
        <f>IF(L20&lt;&gt;"",L20/(L20+L41),"")</f>
        <v>0.50628104</v>
      </c>
      <c r="M44" s="620"/>
      <c r="N44" s="619">
        <f>IF(N20&lt;&gt;"",N20/(N20+N41),"")</f>
        <v>0.5085399449</v>
      </c>
      <c r="O44" s="619"/>
      <c r="P44" s="622">
        <f>IF(P20&lt;&gt;0,IF(R41="",P20/(P20+P41),""),"")</f>
        <v>0.5098743268</v>
      </c>
      <c r="Q44" s="623"/>
      <c r="R44" s="624" t="str">
        <f>IF(P20&lt;&gt;0,IF(R41&lt;&gt;"",P20/(P20+R41),""),"")</f>
        <v/>
      </c>
      <c r="S44" s="615">
        <f>IF(S20&gt;0,S20/(S20+S41),"")</f>
        <v>0.5077183507</v>
      </c>
      <c r="T44" s="625"/>
      <c r="U44" s="626"/>
      <c r="V44" s="626"/>
      <c r="W44" s="626"/>
      <c r="X44" s="626"/>
      <c r="Y44" s="626"/>
      <c r="Z44" s="626"/>
      <c r="AA44" s="626"/>
      <c r="AB44" s="626"/>
      <c r="AC44" s="626"/>
      <c r="AD44" s="290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</row>
    <row r="45" ht="14.25" customHeight="1">
      <c r="A45" s="1"/>
      <c r="B45" s="628" t="s">
        <v>343</v>
      </c>
      <c r="C45" s="629"/>
      <c r="D45" s="630">
        <f>IF(D44&lt;&gt;"",1-D44,"")</f>
        <v>0.4905973451</v>
      </c>
      <c r="E45" s="631"/>
      <c r="F45" s="630">
        <f>IF(F44&lt;&gt;"",1-F44,"")</f>
        <v>0.4920454545</v>
      </c>
      <c r="G45" s="631"/>
      <c r="H45" s="630">
        <f>IF(H44&lt;&gt;"",1-H44,"")</f>
        <v>0.4929577465</v>
      </c>
      <c r="I45" s="631"/>
      <c r="J45" s="630">
        <f>IF(J44&lt;&gt;"",1-J44,"")</f>
        <v>0.4956259427</v>
      </c>
      <c r="K45" s="631"/>
      <c r="L45" s="630">
        <f>IF(L44&lt;&gt;"",1-L44,"")</f>
        <v>0.49371896</v>
      </c>
      <c r="M45" s="631"/>
      <c r="N45" s="630">
        <f>IF(N44&lt;&gt;"",1-N44,"")</f>
        <v>0.4914600551</v>
      </c>
      <c r="O45" s="630"/>
      <c r="P45" s="632">
        <f>IF(R41="",1-P44,"")</f>
        <v>0.4901256732</v>
      </c>
      <c r="Q45" s="633"/>
      <c r="R45" s="634" t="str">
        <f>IF(R41&lt;&gt;"",1-R44,"")</f>
        <v/>
      </c>
      <c r="S45" s="636">
        <f>IF(S20&gt;0,1-S44,"")</f>
        <v>0.4922816493</v>
      </c>
      <c r="T45" s="637"/>
      <c r="U45" s="638"/>
      <c r="V45" s="638"/>
      <c r="W45" s="638"/>
      <c r="X45" s="638"/>
      <c r="Y45" s="638"/>
      <c r="Z45" s="638"/>
      <c r="AA45" s="638"/>
      <c r="AB45" s="638"/>
      <c r="AC45" s="294"/>
      <c r="AD45" s="533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</row>
    <row r="46" ht="14.25" customHeight="1">
      <c r="A46" s="1"/>
      <c r="B46" s="639" t="str">
        <f>B1</f>
        <v>Example University</v>
      </c>
      <c r="C46" s="640"/>
      <c r="D46" s="640"/>
      <c r="E46" s="640"/>
      <c r="F46" s="640"/>
      <c r="G46" s="640"/>
      <c r="H46" s="640"/>
      <c r="I46" s="640"/>
      <c r="J46" s="640"/>
      <c r="K46" s="640"/>
      <c r="L46" s="640"/>
      <c r="M46" s="640"/>
      <c r="N46" s="640"/>
      <c r="O46" s="640"/>
      <c r="P46" s="640"/>
      <c r="Q46" s="640"/>
      <c r="R46" s="640"/>
      <c r="S46" s="415"/>
      <c r="T46" s="415"/>
      <c r="U46" s="358"/>
      <c r="V46" s="358"/>
      <c r="W46" s="358"/>
      <c r="X46" s="358"/>
      <c r="Y46" s="358"/>
      <c r="Z46" s="358"/>
      <c r="AA46" s="358"/>
      <c r="AB46" s="358"/>
      <c r="AC46" s="641">
        <f>Z2</f>
        <v>46307</v>
      </c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</row>
    <row r="47" ht="20.25" customHeight="1">
      <c r="A47" s="1"/>
      <c r="B47" s="1" t="s">
        <v>344</v>
      </c>
      <c r="C47" s="46"/>
      <c r="D47" s="46"/>
      <c r="E47" s="46"/>
      <c r="F47" s="46"/>
      <c r="G47" s="642" t="s">
        <v>345</v>
      </c>
      <c r="H47" s="147"/>
      <c r="I47" s="147"/>
      <c r="J47" s="147"/>
      <c r="K47" s="147"/>
      <c r="L47" s="147"/>
      <c r="M47" s="147"/>
      <c r="N47" s="592"/>
      <c r="O47" s="643"/>
      <c r="P47" s="644" t="s">
        <v>346</v>
      </c>
      <c r="Q47" s="644"/>
      <c r="R47" s="645"/>
      <c r="S47" s="646"/>
      <c r="T47" s="646"/>
      <c r="U47" s="646"/>
      <c r="V47" s="646"/>
      <c r="W47" s="646"/>
      <c r="X47" s="646"/>
      <c r="Y47" s="646"/>
      <c r="Z47" s="646"/>
      <c r="AA47" s="646"/>
      <c r="AB47" s="646"/>
      <c r="AC47" s="646"/>
      <c r="AD47" s="647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</row>
    <row r="48" ht="28.5" customHeight="1">
      <c r="A48" s="1"/>
      <c r="B48" s="1" t="s">
        <v>347</v>
      </c>
      <c r="C48" s="46"/>
      <c r="D48" s="46"/>
      <c r="E48" s="46"/>
      <c r="F48" s="46"/>
      <c r="G48" s="37"/>
      <c r="H48" s="44"/>
      <c r="I48" s="44"/>
      <c r="J48" s="44"/>
      <c r="K48" s="44"/>
      <c r="L48" s="44"/>
      <c r="M48" s="44"/>
      <c r="N48" s="648"/>
      <c r="O48" s="649"/>
      <c r="P48" s="650" t="s">
        <v>348</v>
      </c>
      <c r="Q48" s="147"/>
      <c r="R48" s="147"/>
      <c r="S48" s="147"/>
      <c r="T48" s="27"/>
      <c r="U48" s="651" t="s">
        <v>349</v>
      </c>
      <c r="V48" s="35"/>
      <c r="W48" s="21"/>
      <c r="X48" s="652"/>
      <c r="Y48" s="653" t="s">
        <v>350</v>
      </c>
      <c r="Z48" s="654"/>
      <c r="AA48" s="654"/>
      <c r="AB48" s="654"/>
      <c r="AC48" s="655"/>
      <c r="AD48" s="656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</row>
    <row r="49" ht="22.5" customHeight="1">
      <c r="A49" s="1"/>
      <c r="B49" s="374"/>
      <c r="C49" s="374"/>
      <c r="D49" s="468"/>
      <c r="E49" s="468"/>
      <c r="F49" s="468"/>
      <c r="G49" s="658" t="s">
        <v>351</v>
      </c>
      <c r="H49" s="659"/>
      <c r="I49" s="659"/>
      <c r="J49" s="659"/>
      <c r="K49" s="659"/>
      <c r="L49" s="660"/>
      <c r="M49" s="661"/>
      <c r="N49" s="662"/>
      <c r="O49" s="663"/>
      <c r="P49" s="37"/>
      <c r="Q49" s="44"/>
      <c r="R49" s="44"/>
      <c r="S49" s="44"/>
      <c r="T49" s="38"/>
      <c r="U49" s="664"/>
      <c r="V49" s="665"/>
      <c r="W49" s="666"/>
      <c r="X49" s="667"/>
      <c r="Y49" s="666"/>
      <c r="Z49" s="668" t="s">
        <v>352</v>
      </c>
      <c r="AA49" s="654"/>
      <c r="AB49" s="654"/>
      <c r="AC49" s="655"/>
      <c r="AD49" s="656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</row>
    <row r="50" ht="18.0" customHeight="1">
      <c r="A50" s="1"/>
      <c r="B50" s="669"/>
      <c r="C50" s="669"/>
      <c r="D50" s="468"/>
      <c r="E50" s="374"/>
      <c r="F50" s="468"/>
      <c r="G50" s="661"/>
      <c r="H50" s="661"/>
      <c r="I50" s="661"/>
      <c r="J50" s="661"/>
      <c r="K50" s="661"/>
      <c r="L50" s="640"/>
      <c r="M50" s="661"/>
      <c r="N50" s="468"/>
      <c r="O50" s="670"/>
      <c r="P50" s="671"/>
      <c r="Q50" s="671"/>
      <c r="R50" s="671"/>
      <c r="S50" s="671"/>
      <c r="T50" s="672" t="s">
        <v>353</v>
      </c>
      <c r="U50" s="671"/>
      <c r="V50" s="671"/>
      <c r="W50" s="671"/>
      <c r="X50" s="671"/>
      <c r="Y50" s="671"/>
      <c r="Z50" s="671"/>
      <c r="AA50" s="671"/>
      <c r="AB50" s="671"/>
      <c r="AC50" s="673"/>
      <c r="AD50" s="674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</row>
    <row r="51" ht="14.25" customHeight="1">
      <c r="A51" s="1"/>
      <c r="B51" s="669"/>
      <c r="C51" s="669"/>
      <c r="D51" s="468"/>
      <c r="E51" s="468"/>
      <c r="F51" s="468"/>
      <c r="G51" s="661"/>
      <c r="H51" s="661"/>
      <c r="I51" s="661"/>
      <c r="J51" s="661"/>
      <c r="K51" s="661"/>
      <c r="L51" s="640"/>
      <c r="M51" s="661"/>
      <c r="N51" s="661"/>
      <c r="O51" s="675"/>
      <c r="P51" s="676"/>
      <c r="Q51" s="676"/>
      <c r="R51" s="677"/>
      <c r="S51" s="678"/>
      <c r="T51" s="678"/>
      <c r="U51" s="679"/>
      <c r="V51" s="680"/>
      <c r="W51" s="679"/>
      <c r="X51" s="680"/>
      <c r="Y51" s="679"/>
      <c r="Z51" s="680"/>
      <c r="AA51" s="679"/>
      <c r="AB51" s="680"/>
      <c r="AC51" s="679"/>
      <c r="AD51" s="68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</row>
    <row r="52" ht="15.75" customHeight="1">
      <c r="A52" s="1"/>
      <c r="B52" s="669"/>
      <c r="C52" s="669"/>
      <c r="D52" s="661"/>
      <c r="E52" s="661"/>
      <c r="F52" s="661"/>
      <c r="G52" s="661"/>
      <c r="H52" s="661"/>
      <c r="I52" s="661"/>
      <c r="J52" s="661"/>
      <c r="K52" s="661"/>
      <c r="L52" s="640"/>
      <c r="M52" s="661"/>
      <c r="N52" s="661"/>
      <c r="O52" s="661"/>
      <c r="P52" s="384"/>
      <c r="Q52" s="384"/>
      <c r="R52" s="682"/>
      <c r="S52" s="683"/>
      <c r="T52" s="683"/>
      <c r="U52" s="684" t="str">
        <f>IF(U51&lt;&gt;"",IF(U51&gt;0,IF($AE71&gt;=U71,"TOO EARLY!",""),""),"")</f>
        <v/>
      </c>
      <c r="V52" s="480"/>
      <c r="W52" s="684" t="str">
        <f>IF(W51&lt;&gt;"",IF(W51&gt;0,IF($AE71&gt;=W71,"TOO EARLY!",""),""),"")</f>
        <v/>
      </c>
      <c r="X52" s="480"/>
      <c r="Y52" s="684" t="str">
        <f>IF(Y51&lt;&gt;"",IF(Y51&gt;0,IF($AE71&gt;=Y71,"TOO EARLY!",""),""),"")</f>
        <v/>
      </c>
      <c r="Z52" s="480"/>
      <c r="AA52" s="684" t="str">
        <f>IF(AA51&lt;&gt;"",IF(AA51&gt;0,IF($AE71&gt;=AA71,"TOO EARLY!",""),""),"")</f>
        <v/>
      </c>
      <c r="AB52" s="480"/>
      <c r="AC52" s="684" t="str">
        <f>IF(AC51&lt;&gt;"",IF(AC51&gt;0,IF($AE71&gt;=AC71,"TOO EARLY!",""),""),"")</f>
        <v/>
      </c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</row>
    <row r="53" ht="14.25" customHeight="1">
      <c r="A53" s="1"/>
      <c r="B53" s="462" t="s">
        <v>354</v>
      </c>
      <c r="C53" s="462"/>
      <c r="D53" s="398" t="str">
        <f>D6</f>
        <v>2020 - 21</v>
      </c>
      <c r="E53" s="52"/>
      <c r="F53" s="398" t="str">
        <f>F6</f>
        <v>2021 - 22</v>
      </c>
      <c r="G53" s="52"/>
      <c r="H53" s="398" t="str">
        <f>H6</f>
        <v>2022 - 23</v>
      </c>
      <c r="I53" s="52"/>
      <c r="J53" s="398" t="str">
        <f>J6</f>
        <v>2023 - 24</v>
      </c>
      <c r="K53" s="52"/>
      <c r="L53" s="398" t="str">
        <f>L6</f>
        <v>2024 - 25</v>
      </c>
      <c r="M53" s="52"/>
      <c r="N53" s="398" t="str">
        <f>N6</f>
        <v>2025 - 26</v>
      </c>
      <c r="O53" s="65"/>
      <c r="P53" s="398" t="str">
        <f>P6</f>
        <v>2026 - 27</v>
      </c>
      <c r="Q53" s="375"/>
      <c r="R53" s="375"/>
      <c r="S53" s="404"/>
      <c r="T53" s="404"/>
      <c r="U53" s="398" t="str">
        <f>U6</f>
        <v>2027 - 28</v>
      </c>
      <c r="V53" s="52"/>
      <c r="W53" s="398" t="str">
        <f>W6</f>
        <v>2028 - 29</v>
      </c>
      <c r="X53" s="52"/>
      <c r="Y53" s="398" t="str">
        <f>Y6</f>
        <v>2029 - 30</v>
      </c>
      <c r="Z53" s="52"/>
      <c r="AA53" s="398" t="str">
        <f>AA6</f>
        <v>2030 - 31</v>
      </c>
      <c r="AB53" s="65"/>
      <c r="AC53" s="398" t="str">
        <f>AC6</f>
        <v>2031 - 32</v>
      </c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</row>
    <row r="54" ht="14.25" customHeight="1">
      <c r="A54" s="1"/>
      <c r="B54" s="462"/>
      <c r="C54" s="462"/>
      <c r="D54" s="386"/>
      <c r="E54" s="386"/>
      <c r="F54" s="386"/>
      <c r="G54" s="386"/>
      <c r="H54" s="386"/>
      <c r="I54" s="386"/>
      <c r="J54" s="386"/>
      <c r="K54" s="386"/>
      <c r="L54" s="386"/>
      <c r="M54" s="386"/>
      <c r="N54" s="1"/>
      <c r="O54" s="1"/>
      <c r="P54" s="1"/>
      <c r="Q54" s="1"/>
      <c r="R54" s="685"/>
      <c r="S54" s="686"/>
      <c r="T54" s="686"/>
      <c r="U54" s="687"/>
      <c r="V54" s="687"/>
      <c r="W54" s="446"/>
      <c r="X54" s="446"/>
      <c r="Y54" s="446"/>
      <c r="Z54" s="446"/>
      <c r="AA54" s="446"/>
      <c r="AB54" s="446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</row>
    <row r="55" ht="14.25" customHeight="1">
      <c r="A55" s="1"/>
      <c r="B55" s="199" t="str">
        <f>B11</f>
        <v>Freshmen</v>
      </c>
      <c r="C55" s="199"/>
      <c r="D55" s="689">
        <f>IF(D9&gt;0,D31/(D9+D11)*100,"")</f>
        <v>64.08450704</v>
      </c>
      <c r="E55" s="689"/>
      <c r="F55" s="689">
        <f>IF(F9&gt;0,F31/(F9+F11)*100,"")</f>
        <v>63.78986867</v>
      </c>
      <c r="G55" s="689"/>
      <c r="H55" s="689">
        <f>IF(H9&gt;0,H31/(H9+H11)*100,"")</f>
        <v>59.6069869</v>
      </c>
      <c r="I55" s="689"/>
      <c r="J55" s="689">
        <f>IF(J9&gt;0,J31/(J9+J11)*100,"")</f>
        <v>64.28571429</v>
      </c>
      <c r="K55" s="689"/>
      <c r="L55" s="689">
        <f>IF(L9&gt;0,L31/(L9+L11)*100,"")</f>
        <v>58.59519409</v>
      </c>
      <c r="M55" s="689"/>
      <c r="N55" s="689">
        <f>IF(N9&gt;0,N31/(N9+N11)*100,"")</f>
        <v>53.89830508</v>
      </c>
      <c r="O55" s="689"/>
      <c r="P55" s="689" t="str">
        <f>IF(P9&lt;&gt;"",IF(P9&lt;&gt;0,IF(R31&lt;&gt;"",R31/(P9+P11)*100,""),""),"")</f>
        <v/>
      </c>
      <c r="Q55" s="689"/>
      <c r="R55" s="696"/>
      <c r="S55" s="697">
        <f>IF(R31="",AVERAGE(D55:N55),AVERAGE(D55:P55))</f>
        <v>60.71009601</v>
      </c>
      <c r="T55" s="696"/>
      <c r="U55" s="698"/>
      <c r="V55" s="698"/>
      <c r="W55" s="446"/>
      <c r="X55" s="446"/>
      <c r="Y55" s="446"/>
      <c r="Z55" s="446"/>
      <c r="AA55" s="446"/>
      <c r="AB55" s="446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</row>
    <row r="56" ht="14.25" customHeight="1">
      <c r="A56" s="1"/>
      <c r="B56" s="199" t="str">
        <f>B13</f>
        <v>Sophomores</v>
      </c>
      <c r="C56" s="199"/>
      <c r="D56" s="689">
        <f>IF(D13&gt;0,D33/D13*100,"")</f>
        <v>98.65591398</v>
      </c>
      <c r="E56" s="689"/>
      <c r="F56" s="689">
        <f>IF(F13&gt;0,F33/F13*100,"")</f>
        <v>102.970297</v>
      </c>
      <c r="G56" s="689"/>
      <c r="H56" s="689">
        <f>IF(H13&gt;0,H33/H13*100,"")</f>
        <v>85.68181818</v>
      </c>
      <c r="I56" s="689"/>
      <c r="J56" s="689">
        <f>IF(J13&gt;0,J33/J13*100,"")</f>
        <v>120.7207207</v>
      </c>
      <c r="K56" s="689"/>
      <c r="L56" s="689">
        <f>IF(L13&gt;0,L33/L13*100,"")</f>
        <v>113.2947977</v>
      </c>
      <c r="M56" s="689"/>
      <c r="N56" s="689">
        <f>IF(N13&gt;0,N33/N13*100,"")</f>
        <v>108.1585082</v>
      </c>
      <c r="O56" s="689"/>
      <c r="P56" s="689" t="str">
        <f>IF(P33&lt;&gt;"",IF(P13&lt;&gt;0,IF(R33&lt;&gt;"",R33/P13*100,""),""),"")</f>
        <v/>
      </c>
      <c r="Q56" s="689"/>
      <c r="R56" s="696"/>
      <c r="S56" s="713">
        <f>IF(R33="",AVERAGE(D56:N56),AVERAGE(D56:P56))</f>
        <v>104.913676</v>
      </c>
      <c r="T56" s="696"/>
      <c r="U56" s="698"/>
      <c r="V56" s="698"/>
      <c r="W56" s="446"/>
      <c r="X56" s="446"/>
      <c r="Y56" s="446"/>
      <c r="Z56" s="446"/>
      <c r="AA56" s="446"/>
      <c r="AB56" s="446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</row>
    <row r="57" ht="14.25" customHeight="1">
      <c r="A57" s="1"/>
      <c r="B57" s="199" t="str">
        <f>B15</f>
        <v>Juniors</v>
      </c>
      <c r="C57" s="199"/>
      <c r="D57" s="689">
        <f>IF(D15&gt;0,D35/D15*100,"")</f>
        <v>99.75490196</v>
      </c>
      <c r="E57" s="689"/>
      <c r="F57" s="689">
        <f>IF(F15&gt;0,F35/F15*100,"")</f>
        <v>97.27047146</v>
      </c>
      <c r="G57" s="689"/>
      <c r="H57" s="689">
        <f>IF(H15&gt;0,H35/H15*100,"")</f>
        <v>110.2827763</v>
      </c>
      <c r="I57" s="689"/>
      <c r="J57" s="689">
        <f>IF(J15&gt;0,J35/J15*100,"")</f>
        <v>82.61904762</v>
      </c>
      <c r="K57" s="689"/>
      <c r="L57" s="689">
        <f>IF(L15&gt;0,L35/L15*100,"")</f>
        <v>105.6300268</v>
      </c>
      <c r="M57" s="689"/>
      <c r="N57" s="689">
        <f>IF(N15&gt;0,N35/N15*100,"")</f>
        <v>111.5681234</v>
      </c>
      <c r="O57" s="689"/>
      <c r="P57" s="689" t="str">
        <f>IF(P35&lt;&gt;"",IF(P15&lt;&gt;0,IF(R35&lt;&gt;"",R35/P15*100,""),""),"")</f>
        <v/>
      </c>
      <c r="Q57" s="689"/>
      <c r="R57" s="696"/>
      <c r="S57" s="713">
        <f>IF(R35="",AVERAGE(D57:N57),AVERAGE(D57:P57))</f>
        <v>101.1875579</v>
      </c>
      <c r="T57" s="721" t="s">
        <v>250</v>
      </c>
      <c r="U57" s="698"/>
      <c r="V57" s="698"/>
      <c r="W57" s="446"/>
      <c r="X57" s="446"/>
      <c r="Y57" s="446"/>
      <c r="Z57" s="446"/>
      <c r="AA57" s="446"/>
      <c r="AB57" s="446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</row>
    <row r="58" ht="14.25" customHeight="1">
      <c r="A58" s="1"/>
      <c r="B58" s="199" t="str">
        <f>B17</f>
        <v>Seniors</v>
      </c>
      <c r="C58" s="199"/>
      <c r="D58" s="689">
        <f>IF(D17&gt;0,D37/D17*100,"")</f>
        <v>129.6907216</v>
      </c>
      <c r="E58" s="689"/>
      <c r="F58" s="689">
        <f>IF(F17&gt;0,F37/F17*100,"")</f>
        <v>130.9954751</v>
      </c>
      <c r="G58" s="689"/>
      <c r="H58" s="689">
        <f>IF(H17&gt;0,H37/H17*100,"")</f>
        <v>136.5740741</v>
      </c>
      <c r="I58" s="689"/>
      <c r="J58" s="689">
        <f>IF(J17&gt;0,J37/J17*100,"")</f>
        <v>127.7894737</v>
      </c>
      <c r="K58" s="689"/>
      <c r="L58" s="689">
        <f>IF(L17&gt;0,L37/L17*100,"")</f>
        <v>125.5458515</v>
      </c>
      <c r="M58" s="689"/>
      <c r="N58" s="689">
        <f>IF(N17&gt;0,N37/N17*100,"")</f>
        <v>130.1401869</v>
      </c>
      <c r="O58" s="689"/>
      <c r="P58" s="689" t="str">
        <f>IF(P37&lt;&gt;"",IF(P17&lt;&gt;0,IF(R37&lt;&gt;"",R37/P17*100,""),""),"")</f>
        <v/>
      </c>
      <c r="Q58" s="689"/>
      <c r="R58" s="696"/>
      <c r="S58" s="713">
        <f>IF(R37="",AVERAGE(D58:N58),AVERAGE(D58:P58))</f>
        <v>130.1226305</v>
      </c>
      <c r="T58" s="724"/>
      <c r="U58" s="698"/>
      <c r="V58" s="698"/>
      <c r="W58" s="446"/>
      <c r="X58" s="446"/>
      <c r="Y58" s="446"/>
      <c r="Z58" s="446"/>
      <c r="AA58" s="446"/>
      <c r="AB58" s="446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</row>
    <row r="59" ht="14.25" customHeight="1">
      <c r="A59" s="1"/>
      <c r="B59" s="199" t="str">
        <f>B19</f>
        <v>Others</v>
      </c>
      <c r="C59" s="199"/>
      <c r="D59" s="689">
        <f>IF(D19&lt;&gt;"",IF(D19&lt;&gt;0,D39/D19*100,""),"")</f>
        <v>77.77777778</v>
      </c>
      <c r="E59" s="689"/>
      <c r="F59" s="689">
        <f>IF(F19&lt;&gt;"",IF(F19&lt;&gt;0,F39/F19*100,""),"")</f>
        <v>83.33333333</v>
      </c>
      <c r="G59" s="689"/>
      <c r="H59" s="689">
        <f>IF(H19&lt;&gt;"",IF(H19&lt;&gt;0,H39/H19*100,""),"")</f>
        <v>122.2222222</v>
      </c>
      <c r="I59" s="689"/>
      <c r="J59" s="689">
        <f>IF(J19&lt;&gt;"",IF(J19&lt;&gt;0,J39/J19*100,""),"")</f>
        <v>80</v>
      </c>
      <c r="K59" s="689"/>
      <c r="L59" s="689">
        <f>IF(L19&lt;&gt;"",IF(L19&lt;&gt;0,L39/L19*100,""),"")</f>
        <v>80</v>
      </c>
      <c r="M59" s="689"/>
      <c r="N59" s="689">
        <f>IF(N19&lt;&gt;"",IF(N19&lt;&gt;0,N39/N19*100,""),"")</f>
        <v>110</v>
      </c>
      <c r="O59" s="689"/>
      <c r="P59" s="689" t="str">
        <f>IF(P39&lt;&gt;"",IF(P19&lt;&gt;0,IF(R39&lt;&gt;"",R39/P19*100,""),""),"")</f>
        <v/>
      </c>
      <c r="Q59" s="689"/>
      <c r="R59" s="696"/>
      <c r="S59" s="713">
        <f>IF(SUM(D59:N59)&gt;0,IF(R39="",AVERAGE(D59:N59),AVERAGE(D59:P59)),0)</f>
        <v>92.22222222</v>
      </c>
      <c r="T59" s="696"/>
      <c r="U59" s="698"/>
      <c r="V59" s="698"/>
      <c r="W59" s="446"/>
      <c r="X59" s="446"/>
      <c r="Y59" s="446"/>
      <c r="Z59" s="446"/>
      <c r="AA59" s="446"/>
      <c r="AB59" s="446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</row>
    <row r="60" ht="14.25" customHeight="1">
      <c r="A60" s="1"/>
      <c r="B60" s="199"/>
      <c r="C60" s="199"/>
      <c r="D60" s="689"/>
      <c r="E60" s="689"/>
      <c r="F60" s="689"/>
      <c r="G60" s="689"/>
      <c r="H60" s="689"/>
      <c r="I60" s="689"/>
      <c r="J60" s="689"/>
      <c r="K60" s="689"/>
      <c r="L60" s="689"/>
      <c r="M60" s="689"/>
      <c r="N60" s="689"/>
      <c r="O60" s="689"/>
      <c r="P60" s="468"/>
      <c r="Q60" s="689"/>
      <c r="R60" s="696"/>
      <c r="S60" s="713"/>
      <c r="T60" s="696"/>
      <c r="U60" s="687"/>
      <c r="V60" s="687"/>
      <c r="W60" s="446"/>
      <c r="X60" s="446"/>
      <c r="Y60" s="446"/>
      <c r="Z60" s="446"/>
      <c r="AA60" s="446"/>
      <c r="AB60" s="446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</row>
    <row r="61" ht="14.25" customHeight="1">
      <c r="A61" s="1"/>
      <c r="B61" s="199" t="s">
        <v>369</v>
      </c>
      <c r="C61" s="199"/>
      <c r="D61" s="689">
        <f>IF(D20&lt;&gt;"",IF(D20&gt;0,D41/D20*100,""),"")</f>
        <v>96.30836048</v>
      </c>
      <c r="E61" s="689"/>
      <c r="F61" s="689">
        <f>IF(F20&lt;&gt;"",IF(F20&gt;0,F41/F20*100,""),"")</f>
        <v>96.86800895</v>
      </c>
      <c r="G61" s="689"/>
      <c r="H61" s="689">
        <f>IF(H20&lt;&gt;"",IF(H20&gt;0,H41/H20*100,""),"")</f>
        <v>97.22222222</v>
      </c>
      <c r="I61" s="689"/>
      <c r="J61" s="689">
        <f>IF(J20&lt;&gt;"",IF(J20&gt;0,J41/J20*100,""),"")</f>
        <v>98.26555024</v>
      </c>
      <c r="K61" s="689"/>
      <c r="L61" s="689">
        <f>IF(L20&lt;&gt;"",IF(L20&gt;0,L41/L20*100,""),"")</f>
        <v>97.51875361</v>
      </c>
      <c r="M61" s="689"/>
      <c r="N61" s="689">
        <f>IF(N20&lt;&gt;"",IF(N20&gt;0,N41/N20*100,""),"")</f>
        <v>96.64138678</v>
      </c>
      <c r="O61" s="689"/>
      <c r="P61" s="689" t="str">
        <f>IF(P20&gt;0,IF(R41="","",R41/P20*100),"")</f>
        <v/>
      </c>
      <c r="Q61" s="689"/>
      <c r="R61" s="696"/>
      <c r="S61" s="756">
        <f>IF(R41="",AVERAGE(D61:N61),AVERAGE(D61:P61))</f>
        <v>97.13738038</v>
      </c>
      <c r="T61" s="758"/>
      <c r="U61" s="687"/>
      <c r="V61" s="687"/>
      <c r="W61" s="446"/>
      <c r="X61" s="446"/>
      <c r="Y61" s="446"/>
      <c r="Z61" s="446"/>
      <c r="AA61" s="446"/>
      <c r="AB61" s="446"/>
      <c r="AC61" s="1"/>
      <c r="AD61" s="1"/>
      <c r="AE61" s="1"/>
      <c r="AF61" s="1"/>
      <c r="AG61" s="1"/>
      <c r="AH61" s="764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</row>
    <row r="62" ht="14.25" customHeight="1">
      <c r="A62" s="1"/>
      <c r="B62" s="199"/>
      <c r="C62" s="199"/>
      <c r="D62" s="689"/>
      <c r="E62" s="689"/>
      <c r="F62" s="689"/>
      <c r="G62" s="689"/>
      <c r="H62" s="689"/>
      <c r="I62" s="689"/>
      <c r="J62" s="689"/>
      <c r="K62" s="689"/>
      <c r="L62" s="689"/>
      <c r="M62" s="689"/>
      <c r="N62" s="689"/>
      <c r="O62" s="689"/>
      <c r="P62" s="689"/>
      <c r="Q62" s="689"/>
      <c r="R62" s="766"/>
      <c r="S62" s="713"/>
      <c r="T62" s="713"/>
      <c r="U62" s="687"/>
      <c r="V62" s="687"/>
      <c r="W62" s="446"/>
      <c r="X62" s="446"/>
      <c r="Y62" s="446"/>
      <c r="Z62" s="446"/>
      <c r="AA62" s="446"/>
      <c r="AB62" s="446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</row>
    <row r="63" ht="14.25" customHeight="1">
      <c r="A63" s="1"/>
      <c r="B63" s="462" t="s">
        <v>380</v>
      </c>
      <c r="C63" s="462"/>
      <c r="D63" s="689"/>
      <c r="E63" s="689"/>
      <c r="F63" s="689"/>
      <c r="G63" s="689"/>
      <c r="H63" s="689"/>
      <c r="I63" s="689"/>
      <c r="J63" s="689"/>
      <c r="K63" s="689"/>
      <c r="L63" s="689"/>
      <c r="M63" s="689"/>
      <c r="N63" s="689"/>
      <c r="O63" s="689"/>
      <c r="P63" s="689"/>
      <c r="Q63" s="689"/>
      <c r="R63" s="768"/>
      <c r="S63" s="713"/>
      <c r="T63" s="687"/>
      <c r="U63" s="687"/>
      <c r="V63" s="377"/>
      <c r="W63" s="446"/>
      <c r="X63" s="446"/>
      <c r="Y63" s="446"/>
      <c r="Z63" s="446"/>
      <c r="AA63" s="446"/>
      <c r="AB63" s="446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</row>
    <row r="64" ht="14.25" customHeight="1">
      <c r="A64" s="1"/>
      <c r="B64" s="199" t="str">
        <f>B11</f>
        <v>Freshmen</v>
      </c>
      <c r="C64" s="199"/>
      <c r="D64" s="689">
        <f t="shared" ref="D64:D68" si="2">IF(D55&lt;&gt;"",D55-$S55,"")</f>
        <v>3.374411031</v>
      </c>
      <c r="E64" s="689"/>
      <c r="F64" s="689">
        <f t="shared" ref="F64:F68" si="3">IF(F55&lt;&gt;"",F55-$S55,"")</f>
        <v>3.079772657</v>
      </c>
      <c r="G64" s="689"/>
      <c r="H64" s="689">
        <f t="shared" ref="H64:H68" si="4">IF(H55&lt;&gt;"",H55-$S55,"")</f>
        <v>-1.103109111</v>
      </c>
      <c r="I64" s="689"/>
      <c r="J64" s="689">
        <f t="shared" ref="J64:J68" si="5">IF(J55&lt;&gt;"",J55-$S55,"")</f>
        <v>3.575618275</v>
      </c>
      <c r="K64" s="689"/>
      <c r="L64" s="689">
        <f t="shared" ref="L64:L68" si="6">IF(L55&lt;&gt;"",L55-$S55,"")</f>
        <v>-2.114901926</v>
      </c>
      <c r="M64" s="689"/>
      <c r="N64" s="689">
        <f t="shared" ref="N64:N68" si="7">IF(N55&lt;&gt;"",N55-$S55,"")</f>
        <v>-6.811790926</v>
      </c>
      <c r="O64" s="689"/>
      <c r="P64" s="689" t="str">
        <f t="shared" ref="P64:P68" si="8">IF(P55&lt;&gt;"",P55-$S55,"")</f>
        <v/>
      </c>
      <c r="Q64" s="689"/>
      <c r="R64" s="696"/>
      <c r="S64" s="778">
        <f t="shared" ref="S64:S68" si="9">AV64</f>
        <v>97.13350077</v>
      </c>
      <c r="T64" s="779"/>
      <c r="U64" s="781"/>
      <c r="V64" s="377"/>
      <c r="W64" s="446"/>
      <c r="X64" s="446"/>
      <c r="Y64" s="446"/>
      <c r="Z64" s="446"/>
      <c r="AA64" s="446"/>
      <c r="AB64" s="446"/>
      <c r="AC64" s="1"/>
      <c r="AD64" s="1"/>
      <c r="AE64" s="1"/>
      <c r="AF64" s="1"/>
      <c r="AG64" s="1">
        <f t="shared" ref="AG64:AG68" si="10">IF(D64&lt;&gt;"",D64^2,0)</f>
        <v>11.38664981</v>
      </c>
      <c r="AH64" s="1"/>
      <c r="AI64" s="1">
        <f t="shared" ref="AI64:AI68" si="11">IF(F64&lt;&gt;"",F64^2,0)</f>
        <v>9.484999619</v>
      </c>
      <c r="AJ64" s="1"/>
      <c r="AK64" s="1">
        <f t="shared" ref="AK64:AK68" si="12">IF(H64&lt;&gt;"",H64^2,0)</f>
        <v>1.216849711</v>
      </c>
      <c r="AL64" s="1"/>
      <c r="AM64" s="1">
        <f t="shared" ref="AM64:AM68" si="13">IF(J64&lt;&gt;"",J64^2,0)</f>
        <v>12.78504605</v>
      </c>
      <c r="AN64" s="1"/>
      <c r="AO64" s="1">
        <f t="shared" ref="AO64:AO68" si="14">IF(L64&lt;&gt;"",L64^2,0)</f>
        <v>4.472810156</v>
      </c>
      <c r="AP64" s="1"/>
      <c r="AQ64" s="1">
        <f t="shared" ref="AQ64:AQ68" si="15">IF(N64&lt;&gt;"",N64^2,0)</f>
        <v>46.40049562</v>
      </c>
      <c r="AR64" s="1"/>
      <c r="AS64" s="1">
        <f t="shared" ref="AS64:AS68" si="16">IF(D64&lt;&gt;"",D64^2,0)</f>
        <v>11.38664981</v>
      </c>
      <c r="AT64" s="1">
        <f>IF(P64&lt;&gt;"",P64^2,0)</f>
        <v>0</v>
      </c>
      <c r="AU64" s="1"/>
      <c r="AV64" s="1">
        <f t="shared" ref="AV64:AV68" si="17">SUM(AG64:AT64)</f>
        <v>97.13350077</v>
      </c>
      <c r="AW64" s="1"/>
      <c r="AX64" s="1">
        <f t="shared" ref="AX64:AX68" si="18">IF(H64&lt;&gt;"",H64^2,0)</f>
        <v>1.216849711</v>
      </c>
      <c r="AY64" s="1"/>
      <c r="AZ64" s="1">
        <f t="shared" ref="AZ64:AZ68" si="19">IF(J64&lt;&gt;"",J64^2,0)</f>
        <v>12.78504605</v>
      </c>
      <c r="BA64" s="1"/>
      <c r="BB64" s="1">
        <f t="shared" ref="BB64:BB68" si="20">IF(L64&lt;&gt;"",L64^2,0)</f>
        <v>4.472810156</v>
      </c>
      <c r="BC64" s="1"/>
      <c r="BD64" s="1">
        <f t="shared" ref="BD64:BD68" si="21">IF(N64&lt;&gt;"",N64^2,0)</f>
        <v>46.40049562</v>
      </c>
      <c r="BE64" s="1"/>
      <c r="BF64" s="1">
        <f t="shared" ref="BF64:BF68" si="22">IF(P64&lt;&gt;"",P64^2,0)</f>
        <v>0</v>
      </c>
      <c r="BG64" s="1"/>
      <c r="BH64" s="1">
        <f t="shared" ref="BH64:BH68" si="23">SUM(AS64:BF64)</f>
        <v>173.3953521</v>
      </c>
    </row>
    <row r="65" ht="14.25" customHeight="1">
      <c r="A65" s="1"/>
      <c r="B65" s="199" t="str">
        <f>B13</f>
        <v>Sophomores</v>
      </c>
      <c r="C65" s="199"/>
      <c r="D65" s="689">
        <f t="shared" si="2"/>
        <v>-6.257761981</v>
      </c>
      <c r="E65" s="689"/>
      <c r="F65" s="689">
        <f t="shared" si="3"/>
        <v>-1.94337893</v>
      </c>
      <c r="G65" s="689"/>
      <c r="H65" s="689">
        <f t="shared" si="4"/>
        <v>-19.23185778</v>
      </c>
      <c r="I65" s="689"/>
      <c r="J65" s="689">
        <f t="shared" si="5"/>
        <v>15.80704476</v>
      </c>
      <c r="K65" s="689"/>
      <c r="L65" s="689">
        <f t="shared" si="6"/>
        <v>8.381121728</v>
      </c>
      <c r="M65" s="689"/>
      <c r="N65" s="689">
        <f t="shared" si="7"/>
        <v>3.244832199</v>
      </c>
      <c r="O65" s="689"/>
      <c r="P65" s="689" t="str">
        <f t="shared" si="8"/>
        <v/>
      </c>
      <c r="Q65" s="689"/>
      <c r="R65" s="696"/>
      <c r="S65" s="790">
        <f t="shared" si="9"/>
        <v>786.3717684</v>
      </c>
      <c r="T65" s="696"/>
      <c r="U65" s="781"/>
      <c r="V65" s="377"/>
      <c r="W65" s="446"/>
      <c r="X65" s="446"/>
      <c r="Y65" s="446"/>
      <c r="Z65" s="446"/>
      <c r="AA65" s="446"/>
      <c r="AB65" s="446"/>
      <c r="AC65" s="1"/>
      <c r="AD65" s="1"/>
      <c r="AE65" s="1"/>
      <c r="AF65" s="1"/>
      <c r="AG65" s="1">
        <f t="shared" si="10"/>
        <v>39.15958501</v>
      </c>
      <c r="AH65" s="1"/>
      <c r="AI65" s="1">
        <f t="shared" si="11"/>
        <v>3.776721665</v>
      </c>
      <c r="AJ65" s="1"/>
      <c r="AK65" s="1">
        <f t="shared" si="12"/>
        <v>369.8643536</v>
      </c>
      <c r="AL65" s="1"/>
      <c r="AM65" s="1">
        <f t="shared" si="13"/>
        <v>249.8626641</v>
      </c>
      <c r="AN65" s="1"/>
      <c r="AO65" s="1">
        <f t="shared" si="14"/>
        <v>70.24320143</v>
      </c>
      <c r="AP65" s="1"/>
      <c r="AQ65" s="1">
        <f t="shared" si="15"/>
        <v>10.528936</v>
      </c>
      <c r="AR65" s="1"/>
      <c r="AS65" s="1">
        <f t="shared" si="16"/>
        <v>39.15958501</v>
      </c>
      <c r="AT65" s="1">
        <f t="shared" ref="AT65:AT68" si="24">IF(F65&lt;&gt;"",F65^2,0)</f>
        <v>3.776721665</v>
      </c>
      <c r="AU65" s="1"/>
      <c r="AV65" s="1">
        <f t="shared" si="17"/>
        <v>786.3717684</v>
      </c>
      <c r="AW65" s="1"/>
      <c r="AX65" s="1">
        <f t="shared" si="18"/>
        <v>369.8643536</v>
      </c>
      <c r="AY65" s="1"/>
      <c r="AZ65" s="1">
        <f t="shared" si="19"/>
        <v>249.8626641</v>
      </c>
      <c r="BA65" s="1"/>
      <c r="BB65" s="1">
        <f t="shared" si="20"/>
        <v>70.24320143</v>
      </c>
      <c r="BC65" s="1"/>
      <c r="BD65" s="1">
        <f t="shared" si="21"/>
        <v>10.528936</v>
      </c>
      <c r="BE65" s="1"/>
      <c r="BF65" s="1">
        <f t="shared" si="22"/>
        <v>0</v>
      </c>
      <c r="BG65" s="1"/>
      <c r="BH65" s="1">
        <f t="shared" si="23"/>
        <v>1529.80723</v>
      </c>
    </row>
    <row r="66" ht="14.25" customHeight="1">
      <c r="A66" s="1"/>
      <c r="B66" s="199" t="str">
        <f>B15</f>
        <v>Juniors</v>
      </c>
      <c r="C66" s="199"/>
      <c r="D66" s="689">
        <f t="shared" si="2"/>
        <v>-1.432655972</v>
      </c>
      <c r="E66" s="689"/>
      <c r="F66" s="689">
        <f t="shared" si="3"/>
        <v>-3.917086469</v>
      </c>
      <c r="G66" s="689"/>
      <c r="H66" s="689">
        <f t="shared" si="4"/>
        <v>9.095218417</v>
      </c>
      <c r="I66" s="689"/>
      <c r="J66" s="689">
        <f t="shared" si="5"/>
        <v>-18.56851031</v>
      </c>
      <c r="K66" s="689"/>
      <c r="L66" s="689">
        <f t="shared" si="6"/>
        <v>4.442468877</v>
      </c>
      <c r="M66" s="689"/>
      <c r="N66" s="689">
        <f t="shared" si="7"/>
        <v>10.38056546</v>
      </c>
      <c r="O66" s="689"/>
      <c r="P66" s="689" t="str">
        <f t="shared" si="8"/>
        <v/>
      </c>
      <c r="Q66" s="689"/>
      <c r="R66" s="696"/>
      <c r="S66" s="790">
        <f t="shared" si="9"/>
        <v>589.7963814</v>
      </c>
      <c r="T66" s="797" t="s">
        <v>394</v>
      </c>
      <c r="U66" s="781"/>
      <c r="V66" s="377"/>
      <c r="W66" s="446"/>
      <c r="X66" s="446"/>
      <c r="Y66" s="446"/>
      <c r="Z66" s="446"/>
      <c r="AA66" s="446"/>
      <c r="AB66" s="446"/>
      <c r="AC66" s="1"/>
      <c r="AD66" s="1"/>
      <c r="AE66" s="1"/>
      <c r="AF66" s="1"/>
      <c r="AG66" s="1">
        <f t="shared" si="10"/>
        <v>2.052503134</v>
      </c>
      <c r="AH66" s="1"/>
      <c r="AI66" s="1">
        <f t="shared" si="11"/>
        <v>15.3435664</v>
      </c>
      <c r="AJ66" s="1"/>
      <c r="AK66" s="1">
        <f t="shared" si="12"/>
        <v>82.72299805</v>
      </c>
      <c r="AL66" s="1"/>
      <c r="AM66" s="1">
        <f t="shared" si="13"/>
        <v>344.7895753</v>
      </c>
      <c r="AN66" s="1"/>
      <c r="AO66" s="1">
        <f t="shared" si="14"/>
        <v>19.73552972</v>
      </c>
      <c r="AP66" s="1"/>
      <c r="AQ66" s="1">
        <f t="shared" si="15"/>
        <v>107.7561393</v>
      </c>
      <c r="AR66" s="1"/>
      <c r="AS66" s="1">
        <f t="shared" si="16"/>
        <v>2.052503134</v>
      </c>
      <c r="AT66" s="1">
        <f t="shared" si="24"/>
        <v>15.3435664</v>
      </c>
      <c r="AU66" s="1"/>
      <c r="AV66" s="1">
        <f t="shared" si="17"/>
        <v>589.7963814</v>
      </c>
      <c r="AW66" s="1"/>
      <c r="AX66" s="1">
        <f t="shared" si="18"/>
        <v>82.72299805</v>
      </c>
      <c r="AY66" s="1"/>
      <c r="AZ66" s="1">
        <f t="shared" si="19"/>
        <v>344.7895753</v>
      </c>
      <c r="BA66" s="1"/>
      <c r="BB66" s="1">
        <f t="shared" si="20"/>
        <v>19.73552972</v>
      </c>
      <c r="BC66" s="1"/>
      <c r="BD66" s="1">
        <f t="shared" si="21"/>
        <v>107.7561393</v>
      </c>
      <c r="BE66" s="1"/>
      <c r="BF66" s="1">
        <f t="shared" si="22"/>
        <v>0</v>
      </c>
      <c r="BG66" s="1"/>
      <c r="BH66" s="1">
        <f t="shared" si="23"/>
        <v>1162.196693</v>
      </c>
    </row>
    <row r="67" ht="14.25" customHeight="1">
      <c r="A67" s="1"/>
      <c r="B67" s="199" t="str">
        <f>B17</f>
        <v>Seniors</v>
      </c>
      <c r="C67" s="199"/>
      <c r="D67" s="689">
        <f t="shared" si="2"/>
        <v>-0.4319088447</v>
      </c>
      <c r="E67" s="689"/>
      <c r="F67" s="689">
        <f t="shared" si="3"/>
        <v>0.8728446189</v>
      </c>
      <c r="G67" s="689"/>
      <c r="H67" s="689">
        <f t="shared" si="4"/>
        <v>6.45144358</v>
      </c>
      <c r="I67" s="689"/>
      <c r="J67" s="689">
        <f t="shared" si="5"/>
        <v>-2.33315681</v>
      </c>
      <c r="K67" s="689"/>
      <c r="L67" s="689">
        <f t="shared" si="6"/>
        <v>-4.576778966</v>
      </c>
      <c r="M67" s="689"/>
      <c r="N67" s="689">
        <f t="shared" si="7"/>
        <v>0.01755642169</v>
      </c>
      <c r="O67" s="689"/>
      <c r="P67" s="689" t="str">
        <f t="shared" si="8"/>
        <v/>
      </c>
      <c r="Q67" s="689"/>
      <c r="R67" s="696"/>
      <c r="S67" s="790">
        <f t="shared" si="9"/>
        <v>69.90876485</v>
      </c>
      <c r="T67" s="797" t="s">
        <v>398</v>
      </c>
      <c r="U67" s="781"/>
      <c r="V67" s="377"/>
      <c r="W67" s="446"/>
      <c r="X67" s="446"/>
      <c r="Y67" s="446"/>
      <c r="Z67" s="446"/>
      <c r="AA67" s="446"/>
      <c r="AB67" s="446"/>
      <c r="AC67" s="1"/>
      <c r="AD67" s="1"/>
      <c r="AE67" s="1"/>
      <c r="AF67" s="1"/>
      <c r="AG67" s="1">
        <f t="shared" si="10"/>
        <v>0.1865452501</v>
      </c>
      <c r="AH67" s="1"/>
      <c r="AI67" s="1">
        <f t="shared" si="11"/>
        <v>0.7618577288</v>
      </c>
      <c r="AJ67" s="1"/>
      <c r="AK67" s="1">
        <f t="shared" si="12"/>
        <v>41.62112426</v>
      </c>
      <c r="AL67" s="1"/>
      <c r="AM67" s="1">
        <f t="shared" si="13"/>
        <v>5.4436207</v>
      </c>
      <c r="AN67" s="1"/>
      <c r="AO67" s="1">
        <f t="shared" si="14"/>
        <v>20.9469057</v>
      </c>
      <c r="AP67" s="1"/>
      <c r="AQ67" s="1">
        <f t="shared" si="15"/>
        <v>0.0003082279427</v>
      </c>
      <c r="AR67" s="1"/>
      <c r="AS67" s="1">
        <f t="shared" si="16"/>
        <v>0.1865452501</v>
      </c>
      <c r="AT67" s="1">
        <f t="shared" si="24"/>
        <v>0.7618577288</v>
      </c>
      <c r="AU67" s="1"/>
      <c r="AV67" s="1">
        <f t="shared" si="17"/>
        <v>69.90876485</v>
      </c>
      <c r="AW67" s="1"/>
      <c r="AX67" s="1">
        <f t="shared" si="18"/>
        <v>41.62112426</v>
      </c>
      <c r="AY67" s="1"/>
      <c r="AZ67" s="1">
        <f t="shared" si="19"/>
        <v>5.4436207</v>
      </c>
      <c r="BA67" s="1"/>
      <c r="BB67" s="1">
        <f t="shared" si="20"/>
        <v>20.9469057</v>
      </c>
      <c r="BC67" s="1"/>
      <c r="BD67" s="1">
        <f t="shared" si="21"/>
        <v>0.0003082279427</v>
      </c>
      <c r="BE67" s="1"/>
      <c r="BF67" s="1">
        <f t="shared" si="22"/>
        <v>0</v>
      </c>
      <c r="BG67" s="1"/>
      <c r="BH67" s="1">
        <f t="shared" si="23"/>
        <v>138.8691267</v>
      </c>
    </row>
    <row r="68" ht="14.25" customHeight="1">
      <c r="A68" s="1"/>
      <c r="B68" s="199" t="str">
        <f>B19</f>
        <v>Others</v>
      </c>
      <c r="C68" s="199"/>
      <c r="D68" s="689">
        <f t="shared" si="2"/>
        <v>-14.44444444</v>
      </c>
      <c r="E68" s="689"/>
      <c r="F68" s="689">
        <f t="shared" si="3"/>
        <v>-8.888888889</v>
      </c>
      <c r="G68" s="689"/>
      <c r="H68" s="689">
        <f t="shared" si="4"/>
        <v>30</v>
      </c>
      <c r="I68" s="689"/>
      <c r="J68" s="689">
        <f t="shared" si="5"/>
        <v>-12.22222222</v>
      </c>
      <c r="K68" s="689"/>
      <c r="L68" s="689">
        <f t="shared" si="6"/>
        <v>-12.22222222</v>
      </c>
      <c r="M68" s="689"/>
      <c r="N68" s="689">
        <f t="shared" si="7"/>
        <v>17.77777778</v>
      </c>
      <c r="O68" s="689"/>
      <c r="P68" s="689" t="str">
        <f t="shared" si="8"/>
        <v/>
      </c>
      <c r="Q68" s="689"/>
      <c r="R68" s="696"/>
      <c r="S68" s="790">
        <f t="shared" si="9"/>
        <v>2090.123457</v>
      </c>
      <c r="T68" s="808"/>
      <c r="U68" s="781"/>
      <c r="V68" s="377"/>
      <c r="W68" s="446"/>
      <c r="X68" s="446"/>
      <c r="Y68" s="446"/>
      <c r="Z68" s="446"/>
      <c r="AA68" s="446"/>
      <c r="AB68" s="446"/>
      <c r="AC68" s="1"/>
      <c r="AD68" s="1"/>
      <c r="AE68" s="1"/>
      <c r="AF68" s="1"/>
      <c r="AG68" s="1">
        <f t="shared" si="10"/>
        <v>208.6419753</v>
      </c>
      <c r="AH68" s="1"/>
      <c r="AI68" s="1">
        <f t="shared" si="11"/>
        <v>79.01234568</v>
      </c>
      <c r="AJ68" s="1"/>
      <c r="AK68" s="1">
        <f t="shared" si="12"/>
        <v>900</v>
      </c>
      <c r="AL68" s="1"/>
      <c r="AM68" s="1">
        <f t="shared" si="13"/>
        <v>149.382716</v>
      </c>
      <c r="AN68" s="1"/>
      <c r="AO68" s="1">
        <f t="shared" si="14"/>
        <v>149.382716</v>
      </c>
      <c r="AP68" s="1"/>
      <c r="AQ68" s="1">
        <f t="shared" si="15"/>
        <v>316.0493827</v>
      </c>
      <c r="AR68" s="1"/>
      <c r="AS68" s="1">
        <f t="shared" si="16"/>
        <v>208.6419753</v>
      </c>
      <c r="AT68" s="1">
        <f t="shared" si="24"/>
        <v>79.01234568</v>
      </c>
      <c r="AU68" s="1"/>
      <c r="AV68" s="1">
        <f t="shared" si="17"/>
        <v>2090.123457</v>
      </c>
      <c r="AW68" s="1"/>
      <c r="AX68" s="1">
        <f t="shared" si="18"/>
        <v>900</v>
      </c>
      <c r="AY68" s="1"/>
      <c r="AZ68" s="1">
        <f t="shared" si="19"/>
        <v>149.382716</v>
      </c>
      <c r="BA68" s="1"/>
      <c r="BB68" s="1">
        <f t="shared" si="20"/>
        <v>149.382716</v>
      </c>
      <c r="BC68" s="1"/>
      <c r="BD68" s="1">
        <f t="shared" si="21"/>
        <v>316.0493827</v>
      </c>
      <c r="BE68" s="1"/>
      <c r="BF68" s="1">
        <f t="shared" si="22"/>
        <v>0</v>
      </c>
      <c r="BG68" s="1"/>
      <c r="BH68" s="1">
        <f t="shared" si="23"/>
        <v>3892.592593</v>
      </c>
    </row>
    <row r="69" ht="14.25" customHeight="1">
      <c r="A69" s="1"/>
      <c r="B69" s="199"/>
      <c r="C69" s="199"/>
      <c r="D69" s="689"/>
      <c r="E69" s="689"/>
      <c r="F69" s="689"/>
      <c r="G69" s="689"/>
      <c r="H69" s="689"/>
      <c r="I69" s="689"/>
      <c r="J69" s="689"/>
      <c r="K69" s="689"/>
      <c r="L69" s="689"/>
      <c r="M69" s="689"/>
      <c r="N69" s="689"/>
      <c r="O69" s="689"/>
      <c r="P69" s="689"/>
      <c r="Q69" s="689"/>
      <c r="R69" s="696"/>
      <c r="S69" s="713"/>
      <c r="T69" s="696"/>
      <c r="U69" s="781"/>
      <c r="V69" s="377"/>
      <c r="W69" s="446"/>
      <c r="X69" s="446"/>
      <c r="Y69" s="446"/>
      <c r="Z69" s="446"/>
      <c r="AA69" s="446"/>
      <c r="AB69" s="446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</row>
    <row r="70" ht="14.25" customHeight="1">
      <c r="A70" s="1"/>
      <c r="B70" s="199" t="s">
        <v>369</v>
      </c>
      <c r="C70" s="199"/>
      <c r="D70" s="689">
        <f>IF(D61&lt;&gt;"",IF(D61&lt;&gt;0,D61-$S61,""),"")</f>
        <v>-0.8290199017</v>
      </c>
      <c r="E70" s="689"/>
      <c r="F70" s="689">
        <f>IF(F61&lt;&gt;"",IF(F61&lt;&gt;0,F61-$S61,""),"")</f>
        <v>-0.2693714309</v>
      </c>
      <c r="G70" s="689"/>
      <c r="H70" s="689">
        <f>IF(H61&lt;&gt;"",IF(H61&lt;&gt;0,H61-$S61,""),"")</f>
        <v>0.08484184282</v>
      </c>
      <c r="I70" s="689"/>
      <c r="J70" s="689">
        <f>IF(J61&lt;&gt;"",IF(J61&lt;&gt;0,J61-$S61,""),"")</f>
        <v>1.12816986</v>
      </c>
      <c r="K70" s="689"/>
      <c r="L70" s="689">
        <f>IF(L61&lt;&gt;"",IF(L61&lt;&gt;0,L61-$S61,""),"")</f>
        <v>0.3813732271</v>
      </c>
      <c r="M70" s="689"/>
      <c r="N70" s="689">
        <f>IF(N61&lt;&gt;"",IF(N61&lt;&gt;0,N61-$S61,""),"")</f>
        <v>-0.4959935972</v>
      </c>
      <c r="O70" s="689"/>
      <c r="P70" s="689" t="str">
        <f>IF(P61&lt;&gt;"",P61-$S61,"")</f>
        <v/>
      </c>
      <c r="Q70" s="689"/>
      <c r="R70" s="696"/>
      <c r="S70" s="764">
        <f>AV70</f>
        <v>3.191090488</v>
      </c>
      <c r="T70" s="758"/>
      <c r="U70" s="781"/>
      <c r="V70" s="377"/>
      <c r="W70" s="809"/>
      <c r="X70" s="809"/>
      <c r="Y70" s="809"/>
      <c r="Z70" s="809"/>
      <c r="AA70" s="809"/>
      <c r="AB70" s="809"/>
      <c r="AC70" s="1"/>
      <c r="AD70" s="1"/>
      <c r="AE70" s="1"/>
      <c r="AF70" s="1"/>
      <c r="AG70" s="1">
        <f>IF(D70&lt;&gt;"",D70^2,0)</f>
        <v>0.6872739974</v>
      </c>
      <c r="AH70" s="1"/>
      <c r="AI70" s="1">
        <f>IF(F70&lt;&gt;"",F70^2,0)</f>
        <v>0.07256096776</v>
      </c>
      <c r="AJ70" s="1"/>
      <c r="AK70" s="1">
        <f>IF(H70&lt;&gt;"",H70^2,0)</f>
        <v>0.007198138292</v>
      </c>
      <c r="AL70" s="1"/>
      <c r="AM70" s="1">
        <f>IF(J70&lt;&gt;"",J70^2,0)</f>
        <v>1.272767233</v>
      </c>
      <c r="AN70" s="1"/>
      <c r="AO70" s="1">
        <f>IF(L70&lt;&gt;"",L70^2,0)</f>
        <v>0.1454455383</v>
      </c>
      <c r="AP70" s="1"/>
      <c r="AQ70" s="1">
        <f>IF(N70&lt;&gt;"",N70^2,0)</f>
        <v>0.2460096484</v>
      </c>
      <c r="AR70" s="1"/>
      <c r="AS70" s="1">
        <f>IF(D70&lt;&gt;"",D70^2,0)</f>
        <v>0.6872739974</v>
      </c>
      <c r="AT70" s="1">
        <f>IF(F70&lt;&gt;"",F70^2,0)</f>
        <v>0.07256096776</v>
      </c>
      <c r="AU70" s="1"/>
      <c r="AV70" s="1">
        <f>SUM(AG70:AT70)</f>
        <v>3.191090488</v>
      </c>
      <c r="AW70" s="1"/>
      <c r="AX70" s="1">
        <f>IF(H70&lt;&gt;"",H70^2,0)</f>
        <v>0.007198138292</v>
      </c>
      <c r="AY70" s="1"/>
      <c r="AZ70" s="1">
        <f>IF(J70&lt;&gt;"",J70^2,0)</f>
        <v>1.272767233</v>
      </c>
      <c r="BA70" s="1"/>
      <c r="BB70" s="1">
        <f>IF(L70&lt;&gt;"",L70^2,0)</f>
        <v>0.1454455383</v>
      </c>
      <c r="BC70" s="1"/>
      <c r="BD70" s="1">
        <f>IF(N70&lt;&gt;"",N70^2,0)</f>
        <v>0.2460096484</v>
      </c>
      <c r="BE70" s="1"/>
      <c r="BF70" s="1">
        <f>IF(P70&lt;&gt;"",P70^2,0)</f>
        <v>0</v>
      </c>
      <c r="BG70" s="1"/>
      <c r="BH70" s="1">
        <f>SUM(AS70:BF70)</f>
        <v>5.622346011</v>
      </c>
    </row>
    <row r="71" ht="14.25" customHeight="1">
      <c r="A71" s="1"/>
      <c r="B71" s="199"/>
      <c r="C71" s="199"/>
      <c r="D71" s="689"/>
      <c r="E71" s="689"/>
      <c r="F71" s="816"/>
      <c r="G71" s="689"/>
      <c r="H71" s="816"/>
      <c r="I71" s="689"/>
      <c r="J71" s="816"/>
      <c r="K71" s="689"/>
      <c r="L71" s="816"/>
      <c r="M71" s="689"/>
      <c r="N71" s="816"/>
      <c r="O71" s="816"/>
      <c r="P71" s="816"/>
      <c r="Q71" s="816"/>
      <c r="R71" s="23"/>
      <c r="S71" s="817"/>
      <c r="T71" s="415"/>
      <c r="U71" s="819" t="str">
        <f>NUMBERVALUE(LEFT(U53,4))</f>
        <v>#NAME?</v>
      </c>
      <c r="V71" s="820"/>
      <c r="W71" s="819" t="str">
        <f>NUMBERVALUE(LEFT(W53,4))</f>
        <v>#NAME?</v>
      </c>
      <c r="X71" s="809"/>
      <c r="Y71" s="819" t="str">
        <f>NUMBERVALUE(LEFT(Y53,4))</f>
        <v>#NAME?</v>
      </c>
      <c r="Z71" s="809"/>
      <c r="AA71" s="819" t="str">
        <f>NUMBERVALUE(LEFT(AA53,4))</f>
        <v>#NAME?</v>
      </c>
      <c r="AB71" s="809"/>
      <c r="AC71" s="819" t="str">
        <f>NUMBERVALUE(LEFT(AC53,4))</f>
        <v>#NAME?</v>
      </c>
      <c r="AD71" s="39"/>
      <c r="AE71" s="828" t="str">
        <f>NUMBERVALUE(LEFT(U49,4))</f>
        <v>#NAME?</v>
      </c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</row>
    <row r="72" ht="14.25" customHeight="1">
      <c r="A72" s="1"/>
      <c r="B72" s="23" t="s">
        <v>414</v>
      </c>
      <c r="C72" s="23"/>
      <c r="D72" s="1"/>
      <c r="E72" s="1"/>
      <c r="F72" s="1"/>
      <c r="G72" s="1"/>
      <c r="H72" s="1"/>
      <c r="I72" s="1"/>
      <c r="J72" s="39"/>
      <c r="K72" s="1"/>
      <c r="L72" s="1"/>
      <c r="M72" s="1"/>
      <c r="N72" s="1"/>
      <c r="O72" s="1"/>
      <c r="P72" s="1"/>
      <c r="Q72" s="1"/>
      <c r="R72" s="832"/>
      <c r="S72" s="764"/>
      <c r="T72" s="764"/>
      <c r="U72" s="819"/>
      <c r="V72" s="819"/>
      <c r="W72" s="819"/>
      <c r="X72" s="819"/>
      <c r="Y72" s="819"/>
      <c r="Z72" s="833"/>
      <c r="AA72" s="819"/>
      <c r="AB72" s="833"/>
      <c r="AC72" s="819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</row>
    <row r="73" ht="14.25" customHeight="1">
      <c r="A73" s="1"/>
      <c r="B73" s="199" t="s">
        <v>418</v>
      </c>
      <c r="C73" s="23"/>
      <c r="D73" s="1"/>
      <c r="E73" s="1"/>
      <c r="F73" s="837">
        <f>IF(D31&lt;&gt;"",IF(D31&lt;&gt;0,F11/D31*100,""),"")</f>
        <v>11.81318681</v>
      </c>
      <c r="G73" s="1"/>
      <c r="H73" s="837">
        <f>IF(F31&lt;&gt;"",IF(F31&lt;&gt;0,H11/F31*100,""),"")</f>
        <v>13.23529412</v>
      </c>
      <c r="I73" s="1"/>
      <c r="J73" s="837">
        <f>IF(H31&lt;&gt;"",IF(H31&lt;&gt;0,J11/H31*100,""),"")</f>
        <v>13.91941392</v>
      </c>
      <c r="K73" s="1"/>
      <c r="L73" s="837">
        <f>IF(J31&lt;&gt;"",IF(J31&lt;&gt;0,L11/J31*100,""),"")</f>
        <v>8.602150538</v>
      </c>
      <c r="M73" s="1"/>
      <c r="N73" s="837">
        <f>IF(L31&lt;&gt;"",IF(L31&lt;&gt;0,N11/L31*100,""),"")</f>
        <v>9.779179811</v>
      </c>
      <c r="O73" s="1"/>
      <c r="P73" s="837">
        <f>IF(N31&lt;&gt;"", IF(N31&lt;&gt;0,P11/N31*100,""),"")</f>
        <v>9.433962264</v>
      </c>
      <c r="Q73" s="1"/>
      <c r="R73" s="696"/>
      <c r="S73" s="697">
        <f>AVERAGE(D73:P73)</f>
        <v>11.13053124</v>
      </c>
      <c r="T73" s="696"/>
      <c r="U73" s="842">
        <f>S73</f>
        <v>11.13053124</v>
      </c>
      <c r="V73" s="842"/>
      <c r="W73" s="842">
        <f>U73</f>
        <v>11.13053124</v>
      </c>
      <c r="X73" s="842"/>
      <c r="Y73" s="842">
        <f>W73</f>
        <v>11.13053124</v>
      </c>
      <c r="Z73" s="842"/>
      <c r="AA73" s="842">
        <f>Y73</f>
        <v>11.13053124</v>
      </c>
      <c r="AB73" s="842"/>
      <c r="AC73" s="842">
        <f>AA73</f>
        <v>11.13053124</v>
      </c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</row>
    <row r="74" ht="14.25" customHeight="1">
      <c r="A74" s="1"/>
      <c r="B74" s="199" t="s">
        <v>422</v>
      </c>
      <c r="C74" s="199"/>
      <c r="D74" s="1"/>
      <c r="E74" s="780"/>
      <c r="F74" s="846">
        <f>IF(D31&lt;&gt;"",IF(D31&lt;&gt;0,(F11+F13)/D31*100,""),"")</f>
        <v>122.8021978</v>
      </c>
      <c r="G74" s="780"/>
      <c r="H74" s="846">
        <f>IF(F31&lt;&gt;"",IF(F31&lt;&gt;0,(H11+H13)/F31*100,""),"")</f>
        <v>142.6470588</v>
      </c>
      <c r="I74" s="780"/>
      <c r="J74" s="846">
        <f>IF(H31&lt;&gt;"",IF(H31&lt;&gt;0,(J11+J13)/H31*100,""),"")</f>
        <v>135.8974359</v>
      </c>
      <c r="K74" s="780"/>
      <c r="L74" s="846">
        <f>IF(J31&lt;&gt;"",IF(J31&lt;&gt;0,(L11+L13)/J31*100,""),"")</f>
        <v>132.6164875</v>
      </c>
      <c r="M74" s="780"/>
      <c r="N74" s="846">
        <f>IF(L31&lt;&gt;"",IF(L31&lt;&gt;0,(N11+N13)/L31*100,""),"")</f>
        <v>145.1104101</v>
      </c>
      <c r="O74" s="846"/>
      <c r="P74" s="846">
        <f>IF(N31&lt;&gt;"",IF(N31&lt;&gt;0,(P11+P13)/N31*100,""),"")</f>
        <v>141.1949686</v>
      </c>
      <c r="Q74" s="846"/>
      <c r="R74" s="696"/>
      <c r="S74" s="713">
        <f t="shared" ref="S74:S77" si="25">AVERAGE(F74:P74)</f>
        <v>136.7114264</v>
      </c>
      <c r="T74" s="696"/>
      <c r="U74" s="842">
        <f>S74+U51</f>
        <v>136.7114264</v>
      </c>
      <c r="V74" s="842"/>
      <c r="W74" s="842">
        <f>U74+W51</f>
        <v>136.7114264</v>
      </c>
      <c r="X74" s="842"/>
      <c r="Y74" s="842">
        <f>W74+Y51</f>
        <v>136.7114264</v>
      </c>
      <c r="Z74" s="842"/>
      <c r="AA74" s="842">
        <f>Y74+AA51</f>
        <v>136.7114264</v>
      </c>
      <c r="AB74" s="842"/>
      <c r="AC74" s="842">
        <f>AA74+AC51</f>
        <v>136.7114264</v>
      </c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</row>
    <row r="75" ht="14.25" customHeight="1">
      <c r="A75" s="1"/>
      <c r="B75" s="199" t="s">
        <v>428</v>
      </c>
      <c r="C75" s="199"/>
      <c r="D75" s="1"/>
      <c r="E75" s="780"/>
      <c r="F75" s="846">
        <f>IF(D33&lt;&gt;"",IF(D33&lt;&gt;0,F15/D33*100,""),"")</f>
        <v>109.8092643</v>
      </c>
      <c r="G75" s="780"/>
      <c r="H75" s="846">
        <f>IF(F33&lt;&gt;"",IF(F33&lt;&gt;0,H15/F33*100,""),"")</f>
        <v>93.50961538</v>
      </c>
      <c r="I75" s="780"/>
      <c r="J75" s="846">
        <f>IF(H33&lt;&gt;"",IF(H33&lt;&gt;0,J15/H33*100,""),"")</f>
        <v>111.4058355</v>
      </c>
      <c r="K75" s="780"/>
      <c r="L75" s="846">
        <f>IF(J33&lt;&gt;"",IF(J33&lt;&gt;0,L15/J33*100,""),"")</f>
        <v>92.78606965</v>
      </c>
      <c r="M75" s="780"/>
      <c r="N75" s="846">
        <f>IF(L33&lt;&gt;"",IF(L33&lt;&gt;0,N15/L33*100,""),"")</f>
        <v>99.23469388</v>
      </c>
      <c r="O75" s="846"/>
      <c r="P75" s="846">
        <f>IF(N33&lt;&gt;"",IF(N33&lt;&gt;0,P15/N33*100,""),"")</f>
        <v>109.6982759</v>
      </c>
      <c r="Q75" s="846"/>
      <c r="R75" s="696"/>
      <c r="S75" s="713">
        <f t="shared" si="25"/>
        <v>102.7406258</v>
      </c>
      <c r="T75" s="865" t="s">
        <v>250</v>
      </c>
      <c r="U75" s="842">
        <f t="shared" ref="U75:U77" si="26">S75</f>
        <v>102.7406258</v>
      </c>
      <c r="V75" s="842"/>
      <c r="W75" s="842">
        <f t="shared" ref="W75:W77" si="27">U75</f>
        <v>102.7406258</v>
      </c>
      <c r="X75" s="842"/>
      <c r="Y75" s="842">
        <f t="shared" ref="Y75:Y77" si="28">W75</f>
        <v>102.7406258</v>
      </c>
      <c r="Z75" s="842"/>
      <c r="AA75" s="842">
        <f t="shared" ref="AA75:AA77" si="29">Y75</f>
        <v>102.7406258</v>
      </c>
      <c r="AB75" s="842"/>
      <c r="AC75" s="842">
        <f t="shared" ref="AC75:AC77" si="30">AA75</f>
        <v>102.7406258</v>
      </c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</row>
    <row r="76" ht="14.25" customHeight="1">
      <c r="A76" s="1"/>
      <c r="B76" s="199" t="s">
        <v>431</v>
      </c>
      <c r="C76" s="199"/>
      <c r="D76" s="1"/>
      <c r="E76" s="780"/>
      <c r="F76" s="846">
        <f>IF(D35&lt;&gt;"",IF(D35&lt;&gt;0,F17/D35*100,""),"")</f>
        <v>108.5995086</v>
      </c>
      <c r="G76" s="780"/>
      <c r="H76" s="846">
        <f>IF(F35&lt;&gt;"",IF(F35&lt;&gt;0,H17/F35*100,""),"")</f>
        <v>110.2040816</v>
      </c>
      <c r="I76" s="780"/>
      <c r="J76" s="846">
        <f>IF(H35&lt;&gt;"",IF(H35&lt;&gt;0,J17/H35*100,""),"")</f>
        <v>110.7226107</v>
      </c>
      <c r="K76" s="780"/>
      <c r="L76" s="846">
        <f>IF(J35&lt;&gt;"",IF(J35&lt;&gt;0,L17/J35*100,""),"")</f>
        <v>131.9884726</v>
      </c>
      <c r="M76" s="780"/>
      <c r="N76" s="846">
        <f>IF(L35&lt;&gt;"",IF(L35&lt;&gt;0,N17/L35*100,""),"")</f>
        <v>108.6294416</v>
      </c>
      <c r="O76" s="846"/>
      <c r="P76" s="846">
        <f>IF(N35&lt;&gt;"",IF(N35&lt;&gt;0,P17/N35*100,""),"")</f>
        <v>101.6129032</v>
      </c>
      <c r="Q76" s="846"/>
      <c r="R76" s="696"/>
      <c r="S76" s="713">
        <f t="shared" si="25"/>
        <v>111.9595031</v>
      </c>
      <c r="T76" s="696"/>
      <c r="U76" s="842">
        <f t="shared" si="26"/>
        <v>111.9595031</v>
      </c>
      <c r="V76" s="842"/>
      <c r="W76" s="842">
        <f t="shared" si="27"/>
        <v>111.9595031</v>
      </c>
      <c r="X76" s="842"/>
      <c r="Y76" s="842">
        <f t="shared" si="28"/>
        <v>111.9595031</v>
      </c>
      <c r="Z76" s="842"/>
      <c r="AA76" s="842">
        <f t="shared" si="29"/>
        <v>111.9595031</v>
      </c>
      <c r="AB76" s="842"/>
      <c r="AC76" s="842">
        <f t="shared" si="30"/>
        <v>111.9595031</v>
      </c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</row>
    <row r="77" ht="14.25" customHeight="1">
      <c r="A77" s="1"/>
      <c r="B77" s="199" t="s">
        <v>195</v>
      </c>
      <c r="C77" s="199"/>
      <c r="D77" s="780"/>
      <c r="E77" s="780"/>
      <c r="F77" s="846">
        <f>IF(D41&lt;&gt;"",IF(D41&lt;&gt;0,SUM(F11:F17)/SUM(D31:D35)*100,""),"")</f>
        <v>113.5325132</v>
      </c>
      <c r="G77" s="780"/>
      <c r="H77" s="846">
        <f>IF(F41&lt;&gt;"",IF(F41&lt;&gt;0,SUM(H11:H17)/SUM(F31:F35)*100,""),"")</f>
        <v>113.7630662</v>
      </c>
      <c r="I77" s="780"/>
      <c r="J77" s="846">
        <f>IF(H41&lt;&gt;"",IF(H41&lt;&gt;0,SUM(J11:J17)/SUM(H31:H35)*100,""),"")</f>
        <v>117.3308619</v>
      </c>
      <c r="K77" s="780"/>
      <c r="L77" s="846">
        <f>IF(J41&lt;&gt;"",IF(J41&lt;&gt;0,SUM(L11:L17)/SUM(J31:J35)*100,""),"")</f>
        <v>116.8287938</v>
      </c>
      <c r="M77" s="780"/>
      <c r="N77" s="846">
        <f>IF(L41&lt;&gt;"",IF(L41&lt;&gt;0,SUM(N11:N17)/SUM(L31:L35)*100,""),"")</f>
        <v>115.7751587</v>
      </c>
      <c r="O77" s="846"/>
      <c r="P77" s="846">
        <f>IF(N41&lt;&gt;"",IF(N41&lt;&gt;0,SUM(P11:P17)/SUM(N31:N35)*100,""),"")</f>
        <v>115.0493421</v>
      </c>
      <c r="Q77" s="846"/>
      <c r="R77" s="696"/>
      <c r="S77" s="756">
        <f t="shared" si="25"/>
        <v>115.379956</v>
      </c>
      <c r="T77" s="758"/>
      <c r="U77" s="842">
        <f t="shared" si="26"/>
        <v>115.379956</v>
      </c>
      <c r="V77" s="842"/>
      <c r="W77" s="842">
        <f t="shared" si="27"/>
        <v>115.379956</v>
      </c>
      <c r="X77" s="842"/>
      <c r="Y77" s="842">
        <f t="shared" si="28"/>
        <v>115.379956</v>
      </c>
      <c r="Z77" s="842"/>
      <c r="AA77" s="842">
        <f t="shared" si="29"/>
        <v>115.379956</v>
      </c>
      <c r="AB77" s="842"/>
      <c r="AC77" s="842">
        <f t="shared" si="30"/>
        <v>115.379956</v>
      </c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</row>
    <row r="78" ht="14.25" customHeight="1">
      <c r="A78" s="1"/>
      <c r="B78" s="199"/>
      <c r="C78" s="199"/>
      <c r="D78" s="1"/>
      <c r="E78" s="1"/>
      <c r="F78" s="1"/>
      <c r="G78" s="1"/>
      <c r="H78" s="1"/>
      <c r="I78" s="1"/>
      <c r="J78" s="39"/>
      <c r="K78" s="1"/>
      <c r="L78" s="1"/>
      <c r="M78" s="1"/>
      <c r="N78" s="1"/>
      <c r="O78" s="1"/>
      <c r="P78" s="1"/>
      <c r="Q78" s="1"/>
      <c r="R78" s="832"/>
      <c r="S78" s="817"/>
      <c r="T78" s="817"/>
      <c r="U78" s="687"/>
      <c r="V78" s="687"/>
      <c r="W78" s="446"/>
      <c r="X78" s="446"/>
      <c r="Y78" s="446"/>
      <c r="Z78" s="446"/>
      <c r="AA78" s="446"/>
      <c r="AB78" s="446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</row>
    <row r="79" ht="14.25" customHeight="1">
      <c r="A79" s="1"/>
      <c r="B79" s="462" t="s">
        <v>445</v>
      </c>
      <c r="C79" s="462"/>
      <c r="D79" s="1"/>
      <c r="E79" s="1"/>
      <c r="F79" s="1"/>
      <c r="G79" s="1"/>
      <c r="H79" s="1"/>
      <c r="I79" s="1"/>
      <c r="J79" s="39"/>
      <c r="K79" s="1"/>
      <c r="L79" s="1"/>
      <c r="M79" s="1"/>
      <c r="N79" s="1"/>
      <c r="O79" s="1"/>
      <c r="P79" s="1"/>
      <c r="Q79" s="1"/>
      <c r="R79" s="832"/>
      <c r="S79" s="713"/>
      <c r="T79" s="687"/>
      <c r="U79" s="687"/>
      <c r="V79" s="377"/>
      <c r="W79" s="446"/>
      <c r="X79" s="446"/>
      <c r="Y79" s="446"/>
      <c r="Z79" s="446"/>
      <c r="AA79" s="446"/>
      <c r="AB79" s="446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</row>
    <row r="80" ht="14.25" customHeight="1">
      <c r="A80" s="1"/>
      <c r="B80" s="199" t="str">
        <f t="shared" ref="B80:B84" si="31">B73</f>
        <v>FR to FF</v>
      </c>
      <c r="C80" s="462"/>
      <c r="D80" s="1"/>
      <c r="E80" s="1"/>
      <c r="F80" s="846">
        <f t="shared" ref="F80:F84" si="32">IF(F73&lt;&gt;"",F73-$S73,"")</f>
        <v>0.6826555694</v>
      </c>
      <c r="G80" s="1"/>
      <c r="H80" s="846">
        <f t="shared" ref="H80:H84" si="33">IF(H73&lt;&gt;"",H73-$S73,"")</f>
        <v>2.104762874</v>
      </c>
      <c r="I80" s="1"/>
      <c r="J80" s="846">
        <f t="shared" ref="J80:J84" si="34">IF(J73&lt;&gt;"",J73-$S73,"")</f>
        <v>2.788882676</v>
      </c>
      <c r="K80" s="1"/>
      <c r="L80" s="846">
        <f t="shared" ref="L80:L84" si="35">IF(L73&lt;&gt;"",L73-$S73,"")</f>
        <v>-2.528380706</v>
      </c>
      <c r="M80" s="1"/>
      <c r="N80" s="846">
        <f t="shared" ref="N80:N84" si="36">IF(N73&lt;&gt;"",N73-$S73,"")</f>
        <v>-1.351351433</v>
      </c>
      <c r="O80" s="1"/>
      <c r="P80" s="846">
        <f t="shared" ref="P80:P84" si="37">IF(P73&lt;&gt;"",P73-$S73,"")</f>
        <v>-1.69656898</v>
      </c>
      <c r="Q80" s="1"/>
      <c r="R80" s="696"/>
      <c r="S80" s="778">
        <f t="shared" ref="S80:S84" si="38">AV80</f>
        <v>23.77111795</v>
      </c>
      <c r="T80" s="779"/>
      <c r="U80" s="687"/>
      <c r="V80" s="377"/>
      <c r="W80" s="446"/>
      <c r="X80" s="446"/>
      <c r="Y80" s="446"/>
      <c r="Z80" s="446"/>
      <c r="AA80" s="446"/>
      <c r="AB80" s="446"/>
      <c r="AC80" s="1"/>
      <c r="AD80" s="1"/>
      <c r="AE80" s="1"/>
      <c r="AF80" s="1"/>
      <c r="AG80" s="1"/>
      <c r="AH80" s="1"/>
      <c r="AI80" s="837">
        <f t="shared" ref="AI80:AI84" si="39">IF(F80&lt;&gt;"",F80^2,0)</f>
        <v>0.4660186264</v>
      </c>
      <c r="AJ80" s="837"/>
      <c r="AK80" s="837">
        <f t="shared" ref="AK80:AK84" si="40">IF(H80&lt;&gt;"",H80^2,0)</f>
        <v>4.430026755</v>
      </c>
      <c r="AL80" s="837"/>
      <c r="AM80" s="837">
        <f t="shared" ref="AM80:AM84" si="41">IF(J80&lt;&gt;"",J80^2,0)</f>
        <v>7.777866578</v>
      </c>
      <c r="AN80" s="837"/>
      <c r="AO80" s="837">
        <f t="shared" ref="AO80:AO84" si="42">IF(L80&lt;&gt;"",L80^2,0)</f>
        <v>6.392708995</v>
      </c>
      <c r="AP80" s="837"/>
      <c r="AQ80" s="837">
        <f t="shared" ref="AQ80:AQ84" si="43">IF(N80&lt;&gt;"",N80^2,0)</f>
        <v>1.826150696</v>
      </c>
      <c r="AR80" s="837"/>
      <c r="AS80" s="837"/>
      <c r="AT80" s="837">
        <f t="shared" ref="AT80:AT84" si="44">IF(P80&lt;&gt;"",P80^2,0)</f>
        <v>2.878346303</v>
      </c>
      <c r="AU80" s="837"/>
      <c r="AV80" s="837">
        <f t="shared" ref="AV80:AV84" si="45">SUM(AG80:AT80)</f>
        <v>23.77111795</v>
      </c>
      <c r="AW80" s="1">
        <f t="shared" ref="AW80:AW84" si="46">IF(H80&lt;&gt;"",H80^2,0)</f>
        <v>4.430026755</v>
      </c>
      <c r="AX80" s="1"/>
      <c r="AY80" s="1">
        <f t="shared" ref="AY80:AY84" si="47">IF(J80&lt;&gt;"",J80^2,0)</f>
        <v>7.777866578</v>
      </c>
      <c r="AZ80" s="1"/>
      <c r="BA80" s="1">
        <f t="shared" ref="BA80:BA84" si="48">IF(L80&lt;&gt;"",L80^2,0)</f>
        <v>6.392708995</v>
      </c>
      <c r="BB80" s="1"/>
      <c r="BC80" s="1">
        <f t="shared" ref="BC80:BC84" si="49">IF(N80&lt;&gt;"",N80^2,0)</f>
        <v>1.826150696</v>
      </c>
      <c r="BD80" s="1"/>
      <c r="BE80" s="1">
        <f t="shared" ref="BE80:BE84" si="50">IF(P80&lt;&gt;"",P80^2,0)</f>
        <v>2.878346303</v>
      </c>
      <c r="BF80" s="1"/>
      <c r="BG80" s="837">
        <f t="shared" ref="BG80:BG84" si="51">SUM(AS80:BE80)</f>
        <v>49.95456358</v>
      </c>
      <c r="BH80" s="1"/>
    </row>
    <row r="81" ht="14.25" customHeight="1">
      <c r="A81" s="1"/>
      <c r="B81" s="199" t="str">
        <f t="shared" si="31"/>
        <v>FR to Soph</v>
      </c>
      <c r="C81" s="199"/>
      <c r="D81" s="1"/>
      <c r="E81" s="1"/>
      <c r="F81" s="846">
        <f t="shared" si="32"/>
        <v>-13.90922864</v>
      </c>
      <c r="G81" s="1"/>
      <c r="H81" s="846">
        <f t="shared" si="33"/>
        <v>5.935632386</v>
      </c>
      <c r="I81" s="1"/>
      <c r="J81" s="846">
        <f t="shared" si="34"/>
        <v>-0.8139905403</v>
      </c>
      <c r="K81" s="1"/>
      <c r="L81" s="846">
        <f t="shared" si="35"/>
        <v>-4.094938983</v>
      </c>
      <c r="M81" s="1"/>
      <c r="N81" s="846">
        <f t="shared" si="36"/>
        <v>8.398983657</v>
      </c>
      <c r="O81" s="846"/>
      <c r="P81" s="846">
        <f t="shared" si="37"/>
        <v>4.483542116</v>
      </c>
      <c r="Q81" s="846"/>
      <c r="R81" s="696"/>
      <c r="S81" s="790">
        <f t="shared" si="38"/>
        <v>336.7745553</v>
      </c>
      <c r="T81" s="865" t="s">
        <v>453</v>
      </c>
      <c r="U81" s="781"/>
      <c r="V81" s="377"/>
      <c r="W81" s="446"/>
      <c r="X81" s="446"/>
      <c r="Y81" s="446"/>
      <c r="Z81" s="446"/>
      <c r="AA81" s="446"/>
      <c r="AB81" s="446"/>
      <c r="AC81" s="1"/>
      <c r="AD81" s="1"/>
      <c r="AE81" s="1"/>
      <c r="AF81" s="1"/>
      <c r="AG81" s="1"/>
      <c r="AH81" s="1"/>
      <c r="AI81" s="837">
        <f t="shared" si="39"/>
        <v>193.4666412</v>
      </c>
      <c r="AJ81" s="837"/>
      <c r="AK81" s="837">
        <f t="shared" si="40"/>
        <v>35.23173182</v>
      </c>
      <c r="AL81" s="837"/>
      <c r="AM81" s="837">
        <f t="shared" si="41"/>
        <v>0.6625805997</v>
      </c>
      <c r="AN81" s="837"/>
      <c r="AO81" s="837">
        <f t="shared" si="42"/>
        <v>16.76852527</v>
      </c>
      <c r="AP81" s="837"/>
      <c r="AQ81" s="837">
        <f t="shared" si="43"/>
        <v>70.54292647</v>
      </c>
      <c r="AR81" s="837"/>
      <c r="AS81" s="837">
        <f t="shared" ref="AS81:AS84" si="52">IF(D81&lt;&gt;"",D81^2,0)</f>
        <v>0</v>
      </c>
      <c r="AT81" s="837">
        <f t="shared" si="44"/>
        <v>20.1021499</v>
      </c>
      <c r="AU81" s="837"/>
      <c r="AV81" s="837">
        <f t="shared" si="45"/>
        <v>336.7745553</v>
      </c>
      <c r="AW81" s="1">
        <f t="shared" si="46"/>
        <v>35.23173182</v>
      </c>
      <c r="AX81" s="1"/>
      <c r="AY81" s="1">
        <f t="shared" si="47"/>
        <v>0.6625805997</v>
      </c>
      <c r="AZ81" s="1"/>
      <c r="BA81" s="1">
        <f t="shared" si="48"/>
        <v>16.76852527</v>
      </c>
      <c r="BB81" s="1"/>
      <c r="BC81" s="1">
        <f t="shared" si="49"/>
        <v>70.54292647</v>
      </c>
      <c r="BD81" s="1"/>
      <c r="BE81" s="1">
        <f t="shared" si="50"/>
        <v>20.1021499</v>
      </c>
      <c r="BF81" s="1"/>
      <c r="BG81" s="837">
        <f t="shared" si="51"/>
        <v>500.1846193</v>
      </c>
      <c r="BH81" s="1"/>
    </row>
    <row r="82" ht="14.25" customHeight="1">
      <c r="A82" s="1"/>
      <c r="B82" s="199" t="str">
        <f t="shared" si="31"/>
        <v>Soph to Junior</v>
      </c>
      <c r="C82" s="199"/>
      <c r="D82" s="1"/>
      <c r="E82" s="1"/>
      <c r="F82" s="846">
        <f t="shared" si="32"/>
        <v>7.068638534</v>
      </c>
      <c r="G82" s="1"/>
      <c r="H82" s="846">
        <f t="shared" si="33"/>
        <v>-9.231010386</v>
      </c>
      <c r="I82" s="1"/>
      <c r="J82" s="846">
        <f t="shared" si="34"/>
        <v>8.665209773</v>
      </c>
      <c r="K82" s="1"/>
      <c r="L82" s="846">
        <f t="shared" si="35"/>
        <v>-9.954556119</v>
      </c>
      <c r="M82" s="1"/>
      <c r="N82" s="846">
        <f t="shared" si="36"/>
        <v>-3.505931893</v>
      </c>
      <c r="O82" s="846"/>
      <c r="P82" s="846">
        <f t="shared" si="37"/>
        <v>6.957650091</v>
      </c>
      <c r="Q82" s="846"/>
      <c r="R82" s="696"/>
      <c r="S82" s="790">
        <f t="shared" si="38"/>
        <v>370.0567046</v>
      </c>
      <c r="T82" s="797" t="s">
        <v>454</v>
      </c>
      <c r="U82" s="781"/>
      <c r="V82" s="377"/>
      <c r="W82" s="446"/>
      <c r="X82" s="446"/>
      <c r="Y82" s="446"/>
      <c r="Z82" s="446"/>
      <c r="AA82" s="446"/>
      <c r="AB82" s="446"/>
      <c r="AC82" s="1"/>
      <c r="AD82" s="1"/>
      <c r="AE82" s="1"/>
      <c r="AF82" s="1"/>
      <c r="AG82" s="1"/>
      <c r="AH82" s="1"/>
      <c r="AI82" s="837">
        <f t="shared" si="39"/>
        <v>49.96565073</v>
      </c>
      <c r="AJ82" s="837"/>
      <c r="AK82" s="837">
        <f t="shared" si="40"/>
        <v>85.21155275</v>
      </c>
      <c r="AL82" s="837"/>
      <c r="AM82" s="837">
        <f t="shared" si="41"/>
        <v>75.08586041</v>
      </c>
      <c r="AN82" s="837"/>
      <c r="AO82" s="837">
        <f t="shared" si="42"/>
        <v>99.09318753</v>
      </c>
      <c r="AP82" s="837"/>
      <c r="AQ82" s="837">
        <f t="shared" si="43"/>
        <v>12.29155844</v>
      </c>
      <c r="AR82" s="837"/>
      <c r="AS82" s="837">
        <f t="shared" si="52"/>
        <v>0</v>
      </c>
      <c r="AT82" s="837">
        <f t="shared" si="44"/>
        <v>48.40889479</v>
      </c>
      <c r="AU82" s="837"/>
      <c r="AV82" s="837">
        <f t="shared" si="45"/>
        <v>370.0567046</v>
      </c>
      <c r="AW82" s="1">
        <f t="shared" si="46"/>
        <v>85.21155275</v>
      </c>
      <c r="AX82" s="1"/>
      <c r="AY82" s="1">
        <f t="shared" si="47"/>
        <v>75.08586041</v>
      </c>
      <c r="AZ82" s="1"/>
      <c r="BA82" s="1">
        <f t="shared" si="48"/>
        <v>99.09318753</v>
      </c>
      <c r="BB82" s="1"/>
      <c r="BC82" s="1">
        <f t="shared" si="49"/>
        <v>12.29155844</v>
      </c>
      <c r="BD82" s="1"/>
      <c r="BE82" s="1">
        <f t="shared" si="50"/>
        <v>48.40889479</v>
      </c>
      <c r="BF82" s="1"/>
      <c r="BG82" s="837">
        <f t="shared" si="51"/>
        <v>738.5566534</v>
      </c>
      <c r="BH82" s="1"/>
    </row>
    <row r="83" ht="14.25" customHeight="1">
      <c r="A83" s="1"/>
      <c r="B83" s="199" t="str">
        <f t="shared" si="31"/>
        <v>Junior to Senior</v>
      </c>
      <c r="C83" s="199"/>
      <c r="D83" s="1"/>
      <c r="E83" s="1"/>
      <c r="F83" s="846">
        <f t="shared" si="32"/>
        <v>-3.359994472</v>
      </c>
      <c r="G83" s="1"/>
      <c r="H83" s="846">
        <f t="shared" si="33"/>
        <v>-1.755421439</v>
      </c>
      <c r="I83" s="1"/>
      <c r="J83" s="846">
        <f t="shared" si="34"/>
        <v>-1.236892349</v>
      </c>
      <c r="K83" s="1"/>
      <c r="L83" s="846">
        <f t="shared" si="35"/>
        <v>20.02896955</v>
      </c>
      <c r="M83" s="1"/>
      <c r="N83" s="846">
        <f t="shared" si="36"/>
        <v>-3.330061447</v>
      </c>
      <c r="O83" s="846"/>
      <c r="P83" s="846">
        <f t="shared" si="37"/>
        <v>-10.34659985</v>
      </c>
      <c r="Q83" s="846"/>
      <c r="R83" s="696"/>
      <c r="S83" s="790">
        <f t="shared" si="38"/>
        <v>535.2020288</v>
      </c>
      <c r="T83" s="865"/>
      <c r="U83" s="781"/>
      <c r="V83" s="377"/>
      <c r="W83" s="446"/>
      <c r="X83" s="446"/>
      <c r="Y83" s="446"/>
      <c r="Z83" s="446"/>
      <c r="AA83" s="446"/>
      <c r="AB83" s="446"/>
      <c r="AC83" s="1"/>
      <c r="AD83" s="1"/>
      <c r="AE83" s="1"/>
      <c r="AF83" s="1"/>
      <c r="AG83" s="1"/>
      <c r="AH83" s="1"/>
      <c r="AI83" s="837">
        <f t="shared" si="39"/>
        <v>11.28956285</v>
      </c>
      <c r="AJ83" s="837"/>
      <c r="AK83" s="837">
        <f t="shared" si="40"/>
        <v>3.081504427</v>
      </c>
      <c r="AL83" s="837"/>
      <c r="AM83" s="837">
        <f t="shared" si="41"/>
        <v>1.529902682</v>
      </c>
      <c r="AN83" s="837"/>
      <c r="AO83" s="837">
        <f t="shared" si="42"/>
        <v>401.1596213</v>
      </c>
      <c r="AP83" s="837"/>
      <c r="AQ83" s="837">
        <f t="shared" si="43"/>
        <v>11.08930924</v>
      </c>
      <c r="AR83" s="837"/>
      <c r="AS83" s="837">
        <f t="shared" si="52"/>
        <v>0</v>
      </c>
      <c r="AT83" s="837">
        <f t="shared" si="44"/>
        <v>107.0521284</v>
      </c>
      <c r="AU83" s="837"/>
      <c r="AV83" s="837">
        <f t="shared" si="45"/>
        <v>535.2020288</v>
      </c>
      <c r="AW83" s="1">
        <f t="shared" si="46"/>
        <v>3.081504427</v>
      </c>
      <c r="AX83" s="1"/>
      <c r="AY83" s="1">
        <f t="shared" si="47"/>
        <v>1.529902682</v>
      </c>
      <c r="AZ83" s="1"/>
      <c r="BA83" s="1">
        <f t="shared" si="48"/>
        <v>401.1596213</v>
      </c>
      <c r="BB83" s="1"/>
      <c r="BC83" s="1">
        <f t="shared" si="49"/>
        <v>11.08930924</v>
      </c>
      <c r="BD83" s="1"/>
      <c r="BE83" s="1">
        <f t="shared" si="50"/>
        <v>107.0521284</v>
      </c>
      <c r="BF83" s="1"/>
      <c r="BG83" s="837">
        <f t="shared" si="51"/>
        <v>1166.166623</v>
      </c>
      <c r="BH83" s="1"/>
    </row>
    <row r="84" ht="14.25" customHeight="1">
      <c r="A84" s="1"/>
      <c r="B84" s="199" t="str">
        <f t="shared" si="31"/>
        <v>Overall</v>
      </c>
      <c r="C84" s="199"/>
      <c r="D84" s="1"/>
      <c r="E84" s="1"/>
      <c r="F84" s="846">
        <f t="shared" si="32"/>
        <v>-1.847442791</v>
      </c>
      <c r="G84" s="1"/>
      <c r="H84" s="846">
        <f t="shared" si="33"/>
        <v>-1.61688977</v>
      </c>
      <c r="I84" s="1"/>
      <c r="J84" s="846">
        <f t="shared" si="34"/>
        <v>1.950905937</v>
      </c>
      <c r="K84" s="1"/>
      <c r="L84" s="846">
        <f t="shared" si="35"/>
        <v>1.448837803</v>
      </c>
      <c r="M84" s="1"/>
      <c r="N84" s="846">
        <f t="shared" si="36"/>
        <v>0.3952026865</v>
      </c>
      <c r="O84" s="846"/>
      <c r="P84" s="846">
        <f t="shared" si="37"/>
        <v>-0.3306138664</v>
      </c>
      <c r="Q84" s="846"/>
      <c r="R84" s="696"/>
      <c r="S84" s="764">
        <f t="shared" si="38"/>
        <v>12.19803304</v>
      </c>
      <c r="T84" s="758"/>
      <c r="U84" s="781"/>
      <c r="V84" s="377"/>
      <c r="W84" s="446"/>
      <c r="X84" s="446"/>
      <c r="Y84" s="446"/>
      <c r="Z84" s="446"/>
      <c r="AA84" s="446"/>
      <c r="AB84" s="446"/>
      <c r="AC84" s="1"/>
      <c r="AD84" s="1"/>
      <c r="AE84" s="1"/>
      <c r="AF84" s="1"/>
      <c r="AG84" s="1"/>
      <c r="AH84" s="1"/>
      <c r="AI84" s="837">
        <f t="shared" si="39"/>
        <v>3.413044865</v>
      </c>
      <c r="AJ84" s="837"/>
      <c r="AK84" s="837">
        <f t="shared" si="40"/>
        <v>2.614332527</v>
      </c>
      <c r="AL84" s="837"/>
      <c r="AM84" s="837">
        <f t="shared" si="41"/>
        <v>3.806033977</v>
      </c>
      <c r="AN84" s="837"/>
      <c r="AO84" s="837">
        <f t="shared" si="42"/>
        <v>2.099130978</v>
      </c>
      <c r="AP84" s="837"/>
      <c r="AQ84" s="837">
        <f t="shared" si="43"/>
        <v>0.1561851634</v>
      </c>
      <c r="AR84" s="837"/>
      <c r="AS84" s="837">
        <f t="shared" si="52"/>
        <v>0</v>
      </c>
      <c r="AT84" s="837">
        <f t="shared" si="44"/>
        <v>0.1093055287</v>
      </c>
      <c r="AU84" s="837"/>
      <c r="AV84" s="837">
        <f t="shared" si="45"/>
        <v>12.19803304</v>
      </c>
      <c r="AW84" s="1">
        <f t="shared" si="46"/>
        <v>2.614332527</v>
      </c>
      <c r="AX84" s="1"/>
      <c r="AY84" s="1">
        <f t="shared" si="47"/>
        <v>3.806033977</v>
      </c>
      <c r="AZ84" s="1"/>
      <c r="BA84" s="1">
        <f t="shared" si="48"/>
        <v>2.099130978</v>
      </c>
      <c r="BB84" s="1"/>
      <c r="BC84" s="1">
        <f t="shared" si="49"/>
        <v>0.1561851634</v>
      </c>
      <c r="BD84" s="1"/>
      <c r="BE84" s="1">
        <f t="shared" si="50"/>
        <v>0.1093055287</v>
      </c>
      <c r="BF84" s="1"/>
      <c r="BG84" s="837">
        <f t="shared" si="51"/>
        <v>21.09232674</v>
      </c>
      <c r="BH84" s="1"/>
    </row>
    <row r="85" ht="14.25" customHeight="1">
      <c r="A85" s="1"/>
      <c r="B85" s="199"/>
      <c r="C85" s="199"/>
      <c r="D85" s="1"/>
      <c r="E85" s="1"/>
      <c r="F85" s="846"/>
      <c r="G85" s="1"/>
      <c r="H85" s="846"/>
      <c r="I85" s="1"/>
      <c r="J85" s="846"/>
      <c r="K85" s="1"/>
      <c r="L85" s="846"/>
      <c r="M85" s="1"/>
      <c r="N85" s="846"/>
      <c r="O85" s="846"/>
      <c r="P85" s="846"/>
      <c r="Q85" s="846"/>
      <c r="R85" s="898"/>
      <c r="S85" s="790"/>
      <c r="T85" s="790"/>
      <c r="U85" s="781"/>
      <c r="V85" s="781"/>
      <c r="W85" s="446"/>
      <c r="X85" s="446"/>
      <c r="Y85" s="446"/>
      <c r="Z85" s="446"/>
      <c r="AA85" s="446"/>
      <c r="AB85" s="446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</row>
    <row r="86" ht="14.25" customHeight="1">
      <c r="A86" s="1"/>
      <c r="B86" s="899"/>
      <c r="C86" s="899"/>
      <c r="D86" s="900" t="s">
        <v>455</v>
      </c>
      <c r="E86" s="70"/>
      <c r="F86" s="901"/>
      <c r="G86" s="1"/>
      <c r="H86" s="900" t="s">
        <v>456</v>
      </c>
      <c r="I86" s="70"/>
      <c r="J86" s="901"/>
      <c r="K86" s="1"/>
      <c r="L86" s="1"/>
      <c r="M86" s="1"/>
      <c r="N86" s="1"/>
      <c r="O86" s="1"/>
      <c r="P86" s="1"/>
      <c r="Q86" s="1"/>
      <c r="R86" s="832"/>
      <c r="S86" s="817"/>
      <c r="T86" s="817"/>
      <c r="U86" s="687"/>
      <c r="V86" s="687"/>
      <c r="W86" s="46"/>
      <c r="X86" s="46"/>
      <c r="Y86" s="46"/>
      <c r="Z86" s="46"/>
      <c r="AA86" s="46"/>
      <c r="AB86" s="46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</row>
    <row r="87" ht="14.25" customHeight="1">
      <c r="A87" s="1"/>
      <c r="B87" s="1"/>
      <c r="C87" s="1"/>
      <c r="D87" s="902" t="s">
        <v>457</v>
      </c>
      <c r="E87" s="659"/>
      <c r="F87" s="660"/>
      <c r="G87" s="468"/>
      <c r="H87" s="902" t="s">
        <v>457</v>
      </c>
      <c r="I87" s="659"/>
      <c r="J87" s="660"/>
      <c r="K87" s="468"/>
      <c r="L87" s="468"/>
      <c r="M87" s="468"/>
      <c r="N87" s="468"/>
      <c r="O87" s="468"/>
      <c r="P87" s="468"/>
      <c r="Q87" s="468"/>
      <c r="R87" s="375"/>
      <c r="S87" s="415"/>
      <c r="T87" s="415"/>
      <c r="U87" s="377"/>
      <c r="V87" s="377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</row>
    <row r="88" ht="14.25" customHeight="1">
      <c r="A88" s="1"/>
      <c r="B88" s="1"/>
      <c r="C88" s="1"/>
      <c r="D88" s="903">
        <v>1.0</v>
      </c>
      <c r="E88" s="904"/>
      <c r="F88" s="905">
        <f>IF(D$9&lt;&gt;"", IF(D$9&lt;&gt;0,D$9,""),"")</f>
        <v>530</v>
      </c>
      <c r="G88" s="468"/>
      <c r="H88" s="903">
        <v>1.0</v>
      </c>
      <c r="I88" s="904"/>
      <c r="J88" s="905">
        <f>D$23</f>
        <v>37</v>
      </c>
      <c r="K88" s="468"/>
      <c r="L88" s="468"/>
      <c r="M88" s="468"/>
      <c r="N88" s="468"/>
      <c r="O88" s="468"/>
      <c r="P88" s="468"/>
      <c r="Q88" s="468"/>
      <c r="R88" s="375"/>
      <c r="S88" s="415"/>
      <c r="T88" s="415"/>
      <c r="U88" s="377"/>
      <c r="V88" s="377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</row>
    <row r="89" ht="14.25" customHeight="1">
      <c r="A89" s="1"/>
      <c r="B89" s="1"/>
      <c r="C89" s="1"/>
      <c r="D89" s="903">
        <v>2.0</v>
      </c>
      <c r="E89" s="904"/>
      <c r="F89" s="905">
        <f>IF(F$9&lt;&gt;"", IF(F$9&lt;&gt;0,F$9,""),"")</f>
        <v>490</v>
      </c>
      <c r="G89" s="468"/>
      <c r="H89" s="903">
        <v>2.0</v>
      </c>
      <c r="I89" s="904"/>
      <c r="J89" s="905">
        <f>F23</f>
        <v>36</v>
      </c>
      <c r="K89" s="468"/>
      <c r="L89" s="468"/>
      <c r="M89" s="468"/>
      <c r="N89" s="468"/>
      <c r="O89" s="468"/>
      <c r="P89" s="468"/>
      <c r="Q89" s="468"/>
      <c r="R89" s="375"/>
      <c r="S89" s="415"/>
      <c r="T89" s="415"/>
      <c r="U89" s="377"/>
      <c r="V89" s="377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</row>
    <row r="90" ht="14.25" customHeight="1">
      <c r="A90" s="1"/>
      <c r="B90" s="1"/>
      <c r="C90" s="1"/>
      <c r="D90" s="903">
        <v>3.0</v>
      </c>
      <c r="E90" s="904"/>
      <c r="F90" s="905">
        <f>IF(H$9&lt;&gt;"", IF(H$9&lt;&gt;0,H$9,""),"")</f>
        <v>413</v>
      </c>
      <c r="G90" s="468"/>
      <c r="H90" s="903">
        <v>3.0</v>
      </c>
      <c r="I90" s="904"/>
      <c r="J90" s="905">
        <f>H23</f>
        <v>34</v>
      </c>
      <c r="K90" s="468"/>
      <c r="L90" s="468"/>
      <c r="M90" s="468"/>
      <c r="N90" s="468"/>
      <c r="O90" s="468"/>
      <c r="P90" s="468"/>
      <c r="Q90" s="468"/>
      <c r="R90" s="375"/>
      <c r="S90" s="415"/>
      <c r="T90" s="415"/>
      <c r="U90" s="377"/>
      <c r="V90" s="377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</row>
    <row r="91" ht="14.25" customHeight="1">
      <c r="A91" s="1"/>
      <c r="B91" s="1"/>
      <c r="C91" s="1"/>
      <c r="D91" s="903">
        <v>4.0</v>
      </c>
      <c r="E91" s="904"/>
      <c r="F91" s="905">
        <f>IF(J$9&lt;&gt;"", IF(J$9&lt;&gt;0,J$9,""),"")</f>
        <v>396</v>
      </c>
      <c r="G91" s="468"/>
      <c r="H91" s="903">
        <v>4.0</v>
      </c>
      <c r="I91" s="904"/>
      <c r="J91" s="905">
        <f>J23</f>
        <v>32</v>
      </c>
      <c r="K91" s="468"/>
      <c r="L91" s="468"/>
      <c r="M91" s="468"/>
      <c r="N91" s="468"/>
      <c r="O91" s="468"/>
      <c r="P91" s="468"/>
      <c r="Q91" s="468"/>
      <c r="R91" s="375"/>
      <c r="S91" s="415"/>
      <c r="T91" s="415"/>
      <c r="U91" s="377"/>
      <c r="V91" s="377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</row>
    <row r="92" ht="14.25" customHeight="1">
      <c r="A92" s="1"/>
      <c r="B92" s="1"/>
      <c r="C92" s="1"/>
      <c r="D92" s="903">
        <v>5.0</v>
      </c>
      <c r="E92" s="904"/>
      <c r="F92" s="905">
        <f>IF(L$9&lt;&gt;"", IF(L$9&lt;&gt;0,L$9,""),"")</f>
        <v>517</v>
      </c>
      <c r="G92" s="468"/>
      <c r="H92" s="903">
        <v>5.0</v>
      </c>
      <c r="I92" s="904"/>
      <c r="J92" s="905">
        <f>L23</f>
        <v>28</v>
      </c>
      <c r="K92" s="468"/>
      <c r="L92" s="468"/>
      <c r="M92" s="468"/>
      <c r="N92" s="468"/>
      <c r="O92" s="468"/>
      <c r="P92" s="468"/>
      <c r="Q92" s="468"/>
      <c r="R92" s="375"/>
      <c r="S92" s="415"/>
      <c r="T92" s="415"/>
      <c r="U92" s="377"/>
      <c r="V92" s="377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</row>
    <row r="93" ht="14.25" customHeight="1">
      <c r="A93" s="1"/>
      <c r="B93" s="1"/>
      <c r="C93" s="1"/>
      <c r="D93" s="903">
        <v>6.0</v>
      </c>
      <c r="E93" s="904"/>
      <c r="F93" s="905">
        <f>IF(N$9&lt;&gt;"", IF(N$9&lt;&gt;0,N$9,""),"")</f>
        <v>559</v>
      </c>
      <c r="G93" s="468"/>
      <c r="H93" s="903">
        <v>6.0</v>
      </c>
      <c r="I93" s="904"/>
      <c r="J93" s="905">
        <f>N23</f>
        <v>20</v>
      </c>
      <c r="K93" s="468"/>
      <c r="L93" s="468"/>
      <c r="M93" s="468"/>
      <c r="N93" s="468"/>
      <c r="O93" s="468"/>
      <c r="P93" s="468"/>
      <c r="Q93" s="468"/>
      <c r="R93" s="375"/>
      <c r="S93" s="415"/>
      <c r="T93" s="415"/>
      <c r="U93" s="377"/>
      <c r="V93" s="377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</row>
    <row r="94" ht="14.25" customHeight="1">
      <c r="A94" s="1"/>
      <c r="B94" s="1"/>
      <c r="C94" s="1"/>
      <c r="D94" s="903">
        <v>7.0</v>
      </c>
      <c r="E94" s="904"/>
      <c r="F94" s="905">
        <f>IF(P$9&lt;&gt;"", IF(P$9&lt;&gt;0,P$9,""),"")</f>
        <v>575</v>
      </c>
      <c r="G94" s="468"/>
      <c r="H94" s="903">
        <v>7.0</v>
      </c>
      <c r="I94" s="904"/>
      <c r="J94" s="905">
        <f>P23</f>
        <v>50</v>
      </c>
      <c r="K94" s="468"/>
      <c r="L94" s="468"/>
      <c r="M94" s="468"/>
      <c r="N94" s="468"/>
      <c r="O94" s="468"/>
      <c r="P94" s="468"/>
      <c r="Q94" s="468"/>
      <c r="R94" s="375"/>
      <c r="S94" s="415"/>
      <c r="T94" s="415"/>
      <c r="U94" s="377"/>
      <c r="V94" s="377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</row>
    <row r="95" ht="14.25" customHeight="1">
      <c r="A95" s="1"/>
      <c r="B95" s="1"/>
      <c r="C95" s="1"/>
      <c r="D95" s="903">
        <v>8.0</v>
      </c>
      <c r="E95" s="904"/>
      <c r="F95" s="905">
        <f t="shared" ref="F95:F99" si="53">FORECAST(D95,F$88:F$94,D$88:D$94)</f>
        <v>551</v>
      </c>
      <c r="G95" s="468"/>
      <c r="H95" s="903">
        <v>8.0</v>
      </c>
      <c r="I95" s="904"/>
      <c r="J95" s="905">
        <f t="shared" ref="J95:J99" si="54">FORECAST(H95,J$88:J$94,H$88:H$94)</f>
        <v>34</v>
      </c>
      <c r="K95" s="468"/>
      <c r="L95" s="468"/>
      <c r="M95" s="468"/>
      <c r="N95" s="468"/>
      <c r="O95" s="468"/>
      <c r="P95" s="468"/>
      <c r="Q95" s="468"/>
      <c r="R95" s="375"/>
      <c r="S95" s="415"/>
      <c r="T95" s="415"/>
      <c r="U95" s="377"/>
      <c r="V95" s="377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</row>
    <row r="96" ht="14.25" customHeight="1">
      <c r="A96" s="1"/>
      <c r="B96" s="1"/>
      <c r="C96" s="1"/>
      <c r="D96" s="903">
        <v>9.0</v>
      </c>
      <c r="E96" s="904"/>
      <c r="F96" s="905">
        <f t="shared" si="53"/>
        <v>564.4642857</v>
      </c>
      <c r="G96" s="468"/>
      <c r="H96" s="903">
        <v>9.0</v>
      </c>
      <c r="I96" s="904"/>
      <c r="J96" s="905">
        <f t="shared" si="54"/>
        <v>34.03571429</v>
      </c>
      <c r="K96" s="468"/>
      <c r="L96" s="468"/>
      <c r="M96" s="468"/>
      <c r="N96" s="468"/>
      <c r="O96" s="468"/>
      <c r="P96" s="468"/>
      <c r="Q96" s="468"/>
      <c r="R96" s="375"/>
      <c r="S96" s="415"/>
      <c r="T96" s="415"/>
      <c r="U96" s="377"/>
      <c r="V96" s="377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</row>
    <row r="97" ht="14.25" customHeight="1">
      <c r="A97" s="1"/>
      <c r="B97" s="1"/>
      <c r="C97" s="1"/>
      <c r="D97" s="903">
        <v>10.0</v>
      </c>
      <c r="E97" s="904"/>
      <c r="F97" s="905">
        <f t="shared" si="53"/>
        <v>577.9285714</v>
      </c>
      <c r="G97" s="468"/>
      <c r="H97" s="903">
        <v>10.0</v>
      </c>
      <c r="I97" s="904"/>
      <c r="J97" s="905">
        <f t="shared" si="54"/>
        <v>34.07142857</v>
      </c>
      <c r="K97" s="468"/>
      <c r="L97" s="468"/>
      <c r="M97" s="468"/>
      <c r="N97" s="468"/>
      <c r="O97" s="468"/>
      <c r="P97" s="468"/>
      <c r="Q97" s="468"/>
      <c r="R97" s="375"/>
      <c r="S97" s="415"/>
      <c r="T97" s="415"/>
      <c r="U97" s="377"/>
      <c r="V97" s="377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</row>
    <row r="98" ht="14.25" customHeight="1">
      <c r="A98" s="1"/>
      <c r="B98" s="1"/>
      <c r="C98" s="1"/>
      <c r="D98" s="903">
        <v>11.0</v>
      </c>
      <c r="E98" s="904"/>
      <c r="F98" s="905">
        <f t="shared" si="53"/>
        <v>591.3928571</v>
      </c>
      <c r="G98" s="468"/>
      <c r="H98" s="903">
        <v>11.0</v>
      </c>
      <c r="I98" s="904"/>
      <c r="J98" s="905">
        <f t="shared" si="54"/>
        <v>34.10714286</v>
      </c>
      <c r="K98" s="468"/>
      <c r="L98" s="468"/>
      <c r="M98" s="468"/>
      <c r="N98" s="468"/>
      <c r="O98" s="468"/>
      <c r="P98" s="468"/>
      <c r="Q98" s="468"/>
      <c r="R98" s="375"/>
      <c r="S98" s="415"/>
      <c r="T98" s="415"/>
      <c r="U98" s="377"/>
      <c r="V98" s="377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</row>
    <row r="99" ht="14.25" customHeight="1">
      <c r="A99" s="1"/>
      <c r="B99" s="1"/>
      <c r="C99" s="1"/>
      <c r="D99" s="906">
        <v>12.0</v>
      </c>
      <c r="E99" s="907"/>
      <c r="F99" s="908">
        <f t="shared" si="53"/>
        <v>604.8571429</v>
      </c>
      <c r="G99" s="468"/>
      <c r="H99" s="906">
        <v>12.0</v>
      </c>
      <c r="I99" s="907"/>
      <c r="J99" s="908">
        <f t="shared" si="54"/>
        <v>34.14285714</v>
      </c>
      <c r="K99" s="468"/>
      <c r="L99" s="468"/>
      <c r="M99" s="468"/>
      <c r="N99" s="468"/>
      <c r="O99" s="468"/>
      <c r="P99" s="468"/>
      <c r="Q99" s="468"/>
      <c r="R99" s="375"/>
      <c r="S99" s="415"/>
      <c r="T99" s="415"/>
      <c r="U99" s="377"/>
      <c r="V99" s="377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</row>
    <row r="100" ht="14.25" customHeight="1">
      <c r="A100" s="1"/>
      <c r="B100" s="1"/>
      <c r="C100" s="1"/>
      <c r="D100" s="468"/>
      <c r="E100" s="468"/>
      <c r="F100" s="468"/>
      <c r="G100" s="468"/>
      <c r="H100" s="468"/>
      <c r="I100" s="468"/>
      <c r="J100" s="469"/>
      <c r="K100" s="468"/>
      <c r="L100" s="468"/>
      <c r="M100" s="468"/>
      <c r="N100" s="468"/>
      <c r="O100" s="468"/>
      <c r="P100" s="468"/>
      <c r="Q100" s="468"/>
      <c r="R100" s="375"/>
      <c r="S100" s="415"/>
      <c r="T100" s="415"/>
      <c r="U100" s="377"/>
      <c r="V100" s="377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</row>
    <row r="101" ht="14.25" customHeight="1">
      <c r="A101" s="1"/>
      <c r="B101" s="1"/>
      <c r="C101" s="1"/>
      <c r="D101" s="468"/>
      <c r="E101" s="468"/>
      <c r="F101" s="468"/>
      <c r="G101" s="468"/>
      <c r="H101" s="468"/>
      <c r="I101" s="468"/>
      <c r="J101" s="469"/>
      <c r="K101" s="468"/>
      <c r="L101" s="468"/>
      <c r="M101" s="468"/>
      <c r="N101" s="468"/>
      <c r="O101" s="468"/>
      <c r="P101" s="468"/>
      <c r="Q101" s="468"/>
      <c r="R101" s="375"/>
      <c r="S101" s="415"/>
      <c r="T101" s="415"/>
      <c r="U101" s="377"/>
      <c r="V101" s="377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</row>
    <row r="102" ht="14.25" customHeight="1">
      <c r="A102" s="1"/>
      <c r="B102" s="1"/>
      <c r="C102" s="1"/>
      <c r="D102" s="468"/>
      <c r="E102" s="468"/>
      <c r="F102" s="468"/>
      <c r="G102" s="468"/>
      <c r="H102" s="468"/>
      <c r="I102" s="468"/>
      <c r="J102" s="469"/>
      <c r="K102" s="468"/>
      <c r="L102" s="468"/>
      <c r="M102" s="468"/>
      <c r="N102" s="468"/>
      <c r="O102" s="468"/>
      <c r="P102" s="468"/>
      <c r="Q102" s="468"/>
      <c r="R102" s="375"/>
      <c r="S102" s="415"/>
      <c r="T102" s="415"/>
      <c r="U102" s="377"/>
      <c r="V102" s="377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</row>
    <row r="103" ht="14.25" customHeight="1">
      <c r="A103" s="1"/>
      <c r="B103" s="1"/>
      <c r="C103" s="1"/>
      <c r="D103" s="468"/>
      <c r="E103" s="468"/>
      <c r="F103" s="468"/>
      <c r="G103" s="468"/>
      <c r="H103" s="468"/>
      <c r="I103" s="468"/>
      <c r="J103" s="469"/>
      <c r="K103" s="468"/>
      <c r="L103" s="468"/>
      <c r="M103" s="468"/>
      <c r="N103" s="468"/>
      <c r="O103" s="468"/>
      <c r="P103" s="468"/>
      <c r="Q103" s="468"/>
      <c r="R103" s="375"/>
      <c r="S103" s="415"/>
      <c r="T103" s="415"/>
      <c r="U103" s="377"/>
      <c r="V103" s="377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</row>
    <row r="104" ht="14.25" customHeight="1">
      <c r="A104" s="1"/>
      <c r="B104" s="1"/>
      <c r="C104" s="1"/>
      <c r="D104" s="468"/>
      <c r="E104" s="468"/>
      <c r="F104" s="468"/>
      <c r="G104" s="468"/>
      <c r="H104" s="468"/>
      <c r="I104" s="468"/>
      <c r="J104" s="469"/>
      <c r="K104" s="468"/>
      <c r="L104" s="468"/>
      <c r="M104" s="468"/>
      <c r="N104" s="468"/>
      <c r="O104" s="468"/>
      <c r="P104" s="468"/>
      <c r="Q104" s="468"/>
      <c r="R104" s="375"/>
      <c r="S104" s="415"/>
      <c r="T104" s="415"/>
      <c r="U104" s="377"/>
      <c r="V104" s="377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</row>
    <row r="105" ht="14.25" customHeight="1">
      <c r="A105" s="1"/>
      <c r="B105" s="1"/>
      <c r="C105" s="1"/>
      <c r="D105" s="468"/>
      <c r="E105" s="468"/>
      <c r="F105" s="468"/>
      <c r="G105" s="468"/>
      <c r="H105" s="468"/>
      <c r="I105" s="468"/>
      <c r="J105" s="469"/>
      <c r="K105" s="468"/>
      <c r="L105" s="468"/>
      <c r="M105" s="468"/>
      <c r="N105" s="468"/>
      <c r="O105" s="468"/>
      <c r="P105" s="468"/>
      <c r="Q105" s="468"/>
      <c r="R105" s="375"/>
      <c r="S105" s="415"/>
      <c r="T105" s="415"/>
      <c r="U105" s="377"/>
      <c r="V105" s="377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</row>
    <row r="106" ht="14.25" customHeight="1">
      <c r="A106" s="1"/>
      <c r="B106" s="1"/>
      <c r="C106" s="1"/>
      <c r="D106" s="468"/>
      <c r="E106" s="468"/>
      <c r="F106" s="468"/>
      <c r="G106" s="468"/>
      <c r="H106" s="468"/>
      <c r="I106" s="468"/>
      <c r="J106" s="469"/>
      <c r="K106" s="468"/>
      <c r="L106" s="468"/>
      <c r="M106" s="468"/>
      <c r="N106" s="468"/>
      <c r="O106" s="468"/>
      <c r="P106" s="468"/>
      <c r="Q106" s="468"/>
      <c r="R106" s="375"/>
      <c r="S106" s="415"/>
      <c r="T106" s="415"/>
      <c r="U106" s="377"/>
      <c r="V106" s="377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</row>
    <row r="107" ht="14.25" customHeight="1">
      <c r="A107" s="1"/>
      <c r="B107" s="1"/>
      <c r="C107" s="1"/>
      <c r="D107" s="468"/>
      <c r="E107" s="468"/>
      <c r="F107" s="468"/>
      <c r="G107" s="468"/>
      <c r="H107" s="468"/>
      <c r="I107" s="468"/>
      <c r="J107" s="469"/>
      <c r="K107" s="468"/>
      <c r="L107" s="468"/>
      <c r="M107" s="468"/>
      <c r="N107" s="468"/>
      <c r="O107" s="468"/>
      <c r="P107" s="468"/>
      <c r="Q107" s="468"/>
      <c r="R107" s="375"/>
      <c r="S107" s="415"/>
      <c r="T107" s="415"/>
      <c r="U107" s="377"/>
      <c r="V107" s="377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</row>
    <row r="108" ht="14.25" customHeight="1">
      <c r="A108" s="1"/>
      <c r="B108" s="1"/>
      <c r="C108" s="1"/>
      <c r="D108" s="468"/>
      <c r="E108" s="468"/>
      <c r="F108" s="468"/>
      <c r="G108" s="468"/>
      <c r="H108" s="468"/>
      <c r="I108" s="468"/>
      <c r="J108" s="469"/>
      <c r="K108" s="468"/>
      <c r="L108" s="468"/>
      <c r="M108" s="468"/>
      <c r="N108" s="468"/>
      <c r="O108" s="468"/>
      <c r="P108" s="468"/>
      <c r="Q108" s="468"/>
      <c r="R108" s="375"/>
      <c r="S108" s="415"/>
      <c r="T108" s="415"/>
      <c r="U108" s="377"/>
      <c r="V108" s="377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</row>
    <row r="109" ht="14.25" customHeight="1">
      <c r="A109" s="1"/>
      <c r="B109" s="909" t="s">
        <v>458</v>
      </c>
      <c r="C109" s="1"/>
      <c r="D109" s="910">
        <f>IF(SUM(D11:D17)&gt;0,D23/SUM(D11:D17),"")</f>
        <v>0.02839600921</v>
      </c>
      <c r="E109" s="910"/>
      <c r="F109" s="910">
        <f>IF(SUM(F11:F17)&gt;0,F23/SUM(F11:F17),"")</f>
        <v>0.02786377709</v>
      </c>
      <c r="G109" s="910"/>
      <c r="H109" s="910">
        <f>IF(SUM(H11:H17)&gt;0,H23/SUM(H11:H17),"")</f>
        <v>0.02603369066</v>
      </c>
      <c r="I109" s="910"/>
      <c r="J109" s="910">
        <f>IF(SUM(J11:J17)&gt;0,J23/SUM(J11:J17),"")</f>
        <v>0.0252764613</v>
      </c>
      <c r="K109" s="910"/>
      <c r="L109" s="910">
        <f>IF(SUM(L11:L17)&gt;0,L23/SUM(L11:L17),"")</f>
        <v>0.02331390508</v>
      </c>
      <c r="M109" s="910"/>
      <c r="N109" s="910">
        <f>IF(SUM(N11:N17)&gt;0,N23/SUM(N11:N17),"")</f>
        <v>0.01566170713</v>
      </c>
      <c r="O109" s="910"/>
      <c r="P109" s="910">
        <f>IF(SUM(P11:P17)&gt;0,P23/SUM(P11:P17),"")</f>
        <v>0.03573981415</v>
      </c>
      <c r="Q109" s="468"/>
      <c r="R109" s="375"/>
      <c r="S109" s="911">
        <f>AVERAGE(D109:P109)</f>
        <v>0.02604076637</v>
      </c>
      <c r="T109" s="415"/>
      <c r="U109" s="377"/>
      <c r="V109" s="377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</row>
    <row r="110" ht="14.25" customHeight="1">
      <c r="A110" s="1"/>
      <c r="B110" s="1"/>
      <c r="C110" s="1"/>
      <c r="D110" s="468"/>
      <c r="E110" s="468"/>
      <c r="F110" s="468"/>
      <c r="G110" s="468"/>
      <c r="H110" s="468"/>
      <c r="I110" s="468"/>
      <c r="J110" s="469"/>
      <c r="K110" s="468"/>
      <c r="L110" s="468"/>
      <c r="M110" s="468"/>
      <c r="N110" s="468"/>
      <c r="O110" s="468"/>
      <c r="P110" s="468"/>
      <c r="Q110" s="468"/>
      <c r="R110" s="375"/>
      <c r="S110" s="415"/>
      <c r="T110" s="415"/>
      <c r="U110" s="377"/>
      <c r="V110" s="377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</row>
    <row r="111" ht="14.25" customHeight="1">
      <c r="A111" s="1"/>
      <c r="B111" s="1"/>
      <c r="C111" s="1"/>
      <c r="D111" s="468"/>
      <c r="E111" s="468"/>
      <c r="F111" s="468"/>
      <c r="G111" s="468"/>
      <c r="H111" s="468"/>
      <c r="I111" s="468"/>
      <c r="J111" s="469"/>
      <c r="K111" s="468"/>
      <c r="L111" s="468"/>
      <c r="M111" s="468"/>
      <c r="N111" s="468"/>
      <c r="O111" s="468"/>
      <c r="P111" s="468"/>
      <c r="Q111" s="468"/>
      <c r="R111" s="375"/>
      <c r="S111" s="415"/>
      <c r="T111" s="415"/>
      <c r="U111" s="377"/>
      <c r="V111" s="377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</row>
    <row r="112" ht="14.25" customHeight="1">
      <c r="A112" s="1"/>
      <c r="B112" s="1"/>
      <c r="C112" s="1"/>
      <c r="D112" s="468"/>
      <c r="E112" s="468"/>
      <c r="F112" s="468"/>
      <c r="G112" s="468"/>
      <c r="H112" s="468"/>
      <c r="I112" s="468"/>
      <c r="J112" s="469"/>
      <c r="K112" s="468"/>
      <c r="L112" s="468"/>
      <c r="M112" s="468"/>
      <c r="N112" s="468"/>
      <c r="O112" s="468"/>
      <c r="P112" s="468"/>
      <c r="Q112" s="468"/>
      <c r="R112" s="375"/>
      <c r="S112" s="415"/>
      <c r="T112" s="415"/>
      <c r="U112" s="377"/>
      <c r="V112" s="377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</row>
    <row r="113" ht="14.25" customHeight="1">
      <c r="A113" s="1"/>
      <c r="B113" s="1"/>
      <c r="C113" s="1"/>
      <c r="D113" s="468"/>
      <c r="E113" s="468"/>
      <c r="F113" s="468"/>
      <c r="G113" s="468"/>
      <c r="H113" s="468"/>
      <c r="I113" s="468"/>
      <c r="J113" s="469"/>
      <c r="K113" s="468"/>
      <c r="L113" s="468"/>
      <c r="M113" s="468"/>
      <c r="N113" s="468"/>
      <c r="O113" s="468"/>
      <c r="P113" s="468"/>
      <c r="Q113" s="468"/>
      <c r="R113" s="375"/>
      <c r="S113" s="415"/>
      <c r="T113" s="415"/>
      <c r="U113" s="377"/>
      <c r="V113" s="377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</row>
    <row r="114" ht="14.25" customHeight="1">
      <c r="A114" s="1"/>
      <c r="B114" s="1"/>
      <c r="C114" s="1"/>
      <c r="D114" s="468"/>
      <c r="E114" s="468"/>
      <c r="F114" s="468"/>
      <c r="G114" s="468"/>
      <c r="H114" s="468"/>
      <c r="I114" s="468"/>
      <c r="J114" s="469"/>
      <c r="K114" s="468"/>
      <c r="L114" s="468"/>
      <c r="M114" s="468"/>
      <c r="N114" s="468"/>
      <c r="O114" s="468"/>
      <c r="P114" s="468"/>
      <c r="Q114" s="468"/>
      <c r="R114" s="375"/>
      <c r="S114" s="415"/>
      <c r="T114" s="415"/>
      <c r="U114" s="377"/>
      <c r="V114" s="377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</row>
    <row r="115" ht="14.25" customHeight="1">
      <c r="A115" s="1"/>
      <c r="B115" s="1"/>
      <c r="C115" s="1"/>
      <c r="D115" s="468"/>
      <c r="E115" s="468"/>
      <c r="F115" s="468"/>
      <c r="G115" s="468"/>
      <c r="H115" s="468"/>
      <c r="I115" s="468"/>
      <c r="J115" s="469"/>
      <c r="K115" s="468"/>
      <c r="L115" s="468"/>
      <c r="M115" s="468"/>
      <c r="N115" s="468"/>
      <c r="O115" s="468"/>
      <c r="P115" s="468"/>
      <c r="Q115" s="468"/>
      <c r="R115" s="375"/>
      <c r="S115" s="415"/>
      <c r="T115" s="415"/>
      <c r="U115" s="377"/>
      <c r="V115" s="377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</row>
    <row r="116" ht="14.25" customHeight="1">
      <c r="A116" s="1"/>
      <c r="B116" s="1"/>
      <c r="C116" s="1"/>
      <c r="D116" s="468"/>
      <c r="E116" s="468"/>
      <c r="F116" s="468"/>
      <c r="G116" s="468"/>
      <c r="H116" s="468"/>
      <c r="I116" s="468"/>
      <c r="J116" s="469"/>
      <c r="K116" s="468"/>
      <c r="L116" s="468"/>
      <c r="M116" s="468"/>
      <c r="N116" s="468"/>
      <c r="O116" s="468"/>
      <c r="P116" s="468"/>
      <c r="Q116" s="468"/>
      <c r="R116" s="375"/>
      <c r="S116" s="415"/>
      <c r="T116" s="415"/>
      <c r="U116" s="377"/>
      <c r="V116" s="377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</row>
    <row r="117" ht="14.25" customHeight="1">
      <c r="A117" s="1"/>
      <c r="B117" s="1"/>
      <c r="C117" s="1"/>
      <c r="D117" s="468"/>
      <c r="E117" s="468"/>
      <c r="F117" s="468"/>
      <c r="G117" s="468"/>
      <c r="H117" s="468"/>
      <c r="I117" s="468"/>
      <c r="J117" s="469"/>
      <c r="K117" s="468"/>
      <c r="L117" s="468"/>
      <c r="M117" s="468"/>
      <c r="N117" s="468"/>
      <c r="O117" s="468"/>
      <c r="P117" s="468"/>
      <c r="Q117" s="468"/>
      <c r="R117" s="375"/>
      <c r="S117" s="415"/>
      <c r="T117" s="415"/>
      <c r="U117" s="377"/>
      <c r="V117" s="377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</row>
    <row r="118" ht="14.25" customHeight="1">
      <c r="A118" s="1"/>
      <c r="B118" s="1"/>
      <c r="C118" s="1"/>
      <c r="D118" s="468"/>
      <c r="E118" s="468"/>
      <c r="F118" s="468"/>
      <c r="G118" s="468"/>
      <c r="H118" s="468"/>
      <c r="I118" s="468"/>
      <c r="J118" s="469"/>
      <c r="K118" s="468"/>
      <c r="L118" s="468"/>
      <c r="M118" s="468"/>
      <c r="N118" s="468"/>
      <c r="O118" s="468"/>
      <c r="P118" s="468"/>
      <c r="Q118" s="468"/>
      <c r="R118" s="375"/>
      <c r="S118" s="415"/>
      <c r="T118" s="415"/>
      <c r="U118" s="377"/>
      <c r="V118" s="377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</row>
    <row r="119" ht="14.25" customHeight="1">
      <c r="A119" s="1"/>
      <c r="B119" s="1"/>
      <c r="C119" s="1"/>
      <c r="D119" s="468"/>
      <c r="E119" s="468"/>
      <c r="F119" s="468"/>
      <c r="G119" s="468"/>
      <c r="H119" s="468"/>
      <c r="I119" s="468"/>
      <c r="J119" s="469"/>
      <c r="K119" s="468"/>
      <c r="L119" s="468"/>
      <c r="M119" s="468"/>
      <c r="N119" s="468"/>
      <c r="O119" s="468"/>
      <c r="P119" s="468"/>
      <c r="Q119" s="468"/>
      <c r="R119" s="375"/>
      <c r="S119" s="415"/>
      <c r="T119" s="415"/>
      <c r="U119" s="377"/>
      <c r="V119" s="377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</row>
    <row r="120" ht="14.25" customHeight="1">
      <c r="A120" s="1"/>
      <c r="B120" s="1"/>
      <c r="C120" s="1"/>
      <c r="D120" s="468"/>
      <c r="E120" s="468"/>
      <c r="F120" s="468"/>
      <c r="G120" s="468"/>
      <c r="H120" s="468"/>
      <c r="I120" s="468"/>
      <c r="J120" s="469"/>
      <c r="K120" s="468"/>
      <c r="L120" s="468"/>
      <c r="M120" s="468"/>
      <c r="N120" s="468"/>
      <c r="O120" s="468"/>
      <c r="P120" s="468"/>
      <c r="Q120" s="468"/>
      <c r="R120" s="375"/>
      <c r="S120" s="415"/>
      <c r="T120" s="415"/>
      <c r="U120" s="377"/>
      <c r="V120" s="377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</row>
    <row r="121" ht="14.25" customHeight="1">
      <c r="A121" s="1"/>
      <c r="B121" s="1"/>
      <c r="C121" s="1"/>
      <c r="D121" s="468"/>
      <c r="E121" s="468"/>
      <c r="F121" s="468"/>
      <c r="G121" s="468"/>
      <c r="H121" s="468"/>
      <c r="I121" s="468"/>
      <c r="J121" s="469"/>
      <c r="K121" s="468"/>
      <c r="L121" s="468"/>
      <c r="M121" s="468"/>
      <c r="N121" s="468"/>
      <c r="O121" s="468"/>
      <c r="P121" s="468"/>
      <c r="Q121" s="468"/>
      <c r="R121" s="375"/>
      <c r="S121" s="415"/>
      <c r="T121" s="415"/>
      <c r="U121" s="377"/>
      <c r="V121" s="377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</row>
    <row r="122" ht="14.25" customHeight="1">
      <c r="A122" s="1"/>
      <c r="B122" s="1"/>
      <c r="C122" s="1"/>
      <c r="D122" s="468"/>
      <c r="E122" s="468"/>
      <c r="F122" s="468"/>
      <c r="G122" s="468"/>
      <c r="H122" s="468"/>
      <c r="I122" s="468"/>
      <c r="J122" s="469"/>
      <c r="K122" s="468"/>
      <c r="L122" s="468"/>
      <c r="M122" s="468"/>
      <c r="N122" s="468"/>
      <c r="O122" s="468"/>
      <c r="P122" s="468"/>
      <c r="Q122" s="468"/>
      <c r="R122" s="375"/>
      <c r="S122" s="415"/>
      <c r="T122" s="415"/>
      <c r="U122" s="377"/>
      <c r="V122" s="377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</row>
    <row r="123" ht="14.25" customHeight="1">
      <c r="A123" s="1"/>
      <c r="B123" s="1"/>
      <c r="C123" s="1"/>
      <c r="D123" s="468"/>
      <c r="E123" s="468"/>
      <c r="F123" s="468"/>
      <c r="G123" s="468"/>
      <c r="H123" s="468"/>
      <c r="I123" s="468"/>
      <c r="J123" s="469"/>
      <c r="K123" s="468"/>
      <c r="L123" s="468"/>
      <c r="M123" s="468"/>
      <c r="N123" s="468"/>
      <c r="O123" s="468"/>
      <c r="P123" s="468"/>
      <c r="Q123" s="468"/>
      <c r="R123" s="375"/>
      <c r="S123" s="415"/>
      <c r="T123" s="415"/>
      <c r="U123" s="377"/>
      <c r="V123" s="377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</row>
    <row r="124" ht="14.25" customHeight="1">
      <c r="A124" s="1"/>
      <c r="B124" s="1"/>
      <c r="C124" s="1"/>
      <c r="D124" s="468"/>
      <c r="E124" s="468"/>
      <c r="F124" s="468"/>
      <c r="G124" s="468"/>
      <c r="H124" s="468"/>
      <c r="I124" s="468"/>
      <c r="J124" s="469"/>
      <c r="K124" s="468"/>
      <c r="L124" s="468"/>
      <c r="M124" s="468"/>
      <c r="N124" s="468"/>
      <c r="O124" s="468"/>
      <c r="P124" s="468"/>
      <c r="Q124" s="468"/>
      <c r="R124" s="375"/>
      <c r="S124" s="415"/>
      <c r="T124" s="415"/>
      <c r="U124" s="377"/>
      <c r="V124" s="377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</row>
    <row r="125" ht="14.25" customHeight="1">
      <c r="A125" s="1"/>
      <c r="B125" s="1"/>
      <c r="C125" s="1"/>
      <c r="D125" s="468"/>
      <c r="E125" s="468"/>
      <c r="F125" s="468"/>
      <c r="G125" s="468"/>
      <c r="H125" s="468"/>
      <c r="I125" s="468"/>
      <c r="J125" s="469"/>
      <c r="K125" s="468"/>
      <c r="L125" s="468"/>
      <c r="M125" s="468"/>
      <c r="N125" s="468"/>
      <c r="O125" s="468"/>
      <c r="P125" s="468"/>
      <c r="Q125" s="468"/>
      <c r="R125" s="375"/>
      <c r="S125" s="415"/>
      <c r="T125" s="415"/>
      <c r="U125" s="377"/>
      <c r="V125" s="377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</row>
    <row r="126" ht="14.25" customHeight="1">
      <c r="A126" s="1"/>
      <c r="B126" s="1"/>
      <c r="C126" s="1"/>
      <c r="D126" s="468"/>
      <c r="E126" s="468"/>
      <c r="F126" s="468"/>
      <c r="G126" s="468"/>
      <c r="H126" s="468"/>
      <c r="I126" s="468"/>
      <c r="J126" s="469"/>
      <c r="K126" s="468"/>
      <c r="L126" s="468"/>
      <c r="M126" s="468"/>
      <c r="N126" s="468"/>
      <c r="O126" s="468"/>
      <c r="P126" s="468"/>
      <c r="Q126" s="468"/>
      <c r="R126" s="375"/>
      <c r="S126" s="415"/>
      <c r="T126" s="415"/>
      <c r="U126" s="377"/>
      <c r="V126" s="377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</row>
    <row r="127" ht="14.25" customHeight="1">
      <c r="A127" s="1"/>
      <c r="B127" s="1"/>
      <c r="C127" s="1"/>
      <c r="D127" s="468"/>
      <c r="E127" s="468"/>
      <c r="F127" s="468"/>
      <c r="G127" s="468"/>
      <c r="H127" s="468"/>
      <c r="I127" s="468"/>
      <c r="J127" s="469"/>
      <c r="K127" s="468"/>
      <c r="L127" s="468"/>
      <c r="M127" s="468"/>
      <c r="N127" s="468"/>
      <c r="O127" s="468"/>
      <c r="P127" s="468"/>
      <c r="Q127" s="468"/>
      <c r="R127" s="375"/>
      <c r="S127" s="415"/>
      <c r="T127" s="415"/>
      <c r="U127" s="377"/>
      <c r="V127" s="377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</row>
    <row r="128" ht="14.25" customHeight="1">
      <c r="A128" s="1"/>
      <c r="B128" s="1"/>
      <c r="C128" s="1"/>
      <c r="D128" s="468"/>
      <c r="E128" s="468"/>
      <c r="F128" s="468"/>
      <c r="G128" s="468"/>
      <c r="H128" s="468"/>
      <c r="I128" s="468"/>
      <c r="J128" s="469"/>
      <c r="K128" s="468"/>
      <c r="L128" s="468"/>
      <c r="M128" s="468"/>
      <c r="N128" s="468"/>
      <c r="O128" s="468"/>
      <c r="P128" s="468"/>
      <c r="Q128" s="468"/>
      <c r="R128" s="375"/>
      <c r="S128" s="415"/>
      <c r="T128" s="415"/>
      <c r="U128" s="377"/>
      <c r="V128" s="377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</row>
    <row r="129" ht="14.25" customHeight="1">
      <c r="A129" s="1"/>
      <c r="B129" s="1"/>
      <c r="C129" s="1"/>
      <c r="D129" s="468"/>
      <c r="E129" s="468"/>
      <c r="F129" s="468"/>
      <c r="G129" s="468"/>
      <c r="H129" s="468"/>
      <c r="I129" s="468"/>
      <c r="J129" s="469"/>
      <c r="K129" s="468"/>
      <c r="L129" s="468"/>
      <c r="M129" s="468"/>
      <c r="N129" s="468"/>
      <c r="O129" s="468"/>
      <c r="P129" s="468"/>
      <c r="Q129" s="468"/>
      <c r="R129" s="375"/>
      <c r="S129" s="415"/>
      <c r="T129" s="415"/>
      <c r="U129" s="377"/>
      <c r="V129" s="377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</row>
    <row r="130" ht="14.25" customHeight="1">
      <c r="A130" s="1"/>
      <c r="B130" s="1"/>
      <c r="C130" s="1"/>
      <c r="D130" s="468"/>
      <c r="E130" s="468"/>
      <c r="F130" s="468"/>
      <c r="G130" s="468"/>
      <c r="H130" s="468"/>
      <c r="I130" s="468"/>
      <c r="J130" s="469"/>
      <c r="K130" s="468"/>
      <c r="L130" s="468"/>
      <c r="M130" s="468"/>
      <c r="N130" s="468"/>
      <c r="O130" s="468"/>
      <c r="P130" s="468"/>
      <c r="Q130" s="468"/>
      <c r="R130" s="375"/>
      <c r="S130" s="415"/>
      <c r="T130" s="415"/>
      <c r="U130" s="377"/>
      <c r="V130" s="377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</row>
    <row r="131" ht="14.25" customHeight="1">
      <c r="A131" s="1"/>
      <c r="B131" s="1"/>
      <c r="C131" s="1"/>
      <c r="D131" s="468"/>
      <c r="E131" s="468"/>
      <c r="F131" s="468"/>
      <c r="G131" s="468"/>
      <c r="H131" s="468"/>
      <c r="I131" s="468"/>
      <c r="J131" s="469"/>
      <c r="K131" s="468"/>
      <c r="L131" s="468"/>
      <c r="M131" s="468"/>
      <c r="N131" s="468"/>
      <c r="O131" s="468"/>
      <c r="P131" s="468"/>
      <c r="Q131" s="468"/>
      <c r="R131" s="375"/>
      <c r="S131" s="415"/>
      <c r="T131" s="415"/>
      <c r="U131" s="377"/>
      <c r="V131" s="377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</row>
    <row r="132" ht="14.25" customHeight="1">
      <c r="A132" s="1"/>
      <c r="B132" s="1"/>
      <c r="C132" s="1"/>
      <c r="D132" s="468"/>
      <c r="E132" s="468"/>
      <c r="F132" s="468"/>
      <c r="G132" s="468"/>
      <c r="H132" s="468"/>
      <c r="I132" s="468"/>
      <c r="J132" s="469"/>
      <c r="K132" s="468"/>
      <c r="L132" s="468"/>
      <c r="M132" s="468"/>
      <c r="N132" s="468"/>
      <c r="O132" s="468"/>
      <c r="P132" s="468"/>
      <c r="Q132" s="468"/>
      <c r="R132" s="375"/>
      <c r="S132" s="415"/>
      <c r="T132" s="415"/>
      <c r="U132" s="377"/>
      <c r="V132" s="377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</row>
    <row r="133" ht="14.25" customHeight="1">
      <c r="A133" s="1"/>
      <c r="B133" s="1"/>
      <c r="C133" s="1"/>
      <c r="D133" s="468"/>
      <c r="E133" s="468"/>
      <c r="F133" s="468"/>
      <c r="G133" s="468"/>
      <c r="H133" s="468"/>
      <c r="I133" s="468"/>
      <c r="J133" s="469"/>
      <c r="K133" s="468"/>
      <c r="L133" s="468"/>
      <c r="M133" s="468"/>
      <c r="N133" s="468"/>
      <c r="O133" s="468"/>
      <c r="P133" s="468"/>
      <c r="Q133" s="468"/>
      <c r="R133" s="375"/>
      <c r="S133" s="415"/>
      <c r="T133" s="415"/>
      <c r="U133" s="377"/>
      <c r="V133" s="377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</row>
    <row r="134" ht="14.25" customHeight="1">
      <c r="A134" s="1"/>
      <c r="B134" s="1"/>
      <c r="C134" s="1"/>
      <c r="D134" s="468"/>
      <c r="E134" s="468"/>
      <c r="F134" s="468"/>
      <c r="G134" s="468"/>
      <c r="H134" s="468"/>
      <c r="I134" s="468"/>
      <c r="J134" s="469"/>
      <c r="K134" s="468"/>
      <c r="L134" s="468"/>
      <c r="M134" s="468"/>
      <c r="N134" s="468"/>
      <c r="O134" s="468"/>
      <c r="P134" s="468"/>
      <c r="Q134" s="468"/>
      <c r="R134" s="375"/>
      <c r="S134" s="415"/>
      <c r="T134" s="415"/>
      <c r="U134" s="377"/>
      <c r="V134" s="377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</row>
    <row r="135" ht="14.25" customHeight="1">
      <c r="A135" s="1"/>
      <c r="B135" s="1"/>
      <c r="C135" s="1"/>
      <c r="D135" s="468"/>
      <c r="E135" s="468"/>
      <c r="F135" s="468"/>
      <c r="G135" s="468"/>
      <c r="H135" s="468"/>
      <c r="I135" s="468"/>
      <c r="J135" s="469"/>
      <c r="K135" s="468"/>
      <c r="L135" s="468"/>
      <c r="M135" s="468"/>
      <c r="N135" s="468"/>
      <c r="O135" s="468"/>
      <c r="P135" s="468"/>
      <c r="Q135" s="468"/>
      <c r="R135" s="375"/>
      <c r="S135" s="415"/>
      <c r="T135" s="415"/>
      <c r="U135" s="377"/>
      <c r="V135" s="377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</row>
    <row r="136" ht="14.25" customHeight="1">
      <c r="A136" s="1"/>
      <c r="B136" s="1"/>
      <c r="C136" s="1"/>
      <c r="D136" s="468"/>
      <c r="E136" s="468"/>
      <c r="F136" s="468"/>
      <c r="G136" s="468"/>
      <c r="H136" s="468"/>
      <c r="I136" s="468"/>
      <c r="J136" s="469"/>
      <c r="K136" s="468"/>
      <c r="L136" s="468"/>
      <c r="M136" s="468"/>
      <c r="N136" s="468"/>
      <c r="O136" s="468"/>
      <c r="P136" s="468"/>
      <c r="Q136" s="468"/>
      <c r="R136" s="375"/>
      <c r="S136" s="415"/>
      <c r="T136" s="415"/>
      <c r="U136" s="377"/>
      <c r="V136" s="377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</row>
    <row r="137" ht="14.25" customHeight="1">
      <c r="A137" s="1"/>
      <c r="B137" s="1"/>
      <c r="C137" s="1"/>
      <c r="D137" s="468"/>
      <c r="E137" s="468"/>
      <c r="F137" s="468"/>
      <c r="G137" s="468"/>
      <c r="H137" s="468"/>
      <c r="I137" s="468"/>
      <c r="J137" s="469"/>
      <c r="K137" s="468"/>
      <c r="L137" s="468"/>
      <c r="M137" s="468"/>
      <c r="N137" s="468"/>
      <c r="O137" s="468"/>
      <c r="P137" s="468"/>
      <c r="Q137" s="468"/>
      <c r="R137" s="375"/>
      <c r="S137" s="415"/>
      <c r="T137" s="415"/>
      <c r="U137" s="377"/>
      <c r="V137" s="377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</row>
    <row r="138" ht="14.25" customHeight="1">
      <c r="A138" s="1"/>
      <c r="B138" s="1"/>
      <c r="C138" s="1"/>
      <c r="D138" s="468"/>
      <c r="E138" s="468"/>
      <c r="F138" s="468"/>
      <c r="G138" s="468"/>
      <c r="H138" s="468"/>
      <c r="I138" s="468"/>
      <c r="J138" s="469"/>
      <c r="K138" s="468"/>
      <c r="L138" s="468"/>
      <c r="M138" s="468"/>
      <c r="N138" s="468"/>
      <c r="O138" s="468"/>
      <c r="P138" s="468"/>
      <c r="Q138" s="468"/>
      <c r="R138" s="375"/>
      <c r="S138" s="415"/>
      <c r="T138" s="415"/>
      <c r="U138" s="377"/>
      <c r="V138" s="377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</row>
    <row r="139" ht="14.25" customHeight="1">
      <c r="A139" s="1"/>
      <c r="B139" s="1"/>
      <c r="C139" s="1"/>
      <c r="D139" s="468"/>
      <c r="E139" s="468"/>
      <c r="F139" s="468"/>
      <c r="G139" s="468"/>
      <c r="H139" s="468"/>
      <c r="I139" s="468"/>
      <c r="J139" s="469"/>
      <c r="K139" s="468"/>
      <c r="L139" s="468"/>
      <c r="M139" s="468"/>
      <c r="N139" s="468"/>
      <c r="O139" s="468"/>
      <c r="P139" s="468"/>
      <c r="Q139" s="468"/>
      <c r="R139" s="375"/>
      <c r="S139" s="415"/>
      <c r="T139" s="415"/>
      <c r="U139" s="377"/>
      <c r="V139" s="377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</row>
    <row r="140" ht="14.25" customHeight="1">
      <c r="A140" s="1"/>
      <c r="B140" s="1"/>
      <c r="C140" s="1"/>
      <c r="D140" s="468"/>
      <c r="E140" s="468"/>
      <c r="F140" s="468"/>
      <c r="G140" s="468"/>
      <c r="H140" s="468"/>
      <c r="I140" s="468"/>
      <c r="J140" s="469"/>
      <c r="K140" s="468"/>
      <c r="L140" s="468"/>
      <c r="M140" s="468"/>
      <c r="N140" s="468"/>
      <c r="O140" s="468"/>
      <c r="P140" s="468"/>
      <c r="Q140" s="468"/>
      <c r="R140" s="375"/>
      <c r="S140" s="415"/>
      <c r="T140" s="415"/>
      <c r="U140" s="377"/>
      <c r="V140" s="377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</row>
    <row r="141" ht="14.25" customHeight="1">
      <c r="A141" s="1"/>
      <c r="B141" s="1"/>
      <c r="C141" s="1"/>
      <c r="D141" s="468"/>
      <c r="E141" s="468"/>
      <c r="F141" s="468"/>
      <c r="G141" s="468"/>
      <c r="H141" s="468"/>
      <c r="I141" s="468"/>
      <c r="J141" s="469"/>
      <c r="K141" s="468"/>
      <c r="L141" s="468"/>
      <c r="M141" s="468"/>
      <c r="N141" s="468"/>
      <c r="O141" s="468"/>
      <c r="P141" s="468"/>
      <c r="Q141" s="468"/>
      <c r="R141" s="375"/>
      <c r="S141" s="415"/>
      <c r="T141" s="415"/>
      <c r="U141" s="377"/>
      <c r="V141" s="377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</row>
    <row r="142" ht="14.25" customHeight="1">
      <c r="A142" s="1"/>
      <c r="B142" s="1"/>
      <c r="C142" s="1"/>
      <c r="D142" s="468"/>
      <c r="E142" s="468"/>
      <c r="F142" s="468"/>
      <c r="G142" s="468"/>
      <c r="H142" s="468"/>
      <c r="I142" s="468"/>
      <c r="J142" s="469"/>
      <c r="K142" s="468"/>
      <c r="L142" s="468"/>
      <c r="M142" s="468"/>
      <c r="N142" s="468"/>
      <c r="O142" s="468"/>
      <c r="P142" s="468"/>
      <c r="Q142" s="468"/>
      <c r="R142" s="375"/>
      <c r="S142" s="415"/>
      <c r="T142" s="415"/>
      <c r="U142" s="377"/>
      <c r="V142" s="377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</row>
    <row r="143" ht="14.25" customHeight="1">
      <c r="A143" s="1"/>
      <c r="B143" s="1"/>
      <c r="C143" s="1"/>
      <c r="D143" s="468"/>
      <c r="E143" s="468"/>
      <c r="F143" s="468"/>
      <c r="G143" s="468"/>
      <c r="H143" s="468"/>
      <c r="I143" s="468"/>
      <c r="J143" s="469"/>
      <c r="K143" s="468"/>
      <c r="L143" s="468"/>
      <c r="M143" s="468"/>
      <c r="N143" s="468"/>
      <c r="O143" s="468"/>
      <c r="P143" s="468"/>
      <c r="Q143" s="468"/>
      <c r="R143" s="375"/>
      <c r="S143" s="415"/>
      <c r="T143" s="415"/>
      <c r="U143" s="377"/>
      <c r="V143" s="377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</row>
    <row r="144" ht="14.25" customHeight="1">
      <c r="A144" s="1"/>
      <c r="B144" s="1"/>
      <c r="C144" s="1"/>
      <c r="D144" s="468"/>
      <c r="E144" s="468"/>
      <c r="F144" s="468"/>
      <c r="G144" s="468"/>
      <c r="H144" s="468"/>
      <c r="I144" s="468"/>
      <c r="J144" s="469"/>
      <c r="K144" s="468"/>
      <c r="L144" s="468"/>
      <c r="M144" s="468"/>
      <c r="N144" s="468"/>
      <c r="O144" s="468"/>
      <c r="P144" s="468"/>
      <c r="Q144" s="468"/>
      <c r="R144" s="375"/>
      <c r="S144" s="415"/>
      <c r="T144" s="415"/>
      <c r="U144" s="377"/>
      <c r="V144" s="377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</row>
    <row r="145" ht="14.25" customHeight="1">
      <c r="A145" s="1"/>
      <c r="B145" s="1"/>
      <c r="C145" s="1"/>
      <c r="D145" s="468"/>
      <c r="E145" s="468"/>
      <c r="F145" s="468"/>
      <c r="G145" s="468"/>
      <c r="H145" s="468"/>
      <c r="I145" s="468"/>
      <c r="J145" s="469"/>
      <c r="K145" s="468"/>
      <c r="L145" s="468"/>
      <c r="M145" s="468"/>
      <c r="N145" s="468"/>
      <c r="O145" s="468"/>
      <c r="P145" s="468"/>
      <c r="Q145" s="468"/>
      <c r="R145" s="375"/>
      <c r="S145" s="415"/>
      <c r="T145" s="415"/>
      <c r="U145" s="377"/>
      <c r="V145" s="377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</row>
    <row r="146" ht="14.25" customHeight="1">
      <c r="A146" s="1"/>
      <c r="B146" s="1"/>
      <c r="C146" s="1"/>
      <c r="D146" s="468"/>
      <c r="E146" s="468"/>
      <c r="F146" s="468"/>
      <c r="G146" s="468"/>
      <c r="H146" s="468"/>
      <c r="I146" s="468"/>
      <c r="J146" s="469"/>
      <c r="K146" s="468"/>
      <c r="L146" s="468"/>
      <c r="M146" s="468"/>
      <c r="N146" s="468"/>
      <c r="O146" s="468"/>
      <c r="P146" s="468"/>
      <c r="Q146" s="468"/>
      <c r="R146" s="375"/>
      <c r="S146" s="415"/>
      <c r="T146" s="415"/>
      <c r="U146" s="377"/>
      <c r="V146" s="377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</row>
    <row r="147" ht="14.25" customHeight="1">
      <c r="A147" s="1"/>
      <c r="B147" s="1"/>
      <c r="C147" s="1"/>
      <c r="D147" s="468"/>
      <c r="E147" s="468"/>
      <c r="F147" s="468"/>
      <c r="G147" s="468"/>
      <c r="H147" s="468"/>
      <c r="I147" s="468"/>
      <c r="J147" s="469"/>
      <c r="K147" s="468"/>
      <c r="L147" s="468"/>
      <c r="M147" s="468"/>
      <c r="N147" s="468"/>
      <c r="O147" s="468"/>
      <c r="P147" s="468"/>
      <c r="Q147" s="468"/>
      <c r="R147" s="375"/>
      <c r="S147" s="415"/>
      <c r="T147" s="415"/>
      <c r="U147" s="377"/>
      <c r="V147" s="377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</row>
    <row r="148" ht="14.25" customHeight="1">
      <c r="A148" s="1"/>
      <c r="B148" s="1"/>
      <c r="C148" s="1"/>
      <c r="D148" s="468"/>
      <c r="E148" s="468"/>
      <c r="F148" s="468"/>
      <c r="G148" s="468"/>
      <c r="H148" s="468"/>
      <c r="I148" s="468"/>
      <c r="J148" s="469"/>
      <c r="K148" s="468"/>
      <c r="L148" s="468"/>
      <c r="M148" s="468"/>
      <c r="N148" s="468"/>
      <c r="O148" s="468"/>
      <c r="P148" s="468"/>
      <c r="Q148" s="468"/>
      <c r="R148" s="375"/>
      <c r="S148" s="415"/>
      <c r="T148" s="415"/>
      <c r="U148" s="377"/>
      <c r="V148" s="377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</row>
    <row r="149" ht="14.25" customHeight="1">
      <c r="A149" s="1"/>
      <c r="B149" s="1"/>
      <c r="C149" s="1"/>
      <c r="D149" s="468"/>
      <c r="E149" s="468"/>
      <c r="F149" s="468"/>
      <c r="G149" s="468"/>
      <c r="H149" s="468"/>
      <c r="I149" s="468"/>
      <c r="J149" s="469"/>
      <c r="K149" s="468"/>
      <c r="L149" s="468"/>
      <c r="M149" s="468"/>
      <c r="N149" s="468"/>
      <c r="O149" s="468"/>
      <c r="P149" s="468"/>
      <c r="Q149" s="468"/>
      <c r="R149" s="375"/>
      <c r="S149" s="415"/>
      <c r="T149" s="415"/>
      <c r="U149" s="377"/>
      <c r="V149" s="377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</row>
    <row r="150" ht="14.25" customHeight="1">
      <c r="A150" s="1"/>
      <c r="B150" s="1"/>
      <c r="C150" s="1"/>
      <c r="D150" s="468"/>
      <c r="E150" s="468"/>
      <c r="F150" s="468"/>
      <c r="G150" s="468"/>
      <c r="H150" s="468"/>
      <c r="I150" s="468"/>
      <c r="J150" s="469"/>
      <c r="K150" s="468"/>
      <c r="L150" s="468"/>
      <c r="M150" s="468"/>
      <c r="N150" s="468"/>
      <c r="O150" s="468"/>
      <c r="P150" s="468"/>
      <c r="Q150" s="468"/>
      <c r="R150" s="375"/>
      <c r="S150" s="415"/>
      <c r="T150" s="415"/>
      <c r="U150" s="377"/>
      <c r="V150" s="377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</row>
    <row r="151" ht="14.25" customHeight="1">
      <c r="A151" s="1"/>
      <c r="B151" s="1"/>
      <c r="C151" s="1"/>
      <c r="D151" s="468"/>
      <c r="E151" s="468"/>
      <c r="F151" s="468"/>
      <c r="G151" s="468"/>
      <c r="H151" s="468"/>
      <c r="I151" s="468"/>
      <c r="J151" s="469"/>
      <c r="K151" s="468"/>
      <c r="L151" s="468"/>
      <c r="M151" s="468"/>
      <c r="N151" s="468"/>
      <c r="O151" s="468"/>
      <c r="P151" s="468"/>
      <c r="Q151" s="468"/>
      <c r="R151" s="375"/>
      <c r="S151" s="415"/>
      <c r="T151" s="415"/>
      <c r="U151" s="377"/>
      <c r="V151" s="377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</row>
    <row r="152" ht="14.25" customHeight="1">
      <c r="A152" s="1"/>
      <c r="B152" s="1"/>
      <c r="C152" s="1"/>
      <c r="D152" s="468"/>
      <c r="E152" s="468"/>
      <c r="F152" s="468"/>
      <c r="G152" s="468"/>
      <c r="H152" s="468"/>
      <c r="I152" s="468"/>
      <c r="J152" s="469"/>
      <c r="K152" s="468"/>
      <c r="L152" s="468"/>
      <c r="M152" s="468"/>
      <c r="N152" s="468"/>
      <c r="O152" s="468"/>
      <c r="P152" s="468"/>
      <c r="Q152" s="468"/>
      <c r="R152" s="375"/>
      <c r="S152" s="415"/>
      <c r="T152" s="415"/>
      <c r="U152" s="377"/>
      <c r="V152" s="377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</row>
    <row r="153" ht="14.25" customHeight="1">
      <c r="A153" s="1"/>
      <c r="B153" s="1"/>
      <c r="C153" s="1"/>
      <c r="D153" s="468"/>
      <c r="E153" s="468"/>
      <c r="F153" s="468"/>
      <c r="G153" s="468"/>
      <c r="H153" s="468"/>
      <c r="I153" s="468"/>
      <c r="J153" s="469"/>
      <c r="K153" s="468"/>
      <c r="L153" s="468"/>
      <c r="M153" s="468"/>
      <c r="N153" s="468"/>
      <c r="O153" s="468"/>
      <c r="P153" s="468"/>
      <c r="Q153" s="468"/>
      <c r="R153" s="375"/>
      <c r="S153" s="415"/>
      <c r="T153" s="415"/>
      <c r="U153" s="377"/>
      <c r="V153" s="377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</row>
    <row r="154" ht="14.25" customHeight="1">
      <c r="A154" s="1"/>
      <c r="B154" s="1"/>
      <c r="C154" s="1"/>
      <c r="D154" s="468"/>
      <c r="E154" s="468"/>
      <c r="F154" s="468"/>
      <c r="G154" s="468"/>
      <c r="H154" s="468"/>
      <c r="I154" s="468"/>
      <c r="J154" s="469"/>
      <c r="K154" s="468"/>
      <c r="L154" s="468"/>
      <c r="M154" s="468"/>
      <c r="N154" s="468"/>
      <c r="O154" s="468"/>
      <c r="P154" s="468"/>
      <c r="Q154" s="468"/>
      <c r="R154" s="375"/>
      <c r="S154" s="415"/>
      <c r="T154" s="415"/>
      <c r="U154" s="377"/>
      <c r="V154" s="377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</row>
    <row r="155" ht="14.25" customHeight="1">
      <c r="A155" s="1"/>
      <c r="B155" s="1"/>
      <c r="C155" s="1"/>
      <c r="D155" s="468"/>
      <c r="E155" s="468"/>
      <c r="F155" s="468"/>
      <c r="G155" s="468"/>
      <c r="H155" s="468"/>
      <c r="I155" s="468"/>
      <c r="J155" s="469"/>
      <c r="K155" s="468"/>
      <c r="L155" s="468"/>
      <c r="M155" s="468"/>
      <c r="N155" s="468"/>
      <c r="O155" s="468"/>
      <c r="P155" s="468"/>
      <c r="Q155" s="468"/>
      <c r="R155" s="375"/>
      <c r="S155" s="415"/>
      <c r="T155" s="415"/>
      <c r="U155" s="377"/>
      <c r="V155" s="377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</row>
    <row r="156" ht="14.25" customHeight="1">
      <c r="A156" s="1"/>
      <c r="B156" s="1"/>
      <c r="C156" s="1"/>
      <c r="D156" s="468"/>
      <c r="E156" s="468"/>
      <c r="F156" s="468"/>
      <c r="G156" s="468"/>
      <c r="H156" s="468"/>
      <c r="I156" s="468"/>
      <c r="J156" s="469"/>
      <c r="K156" s="468"/>
      <c r="L156" s="468"/>
      <c r="M156" s="468"/>
      <c r="N156" s="468"/>
      <c r="O156" s="468"/>
      <c r="P156" s="468"/>
      <c r="Q156" s="468"/>
      <c r="R156" s="375"/>
      <c r="S156" s="415"/>
      <c r="T156" s="415"/>
      <c r="U156" s="377"/>
      <c r="V156" s="377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</row>
    <row r="157" ht="14.25" customHeight="1">
      <c r="A157" s="1"/>
      <c r="B157" s="1"/>
      <c r="C157" s="1"/>
      <c r="D157" s="468"/>
      <c r="E157" s="468"/>
      <c r="F157" s="468"/>
      <c r="G157" s="468"/>
      <c r="H157" s="468"/>
      <c r="I157" s="468"/>
      <c r="J157" s="469"/>
      <c r="K157" s="468"/>
      <c r="L157" s="468"/>
      <c r="M157" s="468"/>
      <c r="N157" s="468"/>
      <c r="O157" s="468"/>
      <c r="P157" s="468"/>
      <c r="Q157" s="468"/>
      <c r="R157" s="375"/>
      <c r="S157" s="415"/>
      <c r="T157" s="415"/>
      <c r="U157" s="377"/>
      <c r="V157" s="377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</row>
    <row r="158" ht="14.25" customHeight="1">
      <c r="A158" s="1"/>
      <c r="B158" s="1"/>
      <c r="C158" s="1"/>
      <c r="D158" s="468"/>
      <c r="E158" s="468"/>
      <c r="F158" s="468"/>
      <c r="G158" s="468"/>
      <c r="H158" s="468"/>
      <c r="I158" s="468"/>
      <c r="J158" s="469"/>
      <c r="K158" s="468"/>
      <c r="L158" s="468"/>
      <c r="M158" s="468"/>
      <c r="N158" s="468"/>
      <c r="O158" s="468"/>
      <c r="P158" s="468"/>
      <c r="Q158" s="468"/>
      <c r="R158" s="375"/>
      <c r="S158" s="415"/>
      <c r="T158" s="415"/>
      <c r="U158" s="377"/>
      <c r="V158" s="377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</row>
    <row r="159" ht="14.25" customHeight="1">
      <c r="A159" s="1"/>
      <c r="B159" s="1"/>
      <c r="C159" s="1"/>
      <c r="D159" s="468"/>
      <c r="E159" s="468"/>
      <c r="F159" s="468"/>
      <c r="G159" s="468"/>
      <c r="H159" s="468"/>
      <c r="I159" s="468"/>
      <c r="J159" s="469"/>
      <c r="K159" s="468"/>
      <c r="L159" s="468"/>
      <c r="M159" s="468"/>
      <c r="N159" s="468"/>
      <c r="O159" s="468"/>
      <c r="P159" s="468"/>
      <c r="Q159" s="468"/>
      <c r="R159" s="375"/>
      <c r="S159" s="415"/>
      <c r="T159" s="415"/>
      <c r="U159" s="377"/>
      <c r="V159" s="377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</row>
    <row r="160" ht="14.25" customHeight="1">
      <c r="A160" s="1"/>
      <c r="B160" s="1"/>
      <c r="C160" s="1"/>
      <c r="D160" s="468"/>
      <c r="E160" s="468"/>
      <c r="F160" s="468"/>
      <c r="G160" s="468"/>
      <c r="H160" s="468"/>
      <c r="I160" s="468"/>
      <c r="J160" s="469"/>
      <c r="K160" s="468"/>
      <c r="L160" s="468"/>
      <c r="M160" s="468"/>
      <c r="N160" s="468"/>
      <c r="O160" s="468"/>
      <c r="P160" s="468"/>
      <c r="Q160" s="468"/>
      <c r="R160" s="375"/>
      <c r="S160" s="415"/>
      <c r="T160" s="415"/>
      <c r="U160" s="377"/>
      <c r="V160" s="377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</row>
    <row r="161" ht="14.25" customHeight="1">
      <c r="A161" s="1"/>
      <c r="B161" s="1"/>
      <c r="C161" s="1"/>
      <c r="D161" s="468"/>
      <c r="E161" s="468"/>
      <c r="F161" s="468"/>
      <c r="G161" s="468"/>
      <c r="H161" s="468"/>
      <c r="I161" s="468"/>
      <c r="J161" s="469"/>
      <c r="K161" s="468"/>
      <c r="L161" s="468"/>
      <c r="M161" s="468"/>
      <c r="N161" s="468"/>
      <c r="O161" s="468"/>
      <c r="P161" s="468"/>
      <c r="Q161" s="468"/>
      <c r="R161" s="375"/>
      <c r="S161" s="415"/>
      <c r="T161" s="415"/>
      <c r="U161" s="377"/>
      <c r="V161" s="377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</row>
    <row r="162" ht="14.25" customHeight="1">
      <c r="A162" s="1"/>
      <c r="B162" s="1"/>
      <c r="C162" s="1"/>
      <c r="D162" s="468"/>
      <c r="E162" s="468"/>
      <c r="F162" s="468"/>
      <c r="G162" s="468"/>
      <c r="H162" s="468"/>
      <c r="I162" s="468"/>
      <c r="J162" s="469"/>
      <c r="K162" s="468"/>
      <c r="L162" s="468"/>
      <c r="M162" s="468"/>
      <c r="N162" s="468"/>
      <c r="O162" s="468"/>
      <c r="P162" s="468"/>
      <c r="Q162" s="468"/>
      <c r="R162" s="375"/>
      <c r="S162" s="415"/>
      <c r="T162" s="415"/>
      <c r="U162" s="377"/>
      <c r="V162" s="377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</row>
    <row r="163" ht="14.25" customHeight="1">
      <c r="A163" s="1"/>
      <c r="B163" s="1"/>
      <c r="C163" s="1"/>
      <c r="D163" s="468"/>
      <c r="E163" s="468"/>
      <c r="F163" s="468"/>
      <c r="G163" s="468"/>
      <c r="H163" s="468"/>
      <c r="I163" s="468"/>
      <c r="J163" s="469"/>
      <c r="K163" s="468"/>
      <c r="L163" s="468"/>
      <c r="M163" s="468"/>
      <c r="N163" s="468"/>
      <c r="O163" s="468"/>
      <c r="P163" s="468"/>
      <c r="Q163" s="468"/>
      <c r="R163" s="375"/>
      <c r="S163" s="415"/>
      <c r="T163" s="415"/>
      <c r="U163" s="377"/>
      <c r="V163" s="377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</row>
    <row r="164" ht="14.25" customHeight="1">
      <c r="A164" s="1"/>
      <c r="B164" s="1"/>
      <c r="C164" s="1"/>
      <c r="D164" s="468"/>
      <c r="E164" s="468"/>
      <c r="F164" s="468"/>
      <c r="G164" s="468"/>
      <c r="H164" s="468"/>
      <c r="I164" s="468"/>
      <c r="J164" s="469"/>
      <c r="K164" s="468"/>
      <c r="L164" s="468"/>
      <c r="M164" s="468"/>
      <c r="N164" s="468"/>
      <c r="O164" s="468"/>
      <c r="P164" s="468"/>
      <c r="Q164" s="468"/>
      <c r="R164" s="375"/>
      <c r="S164" s="415"/>
      <c r="T164" s="415"/>
      <c r="U164" s="377"/>
      <c r="V164" s="377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</row>
    <row r="165" ht="14.25" customHeight="1">
      <c r="A165" s="1"/>
      <c r="B165" s="1"/>
      <c r="C165" s="1"/>
      <c r="D165" s="468"/>
      <c r="E165" s="468"/>
      <c r="F165" s="468"/>
      <c r="G165" s="468"/>
      <c r="H165" s="468"/>
      <c r="I165" s="468"/>
      <c r="J165" s="469"/>
      <c r="K165" s="468"/>
      <c r="L165" s="468"/>
      <c r="M165" s="468"/>
      <c r="N165" s="468"/>
      <c r="O165" s="468"/>
      <c r="P165" s="468"/>
      <c r="Q165" s="468"/>
      <c r="R165" s="375"/>
      <c r="S165" s="415"/>
      <c r="T165" s="415"/>
      <c r="U165" s="377"/>
      <c r="V165" s="377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</row>
    <row r="166" ht="14.25" customHeight="1">
      <c r="A166" s="1"/>
      <c r="B166" s="1"/>
      <c r="C166" s="1"/>
      <c r="D166" s="468"/>
      <c r="E166" s="468"/>
      <c r="F166" s="468"/>
      <c r="G166" s="468"/>
      <c r="H166" s="468"/>
      <c r="I166" s="468"/>
      <c r="J166" s="469"/>
      <c r="K166" s="468"/>
      <c r="L166" s="468"/>
      <c r="M166" s="468"/>
      <c r="N166" s="468"/>
      <c r="O166" s="468"/>
      <c r="P166" s="468"/>
      <c r="Q166" s="468"/>
      <c r="R166" s="375"/>
      <c r="S166" s="415"/>
      <c r="T166" s="415"/>
      <c r="U166" s="377"/>
      <c r="V166" s="377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</row>
    <row r="167" ht="14.25" customHeight="1">
      <c r="A167" s="1"/>
      <c r="B167" s="1"/>
      <c r="C167" s="1"/>
      <c r="D167" s="468"/>
      <c r="E167" s="468"/>
      <c r="F167" s="468"/>
      <c r="G167" s="468"/>
      <c r="H167" s="468"/>
      <c r="I167" s="468"/>
      <c r="J167" s="469"/>
      <c r="K167" s="468"/>
      <c r="L167" s="468"/>
      <c r="M167" s="468"/>
      <c r="N167" s="468"/>
      <c r="O167" s="468"/>
      <c r="P167" s="468"/>
      <c r="Q167" s="468"/>
      <c r="R167" s="375"/>
      <c r="S167" s="415"/>
      <c r="T167" s="415"/>
      <c r="U167" s="377"/>
      <c r="V167" s="377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</row>
    <row r="168" ht="14.25" customHeight="1">
      <c r="A168" s="1"/>
      <c r="B168" s="1"/>
      <c r="C168" s="1"/>
      <c r="D168" s="468"/>
      <c r="E168" s="468"/>
      <c r="F168" s="468"/>
      <c r="G168" s="468"/>
      <c r="H168" s="468"/>
      <c r="I168" s="468"/>
      <c r="J168" s="469"/>
      <c r="K168" s="468"/>
      <c r="L168" s="468"/>
      <c r="M168" s="468"/>
      <c r="N168" s="468"/>
      <c r="O168" s="468"/>
      <c r="P168" s="468"/>
      <c r="Q168" s="468"/>
      <c r="R168" s="375"/>
      <c r="S168" s="415"/>
      <c r="T168" s="415"/>
      <c r="U168" s="377"/>
      <c r="V168" s="377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</row>
    <row r="169" ht="14.25" customHeight="1">
      <c r="A169" s="1"/>
      <c r="B169" s="1"/>
      <c r="C169" s="1"/>
      <c r="D169" s="468"/>
      <c r="E169" s="468"/>
      <c r="F169" s="468"/>
      <c r="G169" s="468"/>
      <c r="H169" s="468"/>
      <c r="I169" s="468"/>
      <c r="J169" s="469"/>
      <c r="K169" s="468"/>
      <c r="L169" s="468"/>
      <c r="M169" s="468"/>
      <c r="N169" s="468"/>
      <c r="O169" s="468"/>
      <c r="P169" s="468"/>
      <c r="Q169" s="468"/>
      <c r="R169" s="375"/>
      <c r="S169" s="415"/>
      <c r="T169" s="415"/>
      <c r="U169" s="377"/>
      <c r="V169" s="377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</row>
    <row r="170" ht="14.25" customHeight="1">
      <c r="A170" s="1"/>
      <c r="B170" s="1"/>
      <c r="C170" s="1"/>
      <c r="D170" s="468"/>
      <c r="E170" s="468"/>
      <c r="F170" s="468"/>
      <c r="G170" s="468"/>
      <c r="H170" s="468"/>
      <c r="I170" s="468"/>
      <c r="J170" s="469"/>
      <c r="K170" s="468"/>
      <c r="L170" s="468"/>
      <c r="M170" s="468"/>
      <c r="N170" s="468"/>
      <c r="O170" s="468"/>
      <c r="P170" s="468"/>
      <c r="Q170" s="468"/>
      <c r="R170" s="375"/>
      <c r="S170" s="415"/>
      <c r="T170" s="415"/>
      <c r="U170" s="377"/>
      <c r="V170" s="377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</row>
    <row r="171" ht="14.25" customHeight="1">
      <c r="A171" s="1"/>
      <c r="B171" s="1"/>
      <c r="C171" s="1"/>
      <c r="D171" s="468"/>
      <c r="E171" s="468"/>
      <c r="F171" s="468"/>
      <c r="G171" s="468"/>
      <c r="H171" s="468"/>
      <c r="I171" s="468"/>
      <c r="J171" s="469"/>
      <c r="K171" s="468"/>
      <c r="L171" s="468"/>
      <c r="M171" s="468"/>
      <c r="N171" s="468"/>
      <c r="O171" s="468"/>
      <c r="P171" s="468"/>
      <c r="Q171" s="468"/>
      <c r="R171" s="375"/>
      <c r="S171" s="415"/>
      <c r="T171" s="415"/>
      <c r="U171" s="377"/>
      <c r="V171" s="377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</row>
    <row r="172" ht="14.25" customHeight="1">
      <c r="A172" s="1"/>
      <c r="B172" s="1"/>
      <c r="C172" s="1"/>
      <c r="D172" s="468"/>
      <c r="E172" s="468"/>
      <c r="F172" s="468"/>
      <c r="G172" s="468"/>
      <c r="H172" s="468"/>
      <c r="I172" s="468"/>
      <c r="J172" s="469"/>
      <c r="K172" s="468"/>
      <c r="L172" s="468"/>
      <c r="M172" s="468"/>
      <c r="N172" s="468"/>
      <c r="O172" s="468"/>
      <c r="P172" s="468"/>
      <c r="Q172" s="468"/>
      <c r="R172" s="375"/>
      <c r="S172" s="415"/>
      <c r="T172" s="415"/>
      <c r="U172" s="377"/>
      <c r="V172" s="377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</row>
    <row r="173" ht="14.25" customHeight="1">
      <c r="A173" s="1"/>
      <c r="B173" s="1"/>
      <c r="C173" s="1"/>
      <c r="D173" s="468"/>
      <c r="E173" s="468"/>
      <c r="F173" s="468"/>
      <c r="G173" s="468"/>
      <c r="H173" s="468"/>
      <c r="I173" s="468"/>
      <c r="J173" s="469"/>
      <c r="K173" s="468"/>
      <c r="L173" s="468"/>
      <c r="M173" s="468"/>
      <c r="N173" s="468"/>
      <c r="O173" s="468"/>
      <c r="P173" s="468"/>
      <c r="Q173" s="468"/>
      <c r="R173" s="375"/>
      <c r="S173" s="415"/>
      <c r="T173" s="415"/>
      <c r="U173" s="377"/>
      <c r="V173" s="377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</row>
    <row r="174" ht="14.25" customHeight="1">
      <c r="A174" s="1"/>
      <c r="B174" s="1"/>
      <c r="C174" s="1"/>
      <c r="D174" s="468"/>
      <c r="E174" s="468"/>
      <c r="F174" s="468"/>
      <c r="G174" s="468"/>
      <c r="H174" s="468"/>
      <c r="I174" s="468"/>
      <c r="J174" s="469"/>
      <c r="K174" s="468"/>
      <c r="L174" s="468"/>
      <c r="M174" s="468"/>
      <c r="N174" s="468"/>
      <c r="O174" s="468"/>
      <c r="P174" s="468"/>
      <c r="Q174" s="468"/>
      <c r="R174" s="375"/>
      <c r="S174" s="415"/>
      <c r="T174" s="415"/>
      <c r="U174" s="377"/>
      <c r="V174" s="377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</row>
    <row r="175" ht="14.25" customHeight="1">
      <c r="A175" s="1"/>
      <c r="B175" s="1"/>
      <c r="C175" s="1"/>
      <c r="D175" s="468"/>
      <c r="E175" s="468"/>
      <c r="F175" s="468"/>
      <c r="G175" s="468"/>
      <c r="H175" s="468"/>
      <c r="I175" s="468"/>
      <c r="J175" s="469"/>
      <c r="K175" s="468"/>
      <c r="L175" s="468"/>
      <c r="M175" s="468"/>
      <c r="N175" s="468"/>
      <c r="O175" s="468"/>
      <c r="P175" s="468"/>
      <c r="Q175" s="468"/>
      <c r="R175" s="375"/>
      <c r="S175" s="415"/>
      <c r="T175" s="415"/>
      <c r="U175" s="377"/>
      <c r="V175" s="377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</row>
    <row r="176" ht="14.25" customHeight="1">
      <c r="A176" s="1"/>
      <c r="B176" s="1"/>
      <c r="C176" s="1"/>
      <c r="D176" s="468"/>
      <c r="E176" s="468"/>
      <c r="F176" s="468"/>
      <c r="G176" s="468"/>
      <c r="H176" s="468"/>
      <c r="I176" s="468"/>
      <c r="J176" s="469"/>
      <c r="K176" s="468"/>
      <c r="L176" s="468"/>
      <c r="M176" s="468"/>
      <c r="N176" s="468"/>
      <c r="O176" s="468"/>
      <c r="P176" s="468"/>
      <c r="Q176" s="468"/>
      <c r="R176" s="375"/>
      <c r="S176" s="415"/>
      <c r="T176" s="415"/>
      <c r="U176" s="377"/>
      <c r="V176" s="377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</row>
    <row r="177" ht="14.25" customHeight="1">
      <c r="A177" s="1"/>
      <c r="B177" s="1"/>
      <c r="C177" s="1"/>
      <c r="D177" s="468"/>
      <c r="E177" s="468"/>
      <c r="F177" s="468"/>
      <c r="G177" s="468"/>
      <c r="H177" s="468"/>
      <c r="I177" s="468"/>
      <c r="J177" s="469"/>
      <c r="K177" s="468"/>
      <c r="L177" s="468"/>
      <c r="M177" s="468"/>
      <c r="N177" s="468"/>
      <c r="O177" s="468"/>
      <c r="P177" s="468"/>
      <c r="Q177" s="468"/>
      <c r="R177" s="375"/>
      <c r="S177" s="415"/>
      <c r="T177" s="415"/>
      <c r="U177" s="377"/>
      <c r="V177" s="377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</row>
    <row r="178" ht="14.25" customHeight="1">
      <c r="A178" s="1"/>
      <c r="B178" s="1"/>
      <c r="C178" s="1"/>
      <c r="D178" s="468"/>
      <c r="E178" s="468"/>
      <c r="F178" s="468"/>
      <c r="G178" s="468"/>
      <c r="H178" s="468"/>
      <c r="I178" s="468"/>
      <c r="J178" s="469"/>
      <c r="K178" s="468"/>
      <c r="L178" s="468"/>
      <c r="M178" s="468"/>
      <c r="N178" s="468"/>
      <c r="O178" s="468"/>
      <c r="P178" s="468"/>
      <c r="Q178" s="468"/>
      <c r="R178" s="375"/>
      <c r="S178" s="415"/>
      <c r="T178" s="415"/>
      <c r="U178" s="377"/>
      <c r="V178" s="377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</row>
    <row r="179" ht="14.25" customHeight="1">
      <c r="A179" s="1"/>
      <c r="B179" s="1"/>
      <c r="C179" s="1"/>
      <c r="D179" s="468"/>
      <c r="E179" s="468"/>
      <c r="F179" s="468"/>
      <c r="G179" s="468"/>
      <c r="H179" s="468"/>
      <c r="I179" s="468"/>
      <c r="J179" s="469"/>
      <c r="K179" s="468"/>
      <c r="L179" s="468"/>
      <c r="M179" s="468"/>
      <c r="N179" s="468"/>
      <c r="O179" s="468"/>
      <c r="P179" s="468"/>
      <c r="Q179" s="468"/>
      <c r="R179" s="375"/>
      <c r="S179" s="415"/>
      <c r="T179" s="415"/>
      <c r="U179" s="377"/>
      <c r="V179" s="377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</row>
    <row r="180" ht="14.25" customHeight="1">
      <c r="A180" s="1"/>
      <c r="B180" s="1"/>
      <c r="C180" s="1"/>
      <c r="D180" s="468"/>
      <c r="E180" s="468"/>
      <c r="F180" s="468"/>
      <c r="G180" s="468"/>
      <c r="H180" s="468"/>
      <c r="I180" s="468"/>
      <c r="J180" s="469"/>
      <c r="K180" s="468"/>
      <c r="L180" s="468"/>
      <c r="M180" s="468"/>
      <c r="N180" s="468"/>
      <c r="O180" s="468"/>
      <c r="P180" s="468"/>
      <c r="Q180" s="468"/>
      <c r="R180" s="375"/>
      <c r="S180" s="415"/>
      <c r="T180" s="415"/>
      <c r="U180" s="377"/>
      <c r="V180" s="377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</row>
    <row r="181" ht="14.25" customHeight="1">
      <c r="A181" s="1"/>
      <c r="B181" s="1"/>
      <c r="C181" s="1"/>
      <c r="D181" s="468"/>
      <c r="E181" s="468"/>
      <c r="F181" s="468"/>
      <c r="G181" s="468"/>
      <c r="H181" s="468"/>
      <c r="I181" s="468"/>
      <c r="J181" s="469"/>
      <c r="K181" s="468"/>
      <c r="L181" s="468"/>
      <c r="M181" s="468"/>
      <c r="N181" s="468"/>
      <c r="O181" s="468"/>
      <c r="P181" s="468"/>
      <c r="Q181" s="468"/>
      <c r="R181" s="375"/>
      <c r="S181" s="415"/>
      <c r="T181" s="415"/>
      <c r="U181" s="377"/>
      <c r="V181" s="377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</row>
    <row r="182" ht="14.25" customHeight="1">
      <c r="A182" s="1"/>
      <c r="B182" s="1"/>
      <c r="C182" s="1"/>
      <c r="D182" s="468"/>
      <c r="E182" s="468"/>
      <c r="F182" s="468"/>
      <c r="G182" s="468"/>
      <c r="H182" s="468"/>
      <c r="I182" s="468"/>
      <c r="J182" s="469"/>
      <c r="K182" s="468"/>
      <c r="L182" s="468"/>
      <c r="M182" s="468"/>
      <c r="N182" s="468"/>
      <c r="O182" s="468"/>
      <c r="P182" s="468"/>
      <c r="Q182" s="468"/>
      <c r="R182" s="375"/>
      <c r="S182" s="415"/>
      <c r="T182" s="415"/>
      <c r="U182" s="377"/>
      <c r="V182" s="377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</row>
    <row r="183" ht="14.25" customHeight="1">
      <c r="A183" s="1"/>
      <c r="B183" s="1"/>
      <c r="C183" s="1"/>
      <c r="D183" s="468"/>
      <c r="E183" s="468"/>
      <c r="F183" s="468"/>
      <c r="G183" s="468"/>
      <c r="H183" s="468"/>
      <c r="I183" s="468"/>
      <c r="J183" s="469"/>
      <c r="K183" s="468"/>
      <c r="L183" s="468"/>
      <c r="M183" s="468"/>
      <c r="N183" s="468"/>
      <c r="O183" s="468"/>
      <c r="P183" s="468"/>
      <c r="Q183" s="468"/>
      <c r="R183" s="375"/>
      <c r="S183" s="415"/>
      <c r="T183" s="415"/>
      <c r="U183" s="377"/>
      <c r="V183" s="377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</row>
    <row r="184" ht="14.25" customHeight="1">
      <c r="A184" s="1"/>
      <c r="B184" s="1"/>
      <c r="C184" s="1"/>
      <c r="D184" s="468"/>
      <c r="E184" s="468"/>
      <c r="F184" s="468"/>
      <c r="G184" s="468"/>
      <c r="H184" s="468"/>
      <c r="I184" s="468"/>
      <c r="J184" s="469"/>
      <c r="K184" s="468"/>
      <c r="L184" s="468"/>
      <c r="M184" s="468"/>
      <c r="N184" s="468"/>
      <c r="O184" s="468"/>
      <c r="P184" s="468"/>
      <c r="Q184" s="468"/>
      <c r="R184" s="375"/>
      <c r="S184" s="415"/>
      <c r="T184" s="415"/>
      <c r="U184" s="377"/>
      <c r="V184" s="377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</row>
    <row r="185" ht="14.25" customHeight="1">
      <c r="A185" s="1"/>
      <c r="B185" s="1"/>
      <c r="C185" s="1"/>
      <c r="D185" s="468"/>
      <c r="E185" s="468"/>
      <c r="F185" s="468"/>
      <c r="G185" s="468"/>
      <c r="H185" s="468"/>
      <c r="I185" s="468"/>
      <c r="J185" s="469"/>
      <c r="K185" s="468"/>
      <c r="L185" s="468"/>
      <c r="M185" s="468"/>
      <c r="N185" s="468"/>
      <c r="O185" s="468"/>
      <c r="P185" s="468"/>
      <c r="Q185" s="468"/>
      <c r="R185" s="375"/>
      <c r="S185" s="415"/>
      <c r="T185" s="415"/>
      <c r="U185" s="377"/>
      <c r="V185" s="377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</row>
    <row r="186" ht="14.25" customHeight="1">
      <c r="A186" s="1"/>
      <c r="B186" s="1"/>
      <c r="C186" s="1"/>
      <c r="D186" s="468"/>
      <c r="E186" s="468"/>
      <c r="F186" s="468"/>
      <c r="G186" s="468"/>
      <c r="H186" s="468"/>
      <c r="I186" s="468"/>
      <c r="J186" s="469"/>
      <c r="K186" s="468"/>
      <c r="L186" s="468"/>
      <c r="M186" s="468"/>
      <c r="N186" s="468"/>
      <c r="O186" s="468"/>
      <c r="P186" s="468"/>
      <c r="Q186" s="468"/>
      <c r="R186" s="375"/>
      <c r="S186" s="415"/>
      <c r="T186" s="415"/>
      <c r="U186" s="377"/>
      <c r="V186" s="377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</row>
    <row r="187" ht="14.25" customHeight="1">
      <c r="A187" s="1"/>
      <c r="B187" s="1"/>
      <c r="C187" s="1"/>
      <c r="D187" s="468"/>
      <c r="E187" s="468"/>
      <c r="F187" s="468"/>
      <c r="G187" s="468"/>
      <c r="H187" s="468"/>
      <c r="I187" s="468"/>
      <c r="J187" s="469"/>
      <c r="K187" s="468"/>
      <c r="L187" s="468"/>
      <c r="M187" s="468"/>
      <c r="N187" s="468"/>
      <c r="O187" s="468"/>
      <c r="P187" s="468"/>
      <c r="Q187" s="468"/>
      <c r="R187" s="375"/>
      <c r="S187" s="415"/>
      <c r="T187" s="415"/>
      <c r="U187" s="377"/>
      <c r="V187" s="377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</row>
    <row r="188" ht="14.25" customHeight="1">
      <c r="A188" s="1"/>
      <c r="B188" s="1"/>
      <c r="C188" s="1"/>
      <c r="D188" s="468"/>
      <c r="E188" s="468"/>
      <c r="F188" s="468"/>
      <c r="G188" s="468"/>
      <c r="H188" s="468"/>
      <c r="I188" s="468"/>
      <c r="J188" s="469"/>
      <c r="K188" s="468"/>
      <c r="L188" s="468"/>
      <c r="M188" s="468"/>
      <c r="N188" s="468"/>
      <c r="O188" s="468"/>
      <c r="P188" s="468"/>
      <c r="Q188" s="468"/>
      <c r="R188" s="375"/>
      <c r="S188" s="415"/>
      <c r="T188" s="415"/>
      <c r="U188" s="377"/>
      <c r="V188" s="377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</row>
    <row r="189" ht="14.25" customHeight="1">
      <c r="A189" s="1"/>
      <c r="B189" s="1"/>
      <c r="C189" s="1"/>
      <c r="D189" s="468"/>
      <c r="E189" s="468"/>
      <c r="F189" s="468"/>
      <c r="G189" s="468"/>
      <c r="H189" s="468"/>
      <c r="I189" s="468"/>
      <c r="J189" s="469"/>
      <c r="K189" s="468"/>
      <c r="L189" s="468"/>
      <c r="M189" s="468"/>
      <c r="N189" s="468"/>
      <c r="O189" s="468"/>
      <c r="P189" s="468"/>
      <c r="Q189" s="468"/>
      <c r="R189" s="375"/>
      <c r="S189" s="415"/>
      <c r="T189" s="415"/>
      <c r="U189" s="377"/>
      <c r="V189" s="377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</row>
    <row r="190" ht="14.25" customHeight="1">
      <c r="A190" s="1"/>
      <c r="B190" s="1"/>
      <c r="C190" s="1"/>
      <c r="D190" s="468"/>
      <c r="E190" s="468"/>
      <c r="F190" s="468"/>
      <c r="G190" s="468"/>
      <c r="H190" s="468"/>
      <c r="I190" s="468"/>
      <c r="J190" s="469"/>
      <c r="K190" s="468"/>
      <c r="L190" s="468"/>
      <c r="M190" s="468"/>
      <c r="N190" s="468"/>
      <c r="O190" s="468"/>
      <c r="P190" s="468"/>
      <c r="Q190" s="468"/>
      <c r="R190" s="375"/>
      <c r="S190" s="415"/>
      <c r="T190" s="415"/>
      <c r="U190" s="377"/>
      <c r="V190" s="377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</row>
    <row r="191" ht="14.25" customHeight="1">
      <c r="A191" s="1"/>
      <c r="B191" s="1"/>
      <c r="C191" s="1"/>
      <c r="D191" s="468"/>
      <c r="E191" s="468"/>
      <c r="F191" s="468"/>
      <c r="G191" s="468"/>
      <c r="H191" s="468"/>
      <c r="I191" s="468"/>
      <c r="J191" s="469"/>
      <c r="K191" s="468"/>
      <c r="L191" s="468"/>
      <c r="M191" s="468"/>
      <c r="N191" s="468"/>
      <c r="O191" s="468"/>
      <c r="P191" s="468"/>
      <c r="Q191" s="468"/>
      <c r="R191" s="375"/>
      <c r="S191" s="415"/>
      <c r="T191" s="415"/>
      <c r="U191" s="377"/>
      <c r="V191" s="377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</row>
    <row r="192" ht="14.25" customHeight="1">
      <c r="A192" s="1"/>
      <c r="B192" s="1"/>
      <c r="C192" s="1"/>
      <c r="D192" s="468"/>
      <c r="E192" s="468"/>
      <c r="F192" s="468"/>
      <c r="G192" s="468"/>
      <c r="H192" s="468"/>
      <c r="I192" s="468"/>
      <c r="J192" s="469"/>
      <c r="K192" s="468"/>
      <c r="L192" s="468"/>
      <c r="M192" s="468"/>
      <c r="N192" s="468"/>
      <c r="O192" s="468"/>
      <c r="P192" s="468"/>
      <c r="Q192" s="468"/>
      <c r="R192" s="375"/>
      <c r="S192" s="415"/>
      <c r="T192" s="415"/>
      <c r="U192" s="377"/>
      <c r="V192" s="377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</row>
    <row r="193" ht="14.25" customHeight="1">
      <c r="A193" s="1"/>
      <c r="B193" s="1"/>
      <c r="C193" s="1"/>
      <c r="D193" s="468"/>
      <c r="E193" s="468"/>
      <c r="F193" s="468"/>
      <c r="G193" s="468"/>
      <c r="H193" s="468"/>
      <c r="I193" s="468"/>
      <c r="J193" s="469"/>
      <c r="K193" s="468"/>
      <c r="L193" s="468"/>
      <c r="M193" s="468"/>
      <c r="N193" s="468"/>
      <c r="O193" s="468"/>
      <c r="P193" s="468"/>
      <c r="Q193" s="468"/>
      <c r="R193" s="375"/>
      <c r="S193" s="415"/>
      <c r="T193" s="415"/>
      <c r="U193" s="377"/>
      <c r="V193" s="377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</row>
    <row r="194" ht="14.25" customHeight="1">
      <c r="A194" s="1"/>
      <c r="B194" s="1"/>
      <c r="C194" s="1"/>
      <c r="D194" s="468"/>
      <c r="E194" s="468"/>
      <c r="F194" s="468"/>
      <c r="G194" s="468"/>
      <c r="H194" s="468"/>
      <c r="I194" s="468"/>
      <c r="J194" s="469"/>
      <c r="K194" s="468"/>
      <c r="L194" s="468"/>
      <c r="M194" s="468"/>
      <c r="N194" s="468"/>
      <c r="O194" s="468"/>
      <c r="P194" s="468"/>
      <c r="Q194" s="468"/>
      <c r="R194" s="375"/>
      <c r="S194" s="415"/>
      <c r="T194" s="415"/>
      <c r="U194" s="377"/>
      <c r="V194" s="377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</row>
    <row r="195" ht="14.25" customHeight="1">
      <c r="A195" s="1"/>
      <c r="B195" s="1"/>
      <c r="C195" s="1"/>
      <c r="D195" s="468"/>
      <c r="E195" s="468"/>
      <c r="F195" s="468"/>
      <c r="G195" s="468"/>
      <c r="H195" s="468"/>
      <c r="I195" s="468"/>
      <c r="J195" s="469"/>
      <c r="K195" s="468"/>
      <c r="L195" s="468"/>
      <c r="M195" s="468"/>
      <c r="N195" s="468"/>
      <c r="O195" s="468"/>
      <c r="P195" s="468"/>
      <c r="Q195" s="468"/>
      <c r="R195" s="375"/>
      <c r="S195" s="415"/>
      <c r="T195" s="415"/>
      <c r="U195" s="377"/>
      <c r="V195" s="377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</row>
    <row r="196" ht="14.25" customHeight="1">
      <c r="A196" s="1"/>
      <c r="B196" s="1"/>
      <c r="C196" s="1"/>
      <c r="D196" s="468"/>
      <c r="E196" s="468"/>
      <c r="F196" s="468"/>
      <c r="G196" s="468"/>
      <c r="H196" s="468"/>
      <c r="I196" s="468"/>
      <c r="J196" s="469"/>
      <c r="K196" s="468"/>
      <c r="L196" s="468"/>
      <c r="M196" s="468"/>
      <c r="N196" s="468"/>
      <c r="O196" s="468"/>
      <c r="P196" s="468"/>
      <c r="Q196" s="468"/>
      <c r="R196" s="375"/>
      <c r="S196" s="415"/>
      <c r="T196" s="415"/>
      <c r="U196" s="377"/>
      <c r="V196" s="377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</row>
    <row r="197" ht="14.25" customHeight="1">
      <c r="A197" s="1"/>
      <c r="B197" s="1"/>
      <c r="C197" s="1"/>
      <c r="D197" s="468"/>
      <c r="E197" s="468"/>
      <c r="F197" s="468"/>
      <c r="G197" s="468"/>
      <c r="H197" s="468"/>
      <c r="I197" s="468"/>
      <c r="J197" s="469"/>
      <c r="K197" s="468"/>
      <c r="L197" s="468"/>
      <c r="M197" s="468"/>
      <c r="N197" s="468"/>
      <c r="O197" s="468"/>
      <c r="P197" s="468"/>
      <c r="Q197" s="468"/>
      <c r="R197" s="375"/>
      <c r="S197" s="415"/>
      <c r="T197" s="415"/>
      <c r="U197" s="377"/>
      <c r="V197" s="377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</row>
    <row r="198" ht="14.25" customHeight="1">
      <c r="A198" s="1"/>
      <c r="B198" s="1"/>
      <c r="C198" s="1"/>
      <c r="D198" s="468"/>
      <c r="E198" s="468"/>
      <c r="F198" s="468"/>
      <c r="G198" s="468"/>
      <c r="H198" s="468"/>
      <c r="I198" s="468"/>
      <c r="J198" s="469"/>
      <c r="K198" s="468"/>
      <c r="L198" s="468"/>
      <c r="M198" s="468"/>
      <c r="N198" s="468"/>
      <c r="O198" s="468"/>
      <c r="P198" s="468"/>
      <c r="Q198" s="468"/>
      <c r="R198" s="375"/>
      <c r="S198" s="415"/>
      <c r="T198" s="415"/>
      <c r="U198" s="377"/>
      <c r="V198" s="377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</row>
    <row r="199" ht="14.25" customHeight="1">
      <c r="A199" s="1"/>
      <c r="B199" s="1"/>
      <c r="C199" s="1"/>
      <c r="D199" s="468"/>
      <c r="E199" s="468"/>
      <c r="F199" s="468"/>
      <c r="G199" s="468"/>
      <c r="H199" s="468"/>
      <c r="I199" s="468"/>
      <c r="J199" s="469"/>
      <c r="K199" s="468"/>
      <c r="L199" s="468"/>
      <c r="M199" s="468"/>
      <c r="N199" s="468"/>
      <c r="O199" s="468"/>
      <c r="P199" s="468"/>
      <c r="Q199" s="468"/>
      <c r="R199" s="375"/>
      <c r="S199" s="415"/>
      <c r="T199" s="415"/>
      <c r="U199" s="377"/>
      <c r="V199" s="377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</row>
    <row r="200" ht="14.25" customHeight="1">
      <c r="A200" s="1"/>
      <c r="B200" s="1"/>
      <c r="C200" s="1"/>
      <c r="D200" s="468"/>
      <c r="E200" s="468"/>
      <c r="F200" s="468"/>
      <c r="G200" s="468"/>
      <c r="H200" s="468"/>
      <c r="I200" s="468"/>
      <c r="J200" s="469"/>
      <c r="K200" s="468"/>
      <c r="L200" s="468"/>
      <c r="M200" s="468"/>
      <c r="N200" s="468"/>
      <c r="O200" s="468"/>
      <c r="P200" s="468"/>
      <c r="Q200" s="468"/>
      <c r="R200" s="375"/>
      <c r="S200" s="415"/>
      <c r="T200" s="415"/>
      <c r="U200" s="377"/>
      <c r="V200" s="377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</row>
    <row r="201" ht="14.25" customHeight="1">
      <c r="A201" s="1"/>
      <c r="B201" s="1"/>
      <c r="C201" s="1"/>
      <c r="D201" s="468"/>
      <c r="E201" s="468"/>
      <c r="F201" s="468"/>
      <c r="G201" s="468"/>
      <c r="H201" s="468"/>
      <c r="I201" s="468"/>
      <c r="J201" s="469"/>
      <c r="K201" s="468"/>
      <c r="L201" s="468"/>
      <c r="M201" s="468"/>
      <c r="N201" s="468"/>
      <c r="O201" s="468"/>
      <c r="P201" s="468"/>
      <c r="Q201" s="468"/>
      <c r="R201" s="375"/>
      <c r="S201" s="415"/>
      <c r="T201" s="415"/>
      <c r="U201" s="377"/>
      <c r="V201" s="377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</row>
    <row r="202" ht="14.25" customHeight="1">
      <c r="A202" s="1"/>
      <c r="B202" s="1"/>
      <c r="C202" s="1"/>
      <c r="D202" s="468"/>
      <c r="E202" s="468"/>
      <c r="F202" s="468"/>
      <c r="G202" s="468"/>
      <c r="H202" s="468"/>
      <c r="I202" s="468"/>
      <c r="J202" s="469"/>
      <c r="K202" s="468"/>
      <c r="L202" s="468"/>
      <c r="M202" s="468"/>
      <c r="N202" s="468"/>
      <c r="O202" s="468"/>
      <c r="P202" s="468"/>
      <c r="Q202" s="468"/>
      <c r="R202" s="375"/>
      <c r="S202" s="415"/>
      <c r="T202" s="415"/>
      <c r="U202" s="377"/>
      <c r="V202" s="377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</row>
    <row r="203" ht="14.25" customHeight="1">
      <c r="A203" s="1"/>
      <c r="B203" s="1"/>
      <c r="C203" s="1"/>
      <c r="D203" s="468"/>
      <c r="E203" s="468"/>
      <c r="F203" s="468"/>
      <c r="G203" s="468"/>
      <c r="H203" s="468"/>
      <c r="I203" s="468"/>
      <c r="J203" s="469"/>
      <c r="K203" s="468"/>
      <c r="L203" s="468"/>
      <c r="M203" s="468"/>
      <c r="N203" s="468"/>
      <c r="O203" s="468"/>
      <c r="P203" s="468"/>
      <c r="Q203" s="468"/>
      <c r="R203" s="375"/>
      <c r="S203" s="415"/>
      <c r="T203" s="415"/>
      <c r="U203" s="377"/>
      <c r="V203" s="377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</row>
    <row r="204" ht="14.25" customHeight="1">
      <c r="A204" s="1"/>
      <c r="B204" s="1"/>
      <c r="C204" s="1"/>
      <c r="D204" s="468"/>
      <c r="E204" s="468"/>
      <c r="F204" s="468"/>
      <c r="G204" s="468"/>
      <c r="H204" s="468"/>
      <c r="I204" s="468"/>
      <c r="J204" s="469"/>
      <c r="K204" s="468"/>
      <c r="L204" s="468"/>
      <c r="M204" s="468"/>
      <c r="N204" s="468"/>
      <c r="O204" s="468"/>
      <c r="P204" s="468"/>
      <c r="Q204" s="468"/>
      <c r="R204" s="375"/>
      <c r="S204" s="415"/>
      <c r="T204" s="415"/>
      <c r="U204" s="377"/>
      <c r="V204" s="377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</row>
    <row r="205" ht="14.25" customHeight="1">
      <c r="A205" s="1"/>
      <c r="B205" s="1"/>
      <c r="C205" s="1"/>
      <c r="D205" s="468"/>
      <c r="E205" s="468"/>
      <c r="F205" s="468"/>
      <c r="G205" s="468"/>
      <c r="H205" s="468"/>
      <c r="I205" s="468"/>
      <c r="J205" s="469"/>
      <c r="K205" s="468"/>
      <c r="L205" s="468"/>
      <c r="M205" s="468"/>
      <c r="N205" s="468"/>
      <c r="O205" s="468"/>
      <c r="P205" s="468"/>
      <c r="Q205" s="468"/>
      <c r="R205" s="375"/>
      <c r="S205" s="415"/>
      <c r="T205" s="415"/>
      <c r="U205" s="377"/>
      <c r="V205" s="377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</row>
    <row r="206" ht="14.25" customHeight="1">
      <c r="A206" s="1"/>
      <c r="B206" s="1"/>
      <c r="C206" s="1"/>
      <c r="D206" s="468"/>
      <c r="E206" s="468"/>
      <c r="F206" s="468"/>
      <c r="G206" s="468"/>
      <c r="H206" s="468"/>
      <c r="I206" s="468"/>
      <c r="J206" s="469"/>
      <c r="K206" s="468"/>
      <c r="L206" s="468"/>
      <c r="M206" s="468"/>
      <c r="N206" s="468"/>
      <c r="O206" s="468"/>
      <c r="P206" s="468"/>
      <c r="Q206" s="468"/>
      <c r="R206" s="375"/>
      <c r="S206" s="415"/>
      <c r="T206" s="415"/>
      <c r="U206" s="377"/>
      <c r="V206" s="377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</row>
    <row r="207" ht="14.25" customHeight="1">
      <c r="A207" s="1"/>
      <c r="B207" s="1"/>
      <c r="C207" s="1"/>
      <c r="D207" s="468"/>
      <c r="E207" s="468"/>
      <c r="F207" s="468"/>
      <c r="G207" s="468"/>
      <c r="H207" s="468"/>
      <c r="I207" s="468"/>
      <c r="J207" s="469"/>
      <c r="K207" s="468"/>
      <c r="L207" s="468"/>
      <c r="M207" s="468"/>
      <c r="N207" s="468"/>
      <c r="O207" s="468"/>
      <c r="P207" s="468"/>
      <c r="Q207" s="468"/>
      <c r="R207" s="375"/>
      <c r="S207" s="415"/>
      <c r="T207" s="415"/>
      <c r="U207" s="377"/>
      <c r="V207" s="377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</row>
    <row r="208" ht="14.25" customHeight="1">
      <c r="A208" s="1"/>
      <c r="B208" s="1"/>
      <c r="C208" s="1"/>
      <c r="D208" s="468"/>
      <c r="E208" s="468"/>
      <c r="F208" s="468"/>
      <c r="G208" s="468"/>
      <c r="H208" s="468"/>
      <c r="I208" s="468"/>
      <c r="J208" s="469"/>
      <c r="K208" s="468"/>
      <c r="L208" s="468"/>
      <c r="M208" s="468"/>
      <c r="N208" s="468"/>
      <c r="O208" s="468"/>
      <c r="P208" s="468"/>
      <c r="Q208" s="468"/>
      <c r="R208" s="375"/>
      <c r="S208" s="415"/>
      <c r="T208" s="415"/>
      <c r="U208" s="377"/>
      <c r="V208" s="377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</row>
    <row r="209" ht="14.25" customHeight="1">
      <c r="A209" s="1"/>
      <c r="B209" s="1"/>
      <c r="C209" s="1"/>
      <c r="D209" s="468"/>
      <c r="E209" s="468"/>
      <c r="F209" s="468"/>
      <c r="G209" s="468"/>
      <c r="H209" s="468"/>
      <c r="I209" s="468"/>
      <c r="J209" s="469"/>
      <c r="K209" s="468"/>
      <c r="L209" s="468"/>
      <c r="M209" s="468"/>
      <c r="N209" s="468"/>
      <c r="O209" s="468"/>
      <c r="P209" s="468"/>
      <c r="Q209" s="468"/>
      <c r="R209" s="375"/>
      <c r="S209" s="415"/>
      <c r="T209" s="415"/>
      <c r="U209" s="377"/>
      <c r="V209" s="377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</row>
    <row r="210" ht="14.25" customHeight="1">
      <c r="A210" s="1"/>
      <c r="B210" s="1"/>
      <c r="C210" s="1"/>
      <c r="D210" s="468"/>
      <c r="E210" s="468"/>
      <c r="F210" s="468"/>
      <c r="G210" s="468"/>
      <c r="H210" s="468"/>
      <c r="I210" s="468"/>
      <c r="J210" s="469"/>
      <c r="K210" s="468"/>
      <c r="L210" s="468"/>
      <c r="M210" s="468"/>
      <c r="N210" s="468"/>
      <c r="O210" s="468"/>
      <c r="P210" s="468"/>
      <c r="Q210" s="468"/>
      <c r="R210" s="375"/>
      <c r="S210" s="415"/>
      <c r="T210" s="415"/>
      <c r="U210" s="377"/>
      <c r="V210" s="377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</row>
    <row r="211" ht="14.25" customHeight="1">
      <c r="A211" s="1"/>
      <c r="B211" s="1"/>
      <c r="C211" s="1"/>
      <c r="D211" s="468"/>
      <c r="E211" s="468"/>
      <c r="F211" s="468"/>
      <c r="G211" s="468"/>
      <c r="H211" s="468"/>
      <c r="I211" s="468"/>
      <c r="J211" s="469"/>
      <c r="K211" s="468"/>
      <c r="L211" s="468"/>
      <c r="M211" s="468"/>
      <c r="N211" s="468"/>
      <c r="O211" s="468"/>
      <c r="P211" s="468"/>
      <c r="Q211" s="468"/>
      <c r="R211" s="375"/>
      <c r="S211" s="415"/>
      <c r="T211" s="415"/>
      <c r="U211" s="377"/>
      <c r="V211" s="377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</row>
    <row r="212" ht="14.25" customHeight="1">
      <c r="A212" s="1"/>
      <c r="B212" s="1"/>
      <c r="C212" s="1"/>
      <c r="D212" s="468"/>
      <c r="E212" s="468"/>
      <c r="F212" s="468"/>
      <c r="G212" s="468"/>
      <c r="H212" s="468"/>
      <c r="I212" s="468"/>
      <c r="J212" s="469"/>
      <c r="K212" s="468"/>
      <c r="L212" s="468"/>
      <c r="M212" s="468"/>
      <c r="N212" s="468"/>
      <c r="O212" s="468"/>
      <c r="P212" s="468"/>
      <c r="Q212" s="468"/>
      <c r="R212" s="375"/>
      <c r="S212" s="415"/>
      <c r="T212" s="415"/>
      <c r="U212" s="377"/>
      <c r="V212" s="377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</row>
    <row r="213" ht="14.25" customHeight="1">
      <c r="A213" s="1"/>
      <c r="B213" s="1"/>
      <c r="C213" s="1"/>
      <c r="D213" s="468"/>
      <c r="E213" s="468"/>
      <c r="F213" s="468"/>
      <c r="G213" s="468"/>
      <c r="H213" s="468"/>
      <c r="I213" s="468"/>
      <c r="J213" s="469"/>
      <c r="K213" s="468"/>
      <c r="L213" s="468"/>
      <c r="M213" s="468"/>
      <c r="N213" s="468"/>
      <c r="O213" s="468"/>
      <c r="P213" s="468"/>
      <c r="Q213" s="468"/>
      <c r="R213" s="375"/>
      <c r="S213" s="415"/>
      <c r="T213" s="415"/>
      <c r="U213" s="377"/>
      <c r="V213" s="377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</row>
    <row r="214" ht="14.25" customHeight="1">
      <c r="A214" s="1"/>
      <c r="B214" s="1"/>
      <c r="C214" s="1"/>
      <c r="D214" s="468"/>
      <c r="E214" s="468"/>
      <c r="F214" s="468"/>
      <c r="G214" s="468"/>
      <c r="H214" s="468"/>
      <c r="I214" s="468"/>
      <c r="J214" s="469"/>
      <c r="K214" s="468"/>
      <c r="L214" s="468"/>
      <c r="M214" s="468"/>
      <c r="N214" s="468"/>
      <c r="O214" s="468"/>
      <c r="P214" s="468"/>
      <c r="Q214" s="468"/>
      <c r="R214" s="375"/>
      <c r="S214" s="415"/>
      <c r="T214" s="415"/>
      <c r="U214" s="377"/>
      <c r="V214" s="377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</row>
    <row r="215" ht="14.25" customHeight="1">
      <c r="A215" s="1"/>
      <c r="B215" s="1"/>
      <c r="C215" s="1"/>
      <c r="D215" s="468"/>
      <c r="E215" s="468"/>
      <c r="F215" s="468"/>
      <c r="G215" s="468"/>
      <c r="H215" s="468"/>
      <c r="I215" s="468"/>
      <c r="J215" s="469"/>
      <c r="K215" s="468"/>
      <c r="L215" s="468"/>
      <c r="M215" s="468"/>
      <c r="N215" s="468"/>
      <c r="O215" s="468"/>
      <c r="P215" s="468"/>
      <c r="Q215" s="468"/>
      <c r="R215" s="375"/>
      <c r="S215" s="415"/>
      <c r="T215" s="415"/>
      <c r="U215" s="377"/>
      <c r="V215" s="377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</row>
    <row r="216" ht="14.25" customHeight="1">
      <c r="A216" s="1"/>
      <c r="B216" s="1"/>
      <c r="C216" s="1"/>
      <c r="D216" s="468"/>
      <c r="E216" s="468"/>
      <c r="F216" s="468"/>
      <c r="G216" s="468"/>
      <c r="H216" s="468"/>
      <c r="I216" s="468"/>
      <c r="J216" s="469"/>
      <c r="K216" s="468"/>
      <c r="L216" s="468"/>
      <c r="M216" s="468"/>
      <c r="N216" s="468"/>
      <c r="O216" s="468"/>
      <c r="P216" s="468"/>
      <c r="Q216" s="468"/>
      <c r="R216" s="375"/>
      <c r="S216" s="415"/>
      <c r="T216" s="415"/>
      <c r="U216" s="377"/>
      <c r="V216" s="377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</row>
    <row r="217" ht="14.25" customHeight="1">
      <c r="A217" s="1"/>
      <c r="B217" s="1"/>
      <c r="C217" s="1"/>
      <c r="D217" s="468"/>
      <c r="E217" s="468"/>
      <c r="F217" s="468"/>
      <c r="G217" s="468"/>
      <c r="H217" s="468"/>
      <c r="I217" s="468"/>
      <c r="J217" s="469"/>
      <c r="K217" s="468"/>
      <c r="L217" s="468"/>
      <c r="M217" s="468"/>
      <c r="N217" s="468"/>
      <c r="O217" s="468"/>
      <c r="P217" s="468"/>
      <c r="Q217" s="468"/>
      <c r="R217" s="375"/>
      <c r="S217" s="415"/>
      <c r="T217" s="415"/>
      <c r="U217" s="377"/>
      <c r="V217" s="377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</row>
    <row r="218" ht="14.25" customHeight="1">
      <c r="A218" s="1"/>
      <c r="B218" s="1"/>
      <c r="C218" s="1"/>
      <c r="D218" s="468"/>
      <c r="E218" s="468"/>
      <c r="F218" s="468"/>
      <c r="G218" s="468"/>
      <c r="H218" s="468"/>
      <c r="I218" s="468"/>
      <c r="J218" s="469"/>
      <c r="K218" s="468"/>
      <c r="L218" s="468"/>
      <c r="M218" s="468"/>
      <c r="N218" s="468"/>
      <c r="O218" s="468"/>
      <c r="P218" s="468"/>
      <c r="Q218" s="468"/>
      <c r="R218" s="375"/>
      <c r="S218" s="415"/>
      <c r="T218" s="415"/>
      <c r="U218" s="377"/>
      <c r="V218" s="377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</row>
    <row r="219" ht="14.25" customHeight="1">
      <c r="A219" s="1"/>
      <c r="B219" s="1"/>
      <c r="C219" s="1"/>
      <c r="D219" s="468"/>
      <c r="E219" s="468"/>
      <c r="F219" s="468"/>
      <c r="G219" s="468"/>
      <c r="H219" s="468"/>
      <c r="I219" s="468"/>
      <c r="J219" s="469"/>
      <c r="K219" s="468"/>
      <c r="L219" s="468"/>
      <c r="M219" s="468"/>
      <c r="N219" s="468"/>
      <c r="O219" s="468"/>
      <c r="P219" s="468"/>
      <c r="Q219" s="468"/>
      <c r="R219" s="375"/>
      <c r="S219" s="415"/>
      <c r="T219" s="415"/>
      <c r="U219" s="377"/>
      <c r="V219" s="377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</row>
    <row r="220" ht="14.25" customHeight="1">
      <c r="A220" s="1"/>
      <c r="B220" s="1"/>
      <c r="C220" s="1"/>
      <c r="D220" s="468"/>
      <c r="E220" s="468"/>
      <c r="F220" s="468"/>
      <c r="G220" s="468"/>
      <c r="H220" s="468"/>
      <c r="I220" s="468"/>
      <c r="J220" s="469"/>
      <c r="K220" s="468"/>
      <c r="L220" s="468"/>
      <c r="M220" s="468"/>
      <c r="N220" s="468"/>
      <c r="O220" s="468"/>
      <c r="P220" s="468"/>
      <c r="Q220" s="468"/>
      <c r="R220" s="375"/>
      <c r="S220" s="415"/>
      <c r="T220" s="415"/>
      <c r="U220" s="377"/>
      <c r="V220" s="377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</row>
    <row r="221" ht="14.25" customHeight="1">
      <c r="A221" s="1"/>
      <c r="B221" s="1"/>
      <c r="C221" s="1"/>
      <c r="D221" s="468"/>
      <c r="E221" s="468"/>
      <c r="F221" s="468"/>
      <c r="G221" s="468"/>
      <c r="H221" s="468"/>
      <c r="I221" s="468"/>
      <c r="J221" s="469"/>
      <c r="K221" s="468"/>
      <c r="L221" s="468"/>
      <c r="M221" s="468"/>
      <c r="N221" s="468"/>
      <c r="O221" s="468"/>
      <c r="P221" s="468"/>
      <c r="Q221" s="468"/>
      <c r="R221" s="375"/>
      <c r="S221" s="415"/>
      <c r="T221" s="415"/>
      <c r="U221" s="377"/>
      <c r="V221" s="377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</row>
    <row r="222" ht="14.25" customHeight="1">
      <c r="A222" s="1"/>
      <c r="B222" s="1"/>
      <c r="C222" s="1"/>
      <c r="D222" s="468"/>
      <c r="E222" s="468"/>
      <c r="F222" s="468"/>
      <c r="G222" s="468"/>
      <c r="H222" s="468"/>
      <c r="I222" s="468"/>
      <c r="J222" s="469"/>
      <c r="K222" s="468"/>
      <c r="L222" s="468"/>
      <c r="M222" s="468"/>
      <c r="N222" s="468"/>
      <c r="O222" s="468"/>
      <c r="P222" s="468"/>
      <c r="Q222" s="468"/>
      <c r="R222" s="375"/>
      <c r="S222" s="415"/>
      <c r="T222" s="415"/>
      <c r="U222" s="377"/>
      <c r="V222" s="377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</row>
    <row r="223" ht="14.25" customHeight="1">
      <c r="A223" s="1"/>
      <c r="B223" s="1"/>
      <c r="C223" s="1"/>
      <c r="D223" s="468"/>
      <c r="E223" s="468"/>
      <c r="F223" s="468"/>
      <c r="G223" s="468"/>
      <c r="H223" s="468"/>
      <c r="I223" s="468"/>
      <c r="J223" s="469"/>
      <c r="K223" s="468"/>
      <c r="L223" s="468"/>
      <c r="M223" s="468"/>
      <c r="N223" s="468"/>
      <c r="O223" s="468"/>
      <c r="P223" s="468"/>
      <c r="Q223" s="468"/>
      <c r="R223" s="375"/>
      <c r="S223" s="415"/>
      <c r="T223" s="415"/>
      <c r="U223" s="377"/>
      <c r="V223" s="377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</row>
    <row r="224" ht="14.25" customHeight="1">
      <c r="A224" s="1"/>
      <c r="B224" s="1"/>
      <c r="C224" s="1"/>
      <c r="D224" s="468"/>
      <c r="E224" s="468"/>
      <c r="F224" s="468"/>
      <c r="G224" s="468"/>
      <c r="H224" s="468"/>
      <c r="I224" s="468"/>
      <c r="J224" s="469"/>
      <c r="K224" s="468"/>
      <c r="L224" s="468"/>
      <c r="M224" s="468"/>
      <c r="N224" s="468"/>
      <c r="O224" s="468"/>
      <c r="P224" s="468"/>
      <c r="Q224" s="468"/>
      <c r="R224" s="375"/>
      <c r="S224" s="415"/>
      <c r="T224" s="415"/>
      <c r="U224" s="377"/>
      <c r="V224" s="377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</row>
    <row r="225" ht="14.25" customHeight="1">
      <c r="A225" s="1"/>
      <c r="B225" s="1"/>
      <c r="C225" s="1"/>
      <c r="D225" s="468"/>
      <c r="E225" s="468"/>
      <c r="F225" s="468"/>
      <c r="G225" s="468"/>
      <c r="H225" s="468"/>
      <c r="I225" s="468"/>
      <c r="J225" s="469"/>
      <c r="K225" s="468"/>
      <c r="L225" s="468"/>
      <c r="M225" s="468"/>
      <c r="N225" s="468"/>
      <c r="O225" s="468"/>
      <c r="P225" s="468"/>
      <c r="Q225" s="468"/>
      <c r="R225" s="375"/>
      <c r="S225" s="415"/>
      <c r="T225" s="415"/>
      <c r="U225" s="377"/>
      <c r="V225" s="377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</row>
    <row r="226" ht="14.25" customHeight="1">
      <c r="A226" s="1"/>
      <c r="B226" s="1"/>
      <c r="C226" s="1"/>
      <c r="D226" s="468"/>
      <c r="E226" s="468"/>
      <c r="F226" s="468"/>
      <c r="G226" s="468"/>
      <c r="H226" s="468"/>
      <c r="I226" s="468"/>
      <c r="J226" s="469"/>
      <c r="K226" s="468"/>
      <c r="L226" s="468"/>
      <c r="M226" s="468"/>
      <c r="N226" s="468"/>
      <c r="O226" s="468"/>
      <c r="P226" s="468"/>
      <c r="Q226" s="468"/>
      <c r="R226" s="375"/>
      <c r="S226" s="415"/>
      <c r="T226" s="415"/>
      <c r="U226" s="377"/>
      <c r="V226" s="377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</row>
    <row r="227" ht="14.25" customHeight="1">
      <c r="A227" s="1"/>
      <c r="B227" s="1"/>
      <c r="C227" s="1"/>
      <c r="D227" s="468"/>
      <c r="E227" s="468"/>
      <c r="F227" s="468"/>
      <c r="G227" s="468"/>
      <c r="H227" s="468"/>
      <c r="I227" s="468"/>
      <c r="J227" s="469"/>
      <c r="K227" s="468"/>
      <c r="L227" s="468"/>
      <c r="M227" s="468"/>
      <c r="N227" s="468"/>
      <c r="O227" s="468"/>
      <c r="P227" s="468"/>
      <c r="Q227" s="468"/>
      <c r="R227" s="375"/>
      <c r="S227" s="415"/>
      <c r="T227" s="415"/>
      <c r="U227" s="377"/>
      <c r="V227" s="377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</row>
    <row r="228" ht="14.25" customHeight="1">
      <c r="A228" s="1"/>
      <c r="B228" s="1"/>
      <c r="C228" s="1"/>
      <c r="D228" s="468"/>
      <c r="E228" s="468"/>
      <c r="F228" s="468"/>
      <c r="G228" s="468"/>
      <c r="H228" s="468"/>
      <c r="I228" s="468"/>
      <c r="J228" s="469"/>
      <c r="K228" s="468"/>
      <c r="L228" s="468"/>
      <c r="M228" s="468"/>
      <c r="N228" s="468"/>
      <c r="O228" s="468"/>
      <c r="P228" s="468"/>
      <c r="Q228" s="468"/>
      <c r="R228" s="375"/>
      <c r="S228" s="415"/>
      <c r="T228" s="415"/>
      <c r="U228" s="377"/>
      <c r="V228" s="377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</row>
    <row r="229" ht="14.25" customHeight="1">
      <c r="A229" s="1"/>
      <c r="B229" s="1"/>
      <c r="C229" s="1"/>
      <c r="D229" s="468"/>
      <c r="E229" s="468"/>
      <c r="F229" s="468"/>
      <c r="G229" s="468"/>
      <c r="H229" s="468"/>
      <c r="I229" s="468"/>
      <c r="J229" s="469"/>
      <c r="K229" s="468"/>
      <c r="L229" s="468"/>
      <c r="M229" s="468"/>
      <c r="N229" s="468"/>
      <c r="O229" s="468"/>
      <c r="P229" s="468"/>
      <c r="Q229" s="468"/>
      <c r="R229" s="375"/>
      <c r="S229" s="415"/>
      <c r="T229" s="415"/>
      <c r="U229" s="377"/>
      <c r="V229" s="377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</row>
    <row r="230" ht="14.25" customHeight="1">
      <c r="A230" s="1"/>
      <c r="B230" s="1"/>
      <c r="C230" s="1"/>
      <c r="D230" s="468"/>
      <c r="E230" s="468"/>
      <c r="F230" s="468"/>
      <c r="G230" s="468"/>
      <c r="H230" s="468"/>
      <c r="I230" s="468"/>
      <c r="J230" s="469"/>
      <c r="K230" s="468"/>
      <c r="L230" s="468"/>
      <c r="M230" s="468"/>
      <c r="N230" s="468"/>
      <c r="O230" s="468"/>
      <c r="P230" s="468"/>
      <c r="Q230" s="468"/>
      <c r="R230" s="375"/>
      <c r="S230" s="415"/>
      <c r="T230" s="415"/>
      <c r="U230" s="377"/>
      <c r="V230" s="377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</row>
    <row r="231" ht="14.25" customHeight="1">
      <c r="A231" s="1"/>
      <c r="B231" s="1"/>
      <c r="C231" s="1"/>
      <c r="D231" s="468"/>
      <c r="E231" s="468"/>
      <c r="F231" s="468"/>
      <c r="G231" s="468"/>
      <c r="H231" s="468"/>
      <c r="I231" s="468"/>
      <c r="J231" s="469"/>
      <c r="K231" s="468"/>
      <c r="L231" s="468"/>
      <c r="M231" s="468"/>
      <c r="N231" s="468"/>
      <c r="O231" s="468"/>
      <c r="P231" s="468"/>
      <c r="Q231" s="468"/>
      <c r="R231" s="375"/>
      <c r="S231" s="415"/>
      <c r="T231" s="415"/>
      <c r="U231" s="377"/>
      <c r="V231" s="377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</row>
    <row r="232" ht="14.25" customHeight="1">
      <c r="A232" s="1"/>
      <c r="B232" s="1"/>
      <c r="C232" s="1"/>
      <c r="D232" s="468"/>
      <c r="E232" s="468"/>
      <c r="F232" s="468"/>
      <c r="G232" s="468"/>
      <c r="H232" s="468"/>
      <c r="I232" s="468"/>
      <c r="J232" s="469"/>
      <c r="K232" s="468"/>
      <c r="L232" s="468"/>
      <c r="M232" s="468"/>
      <c r="N232" s="468"/>
      <c r="O232" s="468"/>
      <c r="P232" s="468"/>
      <c r="Q232" s="468"/>
      <c r="R232" s="375"/>
      <c r="S232" s="415"/>
      <c r="T232" s="415"/>
      <c r="U232" s="377"/>
      <c r="V232" s="377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</row>
    <row r="233" ht="14.25" customHeight="1">
      <c r="A233" s="1"/>
      <c r="B233" s="1"/>
      <c r="C233" s="1"/>
      <c r="D233" s="468"/>
      <c r="E233" s="468"/>
      <c r="F233" s="468"/>
      <c r="G233" s="468"/>
      <c r="H233" s="468"/>
      <c r="I233" s="468"/>
      <c r="J233" s="469"/>
      <c r="K233" s="468"/>
      <c r="L233" s="468"/>
      <c r="M233" s="468"/>
      <c r="N233" s="468"/>
      <c r="O233" s="468"/>
      <c r="P233" s="468"/>
      <c r="Q233" s="468"/>
      <c r="R233" s="375"/>
      <c r="S233" s="415"/>
      <c r="T233" s="415"/>
      <c r="U233" s="377"/>
      <c r="V233" s="377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</row>
    <row r="234" ht="14.25" customHeight="1">
      <c r="A234" s="1"/>
      <c r="B234" s="1"/>
      <c r="C234" s="1"/>
      <c r="D234" s="468"/>
      <c r="E234" s="468"/>
      <c r="F234" s="468"/>
      <c r="G234" s="468"/>
      <c r="H234" s="468"/>
      <c r="I234" s="468"/>
      <c r="J234" s="469"/>
      <c r="K234" s="468"/>
      <c r="L234" s="468"/>
      <c r="M234" s="468"/>
      <c r="N234" s="468"/>
      <c r="O234" s="468"/>
      <c r="P234" s="468"/>
      <c r="Q234" s="468"/>
      <c r="R234" s="375"/>
      <c r="S234" s="415"/>
      <c r="T234" s="415"/>
      <c r="U234" s="377"/>
      <c r="V234" s="377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</row>
    <row r="235" ht="14.25" customHeight="1">
      <c r="A235" s="1"/>
      <c r="B235" s="1"/>
      <c r="C235" s="1"/>
      <c r="D235" s="468"/>
      <c r="E235" s="468"/>
      <c r="F235" s="468"/>
      <c r="G235" s="468"/>
      <c r="H235" s="468"/>
      <c r="I235" s="468"/>
      <c r="J235" s="469"/>
      <c r="K235" s="468"/>
      <c r="L235" s="468"/>
      <c r="M235" s="468"/>
      <c r="N235" s="468"/>
      <c r="O235" s="468"/>
      <c r="P235" s="468"/>
      <c r="Q235" s="468"/>
      <c r="R235" s="375"/>
      <c r="S235" s="415"/>
      <c r="T235" s="415"/>
      <c r="U235" s="377"/>
      <c r="V235" s="377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</row>
    <row r="236" ht="14.25" customHeight="1">
      <c r="A236" s="1"/>
      <c r="B236" s="1"/>
      <c r="C236" s="1"/>
      <c r="D236" s="468"/>
      <c r="E236" s="468"/>
      <c r="F236" s="468"/>
      <c r="G236" s="468"/>
      <c r="H236" s="468"/>
      <c r="I236" s="468"/>
      <c r="J236" s="469"/>
      <c r="K236" s="468"/>
      <c r="L236" s="468"/>
      <c r="M236" s="468"/>
      <c r="N236" s="468"/>
      <c r="O236" s="468"/>
      <c r="P236" s="468"/>
      <c r="Q236" s="468"/>
      <c r="R236" s="375"/>
      <c r="S236" s="415"/>
      <c r="T236" s="415"/>
      <c r="U236" s="377"/>
      <c r="V236" s="377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</row>
    <row r="237" ht="14.25" customHeight="1">
      <c r="A237" s="1"/>
      <c r="B237" s="1"/>
      <c r="C237" s="1"/>
      <c r="D237" s="468"/>
      <c r="E237" s="468"/>
      <c r="F237" s="468"/>
      <c r="G237" s="468"/>
      <c r="H237" s="468"/>
      <c r="I237" s="468"/>
      <c r="J237" s="469"/>
      <c r="K237" s="468"/>
      <c r="L237" s="468"/>
      <c r="M237" s="468"/>
      <c r="N237" s="468"/>
      <c r="O237" s="468"/>
      <c r="P237" s="468"/>
      <c r="Q237" s="468"/>
      <c r="R237" s="375"/>
      <c r="S237" s="415"/>
      <c r="T237" s="415"/>
      <c r="U237" s="377"/>
      <c r="V237" s="377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</row>
    <row r="238" ht="14.25" customHeight="1">
      <c r="A238" s="1"/>
      <c r="B238" s="1"/>
      <c r="C238" s="1"/>
      <c r="D238" s="468"/>
      <c r="E238" s="468"/>
      <c r="F238" s="468"/>
      <c r="G238" s="468"/>
      <c r="H238" s="468"/>
      <c r="I238" s="468"/>
      <c r="J238" s="469"/>
      <c r="K238" s="468"/>
      <c r="L238" s="468"/>
      <c r="M238" s="468"/>
      <c r="N238" s="468"/>
      <c r="O238" s="468"/>
      <c r="P238" s="468"/>
      <c r="Q238" s="468"/>
      <c r="R238" s="375"/>
      <c r="S238" s="415"/>
      <c r="T238" s="415"/>
      <c r="U238" s="377"/>
      <c r="V238" s="377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</row>
    <row r="239" ht="14.25" customHeight="1">
      <c r="A239" s="1"/>
      <c r="B239" s="1"/>
      <c r="C239" s="1"/>
      <c r="D239" s="468"/>
      <c r="E239" s="468"/>
      <c r="F239" s="468"/>
      <c r="G239" s="468"/>
      <c r="H239" s="468"/>
      <c r="I239" s="468"/>
      <c r="J239" s="469"/>
      <c r="K239" s="468"/>
      <c r="L239" s="468"/>
      <c r="M239" s="468"/>
      <c r="N239" s="468"/>
      <c r="O239" s="468"/>
      <c r="P239" s="468"/>
      <c r="Q239" s="468"/>
      <c r="R239" s="375"/>
      <c r="S239" s="415"/>
      <c r="T239" s="415"/>
      <c r="U239" s="377"/>
      <c r="V239" s="377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</row>
    <row r="240" ht="14.25" customHeight="1">
      <c r="A240" s="1"/>
      <c r="B240" s="1"/>
      <c r="C240" s="1"/>
      <c r="D240" s="468"/>
      <c r="E240" s="468"/>
      <c r="F240" s="468"/>
      <c r="G240" s="468"/>
      <c r="H240" s="468"/>
      <c r="I240" s="468"/>
      <c r="J240" s="469"/>
      <c r="K240" s="468"/>
      <c r="L240" s="468"/>
      <c r="M240" s="468"/>
      <c r="N240" s="468"/>
      <c r="O240" s="468"/>
      <c r="P240" s="468"/>
      <c r="Q240" s="468"/>
      <c r="R240" s="375"/>
      <c r="S240" s="415"/>
      <c r="T240" s="415"/>
      <c r="U240" s="377"/>
      <c r="V240" s="377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</row>
    <row r="241" ht="14.25" customHeight="1">
      <c r="A241" s="1"/>
      <c r="B241" s="1"/>
      <c r="C241" s="1"/>
      <c r="D241" s="468"/>
      <c r="E241" s="468"/>
      <c r="F241" s="468"/>
      <c r="G241" s="468"/>
      <c r="H241" s="468"/>
      <c r="I241" s="468"/>
      <c r="J241" s="469"/>
      <c r="K241" s="468"/>
      <c r="L241" s="468"/>
      <c r="M241" s="468"/>
      <c r="N241" s="468"/>
      <c r="O241" s="468"/>
      <c r="P241" s="468"/>
      <c r="Q241" s="468"/>
      <c r="R241" s="375"/>
      <c r="S241" s="415"/>
      <c r="T241" s="415"/>
      <c r="U241" s="377"/>
      <c r="V241" s="377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</row>
    <row r="242" ht="14.25" customHeight="1">
      <c r="A242" s="1"/>
      <c r="B242" s="1"/>
      <c r="C242" s="1"/>
      <c r="D242" s="468"/>
      <c r="E242" s="468"/>
      <c r="F242" s="468"/>
      <c r="G242" s="468"/>
      <c r="H242" s="468"/>
      <c r="I242" s="468"/>
      <c r="J242" s="469"/>
      <c r="K242" s="468"/>
      <c r="L242" s="468"/>
      <c r="M242" s="468"/>
      <c r="N242" s="468"/>
      <c r="O242" s="468"/>
      <c r="P242" s="468"/>
      <c r="Q242" s="468"/>
      <c r="R242" s="375"/>
      <c r="S242" s="415"/>
      <c r="T242" s="415"/>
      <c r="U242" s="377"/>
      <c r="V242" s="377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</row>
    <row r="243" ht="14.25" customHeight="1">
      <c r="A243" s="1"/>
      <c r="B243" s="1"/>
      <c r="C243" s="1"/>
      <c r="D243" s="468"/>
      <c r="E243" s="468"/>
      <c r="F243" s="468"/>
      <c r="G243" s="468"/>
      <c r="H243" s="468"/>
      <c r="I243" s="468"/>
      <c r="J243" s="469"/>
      <c r="K243" s="468"/>
      <c r="L243" s="468"/>
      <c r="M243" s="468"/>
      <c r="N243" s="468"/>
      <c r="O243" s="468"/>
      <c r="P243" s="468"/>
      <c r="Q243" s="468"/>
      <c r="R243" s="375"/>
      <c r="S243" s="415"/>
      <c r="T243" s="415"/>
      <c r="U243" s="377"/>
      <c r="V243" s="377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</row>
    <row r="244" ht="14.25" customHeight="1">
      <c r="A244" s="1"/>
      <c r="B244" s="1"/>
      <c r="C244" s="1"/>
      <c r="D244" s="468"/>
      <c r="E244" s="468"/>
      <c r="F244" s="468"/>
      <c r="G244" s="468"/>
      <c r="H244" s="468"/>
      <c r="I244" s="468"/>
      <c r="J244" s="469"/>
      <c r="K244" s="468"/>
      <c r="L244" s="468"/>
      <c r="M244" s="468"/>
      <c r="N244" s="468"/>
      <c r="O244" s="468"/>
      <c r="P244" s="468"/>
      <c r="Q244" s="468"/>
      <c r="R244" s="375"/>
      <c r="S244" s="415"/>
      <c r="T244" s="415"/>
      <c r="U244" s="377"/>
      <c r="V244" s="377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</row>
    <row r="245" ht="14.25" customHeight="1">
      <c r="A245" s="1"/>
      <c r="B245" s="1"/>
      <c r="C245" s="1"/>
      <c r="D245" s="468"/>
      <c r="E245" s="468"/>
      <c r="F245" s="468"/>
      <c r="G245" s="468"/>
      <c r="H245" s="468"/>
      <c r="I245" s="468"/>
      <c r="J245" s="469"/>
      <c r="K245" s="468"/>
      <c r="L245" s="468"/>
      <c r="M245" s="468"/>
      <c r="N245" s="468"/>
      <c r="O245" s="468"/>
      <c r="P245" s="468"/>
      <c r="Q245" s="468"/>
      <c r="R245" s="375"/>
      <c r="S245" s="415"/>
      <c r="T245" s="415"/>
      <c r="U245" s="377"/>
      <c r="V245" s="377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</row>
    <row r="246" ht="14.25" customHeight="1">
      <c r="A246" s="1"/>
      <c r="B246" s="1"/>
      <c r="C246" s="1"/>
      <c r="D246" s="468"/>
      <c r="E246" s="468"/>
      <c r="F246" s="468"/>
      <c r="G246" s="468"/>
      <c r="H246" s="468"/>
      <c r="I246" s="468"/>
      <c r="J246" s="469"/>
      <c r="K246" s="468"/>
      <c r="L246" s="468"/>
      <c r="M246" s="468"/>
      <c r="N246" s="468"/>
      <c r="O246" s="468"/>
      <c r="P246" s="468"/>
      <c r="Q246" s="468"/>
      <c r="R246" s="375"/>
      <c r="S246" s="415"/>
      <c r="T246" s="415"/>
      <c r="U246" s="377"/>
      <c r="V246" s="377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</row>
    <row r="247" ht="14.25" customHeight="1">
      <c r="A247" s="1"/>
      <c r="B247" s="1"/>
      <c r="C247" s="1"/>
      <c r="D247" s="468"/>
      <c r="E247" s="468"/>
      <c r="F247" s="468"/>
      <c r="G247" s="468"/>
      <c r="H247" s="468"/>
      <c r="I247" s="468"/>
      <c r="J247" s="469"/>
      <c r="K247" s="468"/>
      <c r="L247" s="468"/>
      <c r="M247" s="468"/>
      <c r="N247" s="468"/>
      <c r="O247" s="468"/>
      <c r="P247" s="468"/>
      <c r="Q247" s="468"/>
      <c r="R247" s="375"/>
      <c r="S247" s="415"/>
      <c r="T247" s="415"/>
      <c r="U247" s="377"/>
      <c r="V247" s="377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</row>
    <row r="248" ht="14.25" customHeight="1">
      <c r="A248" s="1"/>
      <c r="B248" s="1"/>
      <c r="C248" s="1"/>
      <c r="D248" s="468"/>
      <c r="E248" s="468"/>
      <c r="F248" s="468"/>
      <c r="G248" s="468"/>
      <c r="H248" s="468"/>
      <c r="I248" s="468"/>
      <c r="J248" s="469"/>
      <c r="K248" s="468"/>
      <c r="L248" s="468"/>
      <c r="M248" s="468"/>
      <c r="N248" s="468"/>
      <c r="O248" s="468"/>
      <c r="P248" s="468"/>
      <c r="Q248" s="468"/>
      <c r="R248" s="375"/>
      <c r="S248" s="415"/>
      <c r="T248" s="415"/>
      <c r="U248" s="377"/>
      <c r="V248" s="377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</row>
    <row r="249" ht="14.25" customHeight="1">
      <c r="A249" s="1"/>
      <c r="B249" s="1"/>
      <c r="C249" s="1"/>
      <c r="D249" s="468"/>
      <c r="E249" s="468"/>
      <c r="F249" s="468"/>
      <c r="G249" s="468"/>
      <c r="H249" s="468"/>
      <c r="I249" s="468"/>
      <c r="J249" s="469"/>
      <c r="K249" s="468"/>
      <c r="L249" s="468"/>
      <c r="M249" s="468"/>
      <c r="N249" s="468"/>
      <c r="O249" s="468"/>
      <c r="P249" s="468"/>
      <c r="Q249" s="468"/>
      <c r="R249" s="375"/>
      <c r="S249" s="415"/>
      <c r="T249" s="415"/>
      <c r="U249" s="377"/>
      <c r="V249" s="377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</row>
    <row r="250" ht="14.25" customHeight="1">
      <c r="A250" s="1"/>
      <c r="B250" s="1"/>
      <c r="C250" s="1"/>
      <c r="D250" s="468"/>
      <c r="E250" s="468"/>
      <c r="F250" s="468"/>
      <c r="G250" s="468"/>
      <c r="H250" s="468"/>
      <c r="I250" s="468"/>
      <c r="J250" s="469"/>
      <c r="K250" s="468"/>
      <c r="L250" s="468"/>
      <c r="M250" s="468"/>
      <c r="N250" s="468"/>
      <c r="O250" s="468"/>
      <c r="P250" s="468"/>
      <c r="Q250" s="468"/>
      <c r="R250" s="375"/>
      <c r="S250" s="415"/>
      <c r="T250" s="415"/>
      <c r="U250" s="377"/>
      <c r="V250" s="377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</row>
    <row r="251" ht="14.25" customHeight="1">
      <c r="A251" s="1"/>
      <c r="B251" s="1"/>
      <c r="C251" s="1"/>
      <c r="D251" s="468"/>
      <c r="E251" s="468"/>
      <c r="F251" s="468"/>
      <c r="G251" s="468"/>
      <c r="H251" s="468"/>
      <c r="I251" s="468"/>
      <c r="J251" s="469"/>
      <c r="K251" s="468"/>
      <c r="L251" s="468"/>
      <c r="M251" s="468"/>
      <c r="N251" s="468"/>
      <c r="O251" s="468"/>
      <c r="P251" s="468"/>
      <c r="Q251" s="468"/>
      <c r="R251" s="375"/>
      <c r="S251" s="415"/>
      <c r="T251" s="415"/>
      <c r="U251" s="377"/>
      <c r="V251" s="377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</row>
    <row r="252" ht="14.25" customHeight="1">
      <c r="A252" s="1"/>
      <c r="B252" s="1"/>
      <c r="C252" s="1"/>
      <c r="D252" s="468"/>
      <c r="E252" s="468"/>
      <c r="F252" s="468"/>
      <c r="G252" s="468"/>
      <c r="H252" s="468"/>
      <c r="I252" s="468"/>
      <c r="J252" s="469"/>
      <c r="K252" s="468"/>
      <c r="L252" s="468"/>
      <c r="M252" s="468"/>
      <c r="N252" s="468"/>
      <c r="O252" s="468"/>
      <c r="P252" s="468"/>
      <c r="Q252" s="468"/>
      <c r="R252" s="375"/>
      <c r="S252" s="415"/>
      <c r="T252" s="415"/>
      <c r="U252" s="377"/>
      <c r="V252" s="377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</row>
    <row r="253" ht="14.25" customHeight="1">
      <c r="A253" s="1"/>
      <c r="B253" s="1"/>
      <c r="C253" s="1"/>
      <c r="D253" s="468"/>
      <c r="E253" s="468"/>
      <c r="F253" s="468"/>
      <c r="G253" s="468"/>
      <c r="H253" s="468"/>
      <c r="I253" s="468"/>
      <c r="J253" s="469"/>
      <c r="K253" s="468"/>
      <c r="L253" s="468"/>
      <c r="M253" s="468"/>
      <c r="N253" s="468"/>
      <c r="O253" s="468"/>
      <c r="P253" s="468"/>
      <c r="Q253" s="468"/>
      <c r="R253" s="375"/>
      <c r="S253" s="415"/>
      <c r="T253" s="415"/>
      <c r="U253" s="377"/>
      <c r="V253" s="377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</row>
    <row r="254" ht="14.25" customHeight="1">
      <c r="A254" s="1"/>
      <c r="B254" s="1"/>
      <c r="C254" s="1"/>
      <c r="D254" s="468"/>
      <c r="E254" s="468"/>
      <c r="F254" s="468"/>
      <c r="G254" s="468"/>
      <c r="H254" s="468"/>
      <c r="I254" s="468"/>
      <c r="J254" s="469"/>
      <c r="K254" s="468"/>
      <c r="L254" s="468"/>
      <c r="M254" s="468"/>
      <c r="N254" s="468"/>
      <c r="O254" s="468"/>
      <c r="P254" s="468"/>
      <c r="Q254" s="468"/>
      <c r="R254" s="375"/>
      <c r="S254" s="415"/>
      <c r="T254" s="415"/>
      <c r="U254" s="377"/>
      <c r="V254" s="377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</row>
    <row r="255" ht="14.25" customHeight="1">
      <c r="A255" s="1"/>
      <c r="B255" s="1"/>
      <c r="C255" s="1"/>
      <c r="D255" s="468"/>
      <c r="E255" s="468"/>
      <c r="F255" s="468"/>
      <c r="G255" s="468"/>
      <c r="H255" s="468"/>
      <c r="I255" s="468"/>
      <c r="J255" s="469"/>
      <c r="K255" s="468"/>
      <c r="L255" s="468"/>
      <c r="M255" s="468"/>
      <c r="N255" s="468"/>
      <c r="O255" s="468"/>
      <c r="P255" s="468"/>
      <c r="Q255" s="468"/>
      <c r="R255" s="375"/>
      <c r="S255" s="415"/>
      <c r="T255" s="415"/>
      <c r="U255" s="377"/>
      <c r="V255" s="377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</row>
    <row r="256" ht="14.25" customHeight="1">
      <c r="A256" s="1"/>
      <c r="B256" s="1"/>
      <c r="C256" s="1"/>
      <c r="D256" s="468"/>
      <c r="E256" s="468"/>
      <c r="F256" s="468"/>
      <c r="G256" s="468"/>
      <c r="H256" s="468"/>
      <c r="I256" s="468"/>
      <c r="J256" s="469"/>
      <c r="K256" s="468"/>
      <c r="L256" s="468"/>
      <c r="M256" s="468"/>
      <c r="N256" s="468"/>
      <c r="O256" s="468"/>
      <c r="P256" s="468"/>
      <c r="Q256" s="468"/>
      <c r="R256" s="375"/>
      <c r="S256" s="415"/>
      <c r="T256" s="415"/>
      <c r="U256" s="377"/>
      <c r="V256" s="377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</row>
    <row r="257" ht="14.25" customHeight="1">
      <c r="A257" s="1"/>
      <c r="B257" s="1"/>
      <c r="C257" s="1"/>
      <c r="D257" s="468"/>
      <c r="E257" s="468"/>
      <c r="F257" s="468"/>
      <c r="G257" s="468"/>
      <c r="H257" s="468"/>
      <c r="I257" s="468"/>
      <c r="J257" s="469"/>
      <c r="K257" s="468"/>
      <c r="L257" s="468"/>
      <c r="M257" s="468"/>
      <c r="N257" s="468"/>
      <c r="O257" s="468"/>
      <c r="P257" s="468"/>
      <c r="Q257" s="468"/>
      <c r="R257" s="375"/>
      <c r="S257" s="415"/>
      <c r="T257" s="415"/>
      <c r="U257" s="377"/>
      <c r="V257" s="377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</row>
    <row r="258" ht="14.25" customHeight="1">
      <c r="A258" s="1"/>
      <c r="B258" s="1"/>
      <c r="C258" s="1"/>
      <c r="D258" s="468"/>
      <c r="E258" s="468"/>
      <c r="F258" s="468"/>
      <c r="G258" s="468"/>
      <c r="H258" s="468"/>
      <c r="I258" s="468"/>
      <c r="J258" s="469"/>
      <c r="K258" s="468"/>
      <c r="L258" s="468"/>
      <c r="M258" s="468"/>
      <c r="N258" s="468"/>
      <c r="O258" s="468"/>
      <c r="P258" s="468"/>
      <c r="Q258" s="468"/>
      <c r="R258" s="375"/>
      <c r="S258" s="415"/>
      <c r="T258" s="415"/>
      <c r="U258" s="377"/>
      <c r="V258" s="377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</row>
    <row r="259" ht="14.25" customHeight="1">
      <c r="A259" s="1"/>
      <c r="B259" s="1"/>
      <c r="C259" s="1"/>
      <c r="D259" s="468"/>
      <c r="E259" s="468"/>
      <c r="F259" s="468"/>
      <c r="G259" s="468"/>
      <c r="H259" s="468"/>
      <c r="I259" s="468"/>
      <c r="J259" s="469"/>
      <c r="K259" s="468"/>
      <c r="L259" s="468"/>
      <c r="M259" s="468"/>
      <c r="N259" s="468"/>
      <c r="O259" s="468"/>
      <c r="P259" s="468"/>
      <c r="Q259" s="468"/>
      <c r="R259" s="375"/>
      <c r="S259" s="415"/>
      <c r="T259" s="415"/>
      <c r="U259" s="377"/>
      <c r="V259" s="377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</row>
    <row r="260" ht="14.25" customHeight="1">
      <c r="A260" s="1"/>
      <c r="B260" s="1"/>
      <c r="C260" s="1"/>
      <c r="D260" s="468"/>
      <c r="E260" s="468"/>
      <c r="F260" s="468"/>
      <c r="G260" s="468"/>
      <c r="H260" s="468"/>
      <c r="I260" s="468"/>
      <c r="J260" s="469"/>
      <c r="K260" s="468"/>
      <c r="L260" s="468"/>
      <c r="M260" s="468"/>
      <c r="N260" s="468"/>
      <c r="O260" s="468"/>
      <c r="P260" s="468"/>
      <c r="Q260" s="468"/>
      <c r="R260" s="375"/>
      <c r="S260" s="415"/>
      <c r="T260" s="415"/>
      <c r="U260" s="377"/>
      <c r="V260" s="377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</row>
    <row r="261" ht="14.25" customHeight="1">
      <c r="A261" s="1"/>
      <c r="B261" s="1"/>
      <c r="C261" s="1"/>
      <c r="D261" s="468"/>
      <c r="E261" s="468"/>
      <c r="F261" s="468"/>
      <c r="G261" s="468"/>
      <c r="H261" s="468"/>
      <c r="I261" s="468"/>
      <c r="J261" s="469"/>
      <c r="K261" s="468"/>
      <c r="L261" s="468"/>
      <c r="M261" s="468"/>
      <c r="N261" s="468"/>
      <c r="O261" s="468"/>
      <c r="P261" s="468"/>
      <c r="Q261" s="468"/>
      <c r="R261" s="375"/>
      <c r="S261" s="415"/>
      <c r="T261" s="415"/>
      <c r="U261" s="377"/>
      <c r="V261" s="377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</row>
    <row r="262" ht="14.25" customHeight="1">
      <c r="A262" s="1"/>
      <c r="B262" s="1"/>
      <c r="C262" s="1"/>
      <c r="D262" s="468"/>
      <c r="E262" s="468"/>
      <c r="F262" s="468"/>
      <c r="G262" s="468"/>
      <c r="H262" s="468"/>
      <c r="I262" s="468"/>
      <c r="J262" s="469"/>
      <c r="K262" s="468"/>
      <c r="L262" s="468"/>
      <c r="M262" s="468"/>
      <c r="N262" s="468"/>
      <c r="O262" s="468"/>
      <c r="P262" s="468"/>
      <c r="Q262" s="468"/>
      <c r="R262" s="375"/>
      <c r="S262" s="415"/>
      <c r="T262" s="415"/>
      <c r="U262" s="377"/>
      <c r="V262" s="377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</row>
    <row r="263" ht="14.25" customHeight="1">
      <c r="A263" s="1"/>
      <c r="B263" s="1"/>
      <c r="C263" s="1"/>
      <c r="D263" s="468"/>
      <c r="E263" s="468"/>
      <c r="F263" s="468"/>
      <c r="G263" s="468"/>
      <c r="H263" s="468"/>
      <c r="I263" s="468"/>
      <c r="J263" s="469"/>
      <c r="K263" s="468"/>
      <c r="L263" s="468"/>
      <c r="M263" s="468"/>
      <c r="N263" s="468"/>
      <c r="O263" s="468"/>
      <c r="P263" s="468"/>
      <c r="Q263" s="468"/>
      <c r="R263" s="375"/>
      <c r="S263" s="415"/>
      <c r="T263" s="415"/>
      <c r="U263" s="377"/>
      <c r="V263" s="377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</row>
    <row r="264" ht="14.25" customHeight="1">
      <c r="A264" s="1"/>
      <c r="B264" s="1"/>
      <c r="C264" s="1"/>
      <c r="D264" s="468"/>
      <c r="E264" s="468"/>
      <c r="F264" s="468"/>
      <c r="G264" s="468"/>
      <c r="H264" s="468"/>
      <c r="I264" s="468"/>
      <c r="J264" s="469"/>
      <c r="K264" s="468"/>
      <c r="L264" s="468"/>
      <c r="M264" s="468"/>
      <c r="N264" s="468"/>
      <c r="O264" s="468"/>
      <c r="P264" s="468"/>
      <c r="Q264" s="468"/>
      <c r="R264" s="375"/>
      <c r="S264" s="415"/>
      <c r="T264" s="415"/>
      <c r="U264" s="377"/>
      <c r="V264" s="377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</row>
    <row r="265" ht="14.25" customHeight="1">
      <c r="A265" s="1"/>
      <c r="B265" s="1"/>
      <c r="C265" s="1"/>
      <c r="D265" s="468"/>
      <c r="E265" s="468"/>
      <c r="F265" s="468"/>
      <c r="G265" s="468"/>
      <c r="H265" s="468"/>
      <c r="I265" s="468"/>
      <c r="J265" s="469"/>
      <c r="K265" s="468"/>
      <c r="L265" s="468"/>
      <c r="M265" s="468"/>
      <c r="N265" s="468"/>
      <c r="O265" s="468"/>
      <c r="P265" s="468"/>
      <c r="Q265" s="468"/>
      <c r="R265" s="375"/>
      <c r="S265" s="415"/>
      <c r="T265" s="415"/>
      <c r="U265" s="377"/>
      <c r="V265" s="377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</row>
    <row r="266" ht="14.25" customHeight="1">
      <c r="A266" s="1"/>
      <c r="B266" s="1"/>
      <c r="C266" s="1"/>
      <c r="D266" s="468"/>
      <c r="E266" s="468"/>
      <c r="F266" s="468"/>
      <c r="G266" s="468"/>
      <c r="H266" s="468"/>
      <c r="I266" s="468"/>
      <c r="J266" s="469"/>
      <c r="K266" s="468"/>
      <c r="L266" s="468"/>
      <c r="M266" s="468"/>
      <c r="N266" s="468"/>
      <c r="O266" s="468"/>
      <c r="P266" s="468"/>
      <c r="Q266" s="468"/>
      <c r="R266" s="375"/>
      <c r="S266" s="415"/>
      <c r="T266" s="415"/>
      <c r="U266" s="377"/>
      <c r="V266" s="377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</row>
    <row r="267" ht="14.25" customHeight="1">
      <c r="A267" s="1"/>
      <c r="B267" s="1"/>
      <c r="C267" s="1"/>
      <c r="D267" s="468"/>
      <c r="E267" s="468"/>
      <c r="F267" s="468"/>
      <c r="G267" s="468"/>
      <c r="H267" s="468"/>
      <c r="I267" s="468"/>
      <c r="J267" s="469"/>
      <c r="K267" s="468"/>
      <c r="L267" s="468"/>
      <c r="M267" s="468"/>
      <c r="N267" s="468"/>
      <c r="O267" s="468"/>
      <c r="P267" s="468"/>
      <c r="Q267" s="468"/>
      <c r="R267" s="375"/>
      <c r="S267" s="415"/>
      <c r="T267" s="415"/>
      <c r="U267" s="377"/>
      <c r="V267" s="377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</row>
    <row r="268" ht="14.25" customHeight="1">
      <c r="A268" s="1"/>
      <c r="B268" s="1"/>
      <c r="C268" s="1"/>
      <c r="D268" s="468"/>
      <c r="E268" s="468"/>
      <c r="F268" s="468"/>
      <c r="G268" s="468"/>
      <c r="H268" s="468"/>
      <c r="I268" s="468"/>
      <c r="J268" s="469"/>
      <c r="K268" s="468"/>
      <c r="L268" s="468"/>
      <c r="M268" s="468"/>
      <c r="N268" s="468"/>
      <c r="O268" s="468"/>
      <c r="P268" s="468"/>
      <c r="Q268" s="468"/>
      <c r="R268" s="375"/>
      <c r="S268" s="415"/>
      <c r="T268" s="415"/>
      <c r="U268" s="377"/>
      <c r="V268" s="377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</row>
    <row r="269" ht="14.25" customHeight="1">
      <c r="A269" s="1"/>
      <c r="B269" s="1"/>
      <c r="C269" s="1"/>
      <c r="D269" s="468"/>
      <c r="E269" s="468"/>
      <c r="F269" s="468"/>
      <c r="G269" s="468"/>
      <c r="H269" s="468"/>
      <c r="I269" s="468"/>
      <c r="J269" s="469"/>
      <c r="K269" s="468"/>
      <c r="L269" s="468"/>
      <c r="M269" s="468"/>
      <c r="N269" s="468"/>
      <c r="O269" s="468"/>
      <c r="P269" s="468"/>
      <c r="Q269" s="468"/>
      <c r="R269" s="375"/>
      <c r="S269" s="415"/>
      <c r="T269" s="415"/>
      <c r="U269" s="377"/>
      <c r="V269" s="377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</row>
    <row r="270" ht="14.25" customHeight="1">
      <c r="A270" s="1"/>
      <c r="B270" s="1"/>
      <c r="C270" s="1"/>
      <c r="D270" s="468"/>
      <c r="E270" s="468"/>
      <c r="F270" s="468"/>
      <c r="G270" s="468"/>
      <c r="H270" s="468"/>
      <c r="I270" s="468"/>
      <c r="J270" s="469"/>
      <c r="K270" s="468"/>
      <c r="L270" s="468"/>
      <c r="M270" s="468"/>
      <c r="N270" s="468"/>
      <c r="O270" s="468"/>
      <c r="P270" s="468"/>
      <c r="Q270" s="468"/>
      <c r="R270" s="375"/>
      <c r="S270" s="415"/>
      <c r="T270" s="415"/>
      <c r="U270" s="377"/>
      <c r="V270" s="377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</row>
    <row r="271" ht="14.25" customHeight="1">
      <c r="A271" s="1"/>
      <c r="B271" s="1"/>
      <c r="C271" s="1"/>
      <c r="D271" s="468"/>
      <c r="E271" s="468"/>
      <c r="F271" s="468"/>
      <c r="G271" s="468"/>
      <c r="H271" s="468"/>
      <c r="I271" s="468"/>
      <c r="J271" s="469"/>
      <c r="K271" s="468"/>
      <c r="L271" s="468"/>
      <c r="M271" s="468"/>
      <c r="N271" s="468"/>
      <c r="O271" s="468"/>
      <c r="P271" s="468"/>
      <c r="Q271" s="468"/>
      <c r="R271" s="375"/>
      <c r="S271" s="415"/>
      <c r="T271" s="415"/>
      <c r="U271" s="377"/>
      <c r="V271" s="377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</row>
    <row r="272" ht="14.25" customHeight="1">
      <c r="A272" s="1"/>
      <c r="B272" s="1"/>
      <c r="C272" s="1"/>
      <c r="D272" s="468"/>
      <c r="E272" s="468"/>
      <c r="F272" s="468"/>
      <c r="G272" s="468"/>
      <c r="H272" s="468"/>
      <c r="I272" s="468"/>
      <c r="J272" s="469"/>
      <c r="K272" s="468"/>
      <c r="L272" s="468"/>
      <c r="M272" s="468"/>
      <c r="N272" s="468"/>
      <c r="O272" s="468"/>
      <c r="P272" s="468"/>
      <c r="Q272" s="468"/>
      <c r="R272" s="375"/>
      <c r="S272" s="415"/>
      <c r="T272" s="415"/>
      <c r="U272" s="377"/>
      <c r="V272" s="377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</row>
    <row r="273" ht="14.25" customHeight="1">
      <c r="A273" s="1"/>
      <c r="B273" s="1"/>
      <c r="C273" s="1"/>
      <c r="D273" s="468"/>
      <c r="E273" s="468"/>
      <c r="F273" s="468"/>
      <c r="G273" s="468"/>
      <c r="H273" s="468"/>
      <c r="I273" s="468"/>
      <c r="J273" s="469"/>
      <c r="K273" s="468"/>
      <c r="L273" s="468"/>
      <c r="M273" s="468"/>
      <c r="N273" s="468"/>
      <c r="O273" s="468"/>
      <c r="P273" s="468"/>
      <c r="Q273" s="468"/>
      <c r="R273" s="375"/>
      <c r="S273" s="415"/>
      <c r="T273" s="415"/>
      <c r="U273" s="377"/>
      <c r="V273" s="377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</row>
    <row r="274" ht="14.25" customHeight="1">
      <c r="A274" s="1"/>
      <c r="B274" s="1"/>
      <c r="C274" s="1"/>
      <c r="D274" s="468"/>
      <c r="E274" s="468"/>
      <c r="F274" s="468"/>
      <c r="G274" s="468"/>
      <c r="H274" s="468"/>
      <c r="I274" s="468"/>
      <c r="J274" s="469"/>
      <c r="K274" s="468"/>
      <c r="L274" s="468"/>
      <c r="M274" s="468"/>
      <c r="N274" s="468"/>
      <c r="O274" s="468"/>
      <c r="P274" s="468"/>
      <c r="Q274" s="468"/>
      <c r="R274" s="375"/>
      <c r="S274" s="415"/>
      <c r="T274" s="415"/>
      <c r="U274" s="377"/>
      <c r="V274" s="377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</row>
    <row r="275" ht="14.25" customHeight="1">
      <c r="A275" s="1"/>
      <c r="B275" s="1"/>
      <c r="C275" s="1"/>
      <c r="D275" s="468"/>
      <c r="E275" s="468"/>
      <c r="F275" s="468"/>
      <c r="G275" s="468"/>
      <c r="H275" s="468"/>
      <c r="I275" s="468"/>
      <c r="J275" s="469"/>
      <c r="K275" s="468"/>
      <c r="L275" s="468"/>
      <c r="M275" s="468"/>
      <c r="N275" s="468"/>
      <c r="O275" s="468"/>
      <c r="P275" s="468"/>
      <c r="Q275" s="468"/>
      <c r="R275" s="375"/>
      <c r="S275" s="415"/>
      <c r="T275" s="415"/>
      <c r="U275" s="377"/>
      <c r="V275" s="377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</row>
    <row r="276" ht="14.25" customHeight="1">
      <c r="A276" s="1"/>
      <c r="B276" s="1"/>
      <c r="C276" s="1"/>
      <c r="D276" s="468"/>
      <c r="E276" s="468"/>
      <c r="F276" s="468"/>
      <c r="G276" s="468"/>
      <c r="H276" s="468"/>
      <c r="I276" s="468"/>
      <c r="J276" s="469"/>
      <c r="K276" s="468"/>
      <c r="L276" s="468"/>
      <c r="M276" s="468"/>
      <c r="N276" s="468"/>
      <c r="O276" s="468"/>
      <c r="P276" s="468"/>
      <c r="Q276" s="468"/>
      <c r="R276" s="375"/>
      <c r="S276" s="415"/>
      <c r="T276" s="415"/>
      <c r="U276" s="377"/>
      <c r="V276" s="377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</row>
    <row r="277" ht="14.25" customHeight="1">
      <c r="A277" s="1"/>
      <c r="B277" s="1"/>
      <c r="C277" s="1"/>
      <c r="D277" s="468"/>
      <c r="E277" s="468"/>
      <c r="F277" s="468"/>
      <c r="G277" s="468"/>
      <c r="H277" s="468"/>
      <c r="I277" s="468"/>
      <c r="J277" s="469"/>
      <c r="K277" s="468"/>
      <c r="L277" s="468"/>
      <c r="M277" s="468"/>
      <c r="N277" s="468"/>
      <c r="O277" s="468"/>
      <c r="P277" s="468"/>
      <c r="Q277" s="468"/>
      <c r="R277" s="375"/>
      <c r="S277" s="415"/>
      <c r="T277" s="415"/>
      <c r="U277" s="377"/>
      <c r="V277" s="377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</row>
    <row r="278" ht="14.25" customHeight="1">
      <c r="A278" s="1"/>
      <c r="B278" s="1"/>
      <c r="C278" s="1"/>
      <c r="D278" s="468"/>
      <c r="E278" s="468"/>
      <c r="F278" s="468"/>
      <c r="G278" s="468"/>
      <c r="H278" s="468"/>
      <c r="I278" s="468"/>
      <c r="J278" s="469"/>
      <c r="K278" s="468"/>
      <c r="L278" s="468"/>
      <c r="M278" s="468"/>
      <c r="N278" s="468"/>
      <c r="O278" s="468"/>
      <c r="P278" s="468"/>
      <c r="Q278" s="468"/>
      <c r="R278" s="375"/>
      <c r="S278" s="415"/>
      <c r="T278" s="415"/>
      <c r="U278" s="377"/>
      <c r="V278" s="377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</row>
    <row r="279" ht="14.25" customHeight="1">
      <c r="A279" s="1"/>
      <c r="B279" s="1"/>
      <c r="C279" s="1"/>
      <c r="D279" s="468"/>
      <c r="E279" s="468"/>
      <c r="F279" s="468"/>
      <c r="G279" s="468"/>
      <c r="H279" s="468"/>
      <c r="I279" s="468"/>
      <c r="J279" s="469"/>
      <c r="K279" s="468"/>
      <c r="L279" s="468"/>
      <c r="M279" s="468"/>
      <c r="N279" s="468"/>
      <c r="O279" s="468"/>
      <c r="P279" s="468"/>
      <c r="Q279" s="468"/>
      <c r="R279" s="375"/>
      <c r="S279" s="415"/>
      <c r="T279" s="415"/>
      <c r="U279" s="377"/>
      <c r="V279" s="377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</row>
    <row r="280" ht="14.25" customHeight="1">
      <c r="A280" s="1"/>
      <c r="B280" s="1"/>
      <c r="C280" s="1"/>
      <c r="D280" s="468"/>
      <c r="E280" s="468"/>
      <c r="F280" s="468"/>
      <c r="G280" s="468"/>
      <c r="H280" s="468"/>
      <c r="I280" s="468"/>
      <c r="J280" s="469"/>
      <c r="K280" s="468"/>
      <c r="L280" s="468"/>
      <c r="M280" s="468"/>
      <c r="N280" s="468"/>
      <c r="O280" s="468"/>
      <c r="P280" s="468"/>
      <c r="Q280" s="468"/>
      <c r="R280" s="375"/>
      <c r="S280" s="415"/>
      <c r="T280" s="415"/>
      <c r="U280" s="377"/>
      <c r="V280" s="377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</row>
    <row r="281" ht="14.25" customHeight="1">
      <c r="A281" s="1"/>
      <c r="B281" s="1"/>
      <c r="C281" s="1"/>
      <c r="D281" s="468"/>
      <c r="E281" s="468"/>
      <c r="F281" s="468"/>
      <c r="G281" s="468"/>
      <c r="H281" s="468"/>
      <c r="I281" s="468"/>
      <c r="J281" s="469"/>
      <c r="K281" s="468"/>
      <c r="L281" s="468"/>
      <c r="M281" s="468"/>
      <c r="N281" s="468"/>
      <c r="O281" s="468"/>
      <c r="P281" s="468"/>
      <c r="Q281" s="468"/>
      <c r="R281" s="375"/>
      <c r="S281" s="415"/>
      <c r="T281" s="415"/>
      <c r="U281" s="377"/>
      <c r="V281" s="377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</row>
    <row r="282" ht="14.25" customHeight="1">
      <c r="A282" s="1"/>
      <c r="B282" s="1"/>
      <c r="C282" s="1"/>
      <c r="D282" s="468"/>
      <c r="E282" s="468"/>
      <c r="F282" s="468"/>
      <c r="G282" s="468"/>
      <c r="H282" s="468"/>
      <c r="I282" s="468"/>
      <c r="J282" s="469"/>
      <c r="K282" s="468"/>
      <c r="L282" s="468"/>
      <c r="M282" s="468"/>
      <c r="N282" s="468"/>
      <c r="O282" s="468"/>
      <c r="P282" s="468"/>
      <c r="Q282" s="468"/>
      <c r="R282" s="375"/>
      <c r="S282" s="415"/>
      <c r="T282" s="415"/>
      <c r="U282" s="377"/>
      <c r="V282" s="377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</row>
    <row r="283" ht="14.25" customHeight="1">
      <c r="A283" s="1"/>
      <c r="B283" s="1"/>
      <c r="C283" s="1"/>
      <c r="D283" s="468"/>
      <c r="E283" s="468"/>
      <c r="F283" s="468"/>
      <c r="G283" s="468"/>
      <c r="H283" s="468"/>
      <c r="I283" s="468"/>
      <c r="J283" s="469"/>
      <c r="K283" s="468"/>
      <c r="L283" s="468"/>
      <c r="M283" s="468"/>
      <c r="N283" s="468"/>
      <c r="O283" s="468"/>
      <c r="P283" s="468"/>
      <c r="Q283" s="468"/>
      <c r="R283" s="375"/>
      <c r="S283" s="415"/>
      <c r="T283" s="415"/>
      <c r="U283" s="377"/>
      <c r="V283" s="377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</row>
    <row r="284" ht="14.25" customHeight="1">
      <c r="A284" s="1"/>
      <c r="B284" s="1"/>
      <c r="C284" s="1"/>
      <c r="D284" s="468"/>
      <c r="E284" s="468"/>
      <c r="F284" s="468"/>
      <c r="G284" s="468"/>
      <c r="H284" s="468"/>
      <c r="I284" s="468"/>
      <c r="J284" s="469"/>
      <c r="K284" s="468"/>
      <c r="L284" s="468"/>
      <c r="M284" s="468"/>
      <c r="N284" s="468"/>
      <c r="O284" s="468"/>
      <c r="P284" s="468"/>
      <c r="Q284" s="468"/>
      <c r="R284" s="375"/>
      <c r="S284" s="415"/>
      <c r="T284" s="415"/>
      <c r="U284" s="377"/>
      <c r="V284" s="377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</row>
    <row r="285" ht="14.25" customHeight="1">
      <c r="A285" s="1"/>
      <c r="B285" s="1"/>
      <c r="C285" s="1"/>
      <c r="D285" s="468"/>
      <c r="E285" s="468"/>
      <c r="F285" s="468"/>
      <c r="G285" s="468"/>
      <c r="H285" s="468"/>
      <c r="I285" s="468"/>
      <c r="J285" s="469"/>
      <c r="K285" s="468"/>
      <c r="L285" s="468"/>
      <c r="M285" s="468"/>
      <c r="N285" s="468"/>
      <c r="O285" s="468"/>
      <c r="P285" s="468"/>
      <c r="Q285" s="468"/>
      <c r="R285" s="375"/>
      <c r="S285" s="415"/>
      <c r="T285" s="415"/>
      <c r="U285" s="377"/>
      <c r="V285" s="377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</row>
    <row r="286" ht="14.25" customHeight="1">
      <c r="A286" s="1"/>
      <c r="B286" s="1"/>
      <c r="C286" s="1"/>
      <c r="D286" s="468"/>
      <c r="E286" s="468"/>
      <c r="F286" s="468"/>
      <c r="G286" s="468"/>
      <c r="H286" s="468"/>
      <c r="I286" s="468"/>
      <c r="J286" s="469"/>
      <c r="K286" s="468"/>
      <c r="L286" s="468"/>
      <c r="M286" s="468"/>
      <c r="N286" s="468"/>
      <c r="O286" s="468"/>
      <c r="P286" s="468"/>
      <c r="Q286" s="468"/>
      <c r="R286" s="375"/>
      <c r="S286" s="415"/>
      <c r="T286" s="415"/>
      <c r="U286" s="377"/>
      <c r="V286" s="377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</row>
    <row r="287" ht="14.25" customHeight="1">
      <c r="A287" s="1"/>
      <c r="B287" s="1"/>
      <c r="C287" s="1"/>
      <c r="D287" s="468"/>
      <c r="E287" s="468"/>
      <c r="F287" s="468"/>
      <c r="G287" s="468"/>
      <c r="H287" s="468"/>
      <c r="I287" s="468"/>
      <c r="J287" s="469"/>
      <c r="K287" s="468"/>
      <c r="L287" s="468"/>
      <c r="M287" s="468"/>
      <c r="N287" s="468"/>
      <c r="O287" s="468"/>
      <c r="P287" s="468"/>
      <c r="Q287" s="468"/>
      <c r="R287" s="375"/>
      <c r="S287" s="415"/>
      <c r="T287" s="415"/>
      <c r="U287" s="377"/>
      <c r="V287" s="377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</row>
    <row r="288" ht="14.25" customHeight="1">
      <c r="A288" s="1"/>
      <c r="B288" s="1"/>
      <c r="C288" s="1"/>
      <c r="D288" s="468"/>
      <c r="E288" s="468"/>
      <c r="F288" s="468"/>
      <c r="G288" s="468"/>
      <c r="H288" s="468"/>
      <c r="I288" s="468"/>
      <c r="J288" s="469"/>
      <c r="K288" s="468"/>
      <c r="L288" s="468"/>
      <c r="M288" s="468"/>
      <c r="N288" s="468"/>
      <c r="O288" s="468"/>
      <c r="P288" s="468"/>
      <c r="Q288" s="468"/>
      <c r="R288" s="375"/>
      <c r="S288" s="415"/>
      <c r="T288" s="415"/>
      <c r="U288" s="377"/>
      <c r="V288" s="377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</row>
    <row r="289" ht="14.25" customHeight="1">
      <c r="A289" s="1"/>
      <c r="B289" s="1"/>
      <c r="C289" s="1"/>
      <c r="D289" s="468"/>
      <c r="E289" s="468"/>
      <c r="F289" s="468"/>
      <c r="G289" s="468"/>
      <c r="H289" s="468"/>
      <c r="I289" s="468"/>
      <c r="J289" s="469"/>
      <c r="K289" s="468"/>
      <c r="L289" s="468"/>
      <c r="M289" s="468"/>
      <c r="N289" s="468"/>
      <c r="O289" s="468"/>
      <c r="P289" s="468"/>
      <c r="Q289" s="468"/>
      <c r="R289" s="375"/>
      <c r="S289" s="415"/>
      <c r="T289" s="415"/>
      <c r="U289" s="377"/>
      <c r="V289" s="377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</row>
    <row r="290" ht="14.25" customHeight="1">
      <c r="A290" s="1"/>
      <c r="B290" s="1"/>
      <c r="C290" s="1"/>
      <c r="D290" s="468"/>
      <c r="E290" s="468"/>
      <c r="F290" s="468"/>
      <c r="G290" s="468"/>
      <c r="H290" s="468"/>
      <c r="I290" s="468"/>
      <c r="J290" s="469"/>
      <c r="K290" s="468"/>
      <c r="L290" s="468"/>
      <c r="M290" s="468"/>
      <c r="N290" s="468"/>
      <c r="O290" s="468"/>
      <c r="P290" s="468"/>
      <c r="Q290" s="468"/>
      <c r="R290" s="375"/>
      <c r="S290" s="415"/>
      <c r="T290" s="415"/>
      <c r="U290" s="377"/>
      <c r="V290" s="377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</row>
    <row r="291" ht="14.25" customHeight="1">
      <c r="A291" s="1"/>
      <c r="B291" s="1"/>
      <c r="C291" s="1"/>
      <c r="D291" s="468"/>
      <c r="E291" s="468"/>
      <c r="F291" s="468"/>
      <c r="G291" s="468"/>
      <c r="H291" s="468"/>
      <c r="I291" s="468"/>
      <c r="J291" s="469"/>
      <c r="K291" s="468"/>
      <c r="L291" s="468"/>
      <c r="M291" s="468"/>
      <c r="N291" s="468"/>
      <c r="O291" s="468"/>
      <c r="P291" s="468"/>
      <c r="Q291" s="468"/>
      <c r="R291" s="375"/>
      <c r="S291" s="415"/>
      <c r="T291" s="415"/>
      <c r="U291" s="377"/>
      <c r="V291" s="377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</row>
    <row r="292" ht="14.25" customHeight="1">
      <c r="A292" s="1"/>
      <c r="B292" s="1"/>
      <c r="C292" s="1"/>
      <c r="D292" s="468"/>
      <c r="E292" s="468"/>
      <c r="F292" s="468"/>
      <c r="G292" s="468"/>
      <c r="H292" s="468"/>
      <c r="I292" s="468"/>
      <c r="J292" s="469"/>
      <c r="K292" s="468"/>
      <c r="L292" s="468"/>
      <c r="M292" s="468"/>
      <c r="N292" s="468"/>
      <c r="O292" s="468"/>
      <c r="P292" s="468"/>
      <c r="Q292" s="468"/>
      <c r="R292" s="375"/>
      <c r="S292" s="415"/>
      <c r="T292" s="415"/>
      <c r="U292" s="377"/>
      <c r="V292" s="377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</row>
    <row r="293" ht="14.25" customHeight="1">
      <c r="A293" s="1"/>
      <c r="B293" s="1"/>
      <c r="C293" s="1"/>
      <c r="D293" s="468"/>
      <c r="E293" s="468"/>
      <c r="F293" s="468"/>
      <c r="G293" s="468"/>
      <c r="H293" s="468"/>
      <c r="I293" s="468"/>
      <c r="J293" s="469"/>
      <c r="K293" s="468"/>
      <c r="L293" s="468"/>
      <c r="M293" s="468"/>
      <c r="N293" s="468"/>
      <c r="O293" s="468"/>
      <c r="P293" s="468"/>
      <c r="Q293" s="468"/>
      <c r="R293" s="375"/>
      <c r="S293" s="415"/>
      <c r="T293" s="415"/>
      <c r="U293" s="377"/>
      <c r="V293" s="377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</row>
    <row r="294" ht="14.25" customHeight="1">
      <c r="A294" s="1"/>
      <c r="B294" s="1"/>
      <c r="C294" s="1"/>
      <c r="D294" s="468"/>
      <c r="E294" s="468"/>
      <c r="F294" s="468"/>
      <c r="G294" s="468"/>
      <c r="H294" s="468"/>
      <c r="I294" s="468"/>
      <c r="J294" s="469"/>
      <c r="K294" s="468"/>
      <c r="L294" s="468"/>
      <c r="M294" s="468"/>
      <c r="N294" s="468"/>
      <c r="O294" s="468"/>
      <c r="P294" s="468"/>
      <c r="Q294" s="468"/>
      <c r="R294" s="375"/>
      <c r="S294" s="415"/>
      <c r="T294" s="415"/>
      <c r="U294" s="377"/>
      <c r="V294" s="377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</row>
    <row r="295" ht="14.25" customHeight="1">
      <c r="A295" s="1"/>
      <c r="B295" s="1"/>
      <c r="C295" s="1"/>
      <c r="D295" s="468"/>
      <c r="E295" s="468"/>
      <c r="F295" s="468"/>
      <c r="G295" s="468"/>
      <c r="H295" s="468"/>
      <c r="I295" s="468"/>
      <c r="J295" s="469"/>
      <c r="K295" s="468"/>
      <c r="L295" s="468"/>
      <c r="M295" s="468"/>
      <c r="N295" s="468"/>
      <c r="O295" s="468"/>
      <c r="P295" s="468"/>
      <c r="Q295" s="468"/>
      <c r="R295" s="375"/>
      <c r="S295" s="415"/>
      <c r="T295" s="415"/>
      <c r="U295" s="377"/>
      <c r="V295" s="377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</row>
    <row r="296" ht="14.25" customHeight="1">
      <c r="A296" s="1"/>
      <c r="B296" s="1"/>
      <c r="C296" s="1"/>
      <c r="D296" s="468"/>
      <c r="E296" s="468"/>
      <c r="F296" s="468"/>
      <c r="G296" s="468"/>
      <c r="H296" s="468"/>
      <c r="I296" s="468"/>
      <c r="J296" s="469"/>
      <c r="K296" s="468"/>
      <c r="L296" s="468"/>
      <c r="M296" s="468"/>
      <c r="N296" s="468"/>
      <c r="O296" s="468"/>
      <c r="P296" s="468"/>
      <c r="Q296" s="468"/>
      <c r="R296" s="375"/>
      <c r="S296" s="415"/>
      <c r="T296" s="415"/>
      <c r="U296" s="377"/>
      <c r="V296" s="377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</row>
    <row r="297" ht="14.25" customHeight="1">
      <c r="A297" s="1"/>
      <c r="B297" s="1"/>
      <c r="C297" s="1"/>
      <c r="D297" s="468"/>
      <c r="E297" s="468"/>
      <c r="F297" s="468"/>
      <c r="G297" s="468"/>
      <c r="H297" s="468"/>
      <c r="I297" s="468"/>
      <c r="J297" s="469"/>
      <c r="K297" s="468"/>
      <c r="L297" s="468"/>
      <c r="M297" s="468"/>
      <c r="N297" s="468"/>
      <c r="O297" s="468"/>
      <c r="P297" s="468"/>
      <c r="Q297" s="468"/>
      <c r="R297" s="375"/>
      <c r="S297" s="415"/>
      <c r="T297" s="415"/>
      <c r="U297" s="377"/>
      <c r="V297" s="377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</row>
    <row r="298" ht="14.25" customHeight="1">
      <c r="A298" s="1"/>
      <c r="B298" s="1"/>
      <c r="C298" s="1"/>
      <c r="D298" s="468"/>
      <c r="E298" s="468"/>
      <c r="F298" s="468"/>
      <c r="G298" s="468"/>
      <c r="H298" s="468"/>
      <c r="I298" s="468"/>
      <c r="J298" s="469"/>
      <c r="K298" s="468"/>
      <c r="L298" s="468"/>
      <c r="M298" s="468"/>
      <c r="N298" s="468"/>
      <c r="O298" s="468"/>
      <c r="P298" s="468"/>
      <c r="Q298" s="468"/>
      <c r="R298" s="375"/>
      <c r="S298" s="415"/>
      <c r="T298" s="415"/>
      <c r="U298" s="377"/>
      <c r="V298" s="377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</row>
    <row r="299" ht="14.25" customHeight="1">
      <c r="A299" s="1"/>
      <c r="B299" s="1"/>
      <c r="C299" s="1"/>
      <c r="D299" s="468"/>
      <c r="E299" s="468"/>
      <c r="F299" s="468"/>
      <c r="G299" s="468"/>
      <c r="H299" s="468"/>
      <c r="I299" s="468"/>
      <c r="J299" s="469"/>
      <c r="K299" s="468"/>
      <c r="L299" s="468"/>
      <c r="M299" s="468"/>
      <c r="N299" s="468"/>
      <c r="O299" s="468"/>
      <c r="P299" s="468"/>
      <c r="Q299" s="468"/>
      <c r="R299" s="375"/>
      <c r="S299" s="415"/>
      <c r="T299" s="415"/>
      <c r="U299" s="377"/>
      <c r="V299" s="377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</row>
    <row r="300" ht="14.25" customHeight="1">
      <c r="A300" s="1"/>
      <c r="B300" s="1"/>
      <c r="C300" s="1"/>
      <c r="D300" s="468"/>
      <c r="E300" s="468"/>
      <c r="F300" s="468"/>
      <c r="G300" s="468"/>
      <c r="H300" s="468"/>
      <c r="I300" s="468"/>
      <c r="J300" s="469"/>
      <c r="K300" s="468"/>
      <c r="L300" s="468"/>
      <c r="M300" s="468"/>
      <c r="N300" s="468"/>
      <c r="O300" s="468"/>
      <c r="P300" s="468"/>
      <c r="Q300" s="468"/>
      <c r="R300" s="375"/>
      <c r="S300" s="415"/>
      <c r="T300" s="415"/>
      <c r="U300" s="377"/>
      <c r="V300" s="377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</row>
    <row r="301" ht="14.25" customHeight="1">
      <c r="A301" s="1"/>
      <c r="B301" s="1"/>
      <c r="C301" s="1"/>
      <c r="D301" s="468"/>
      <c r="E301" s="468"/>
      <c r="F301" s="468"/>
      <c r="G301" s="468"/>
      <c r="H301" s="468"/>
      <c r="I301" s="468"/>
      <c r="J301" s="469"/>
      <c r="K301" s="468"/>
      <c r="L301" s="468"/>
      <c r="M301" s="468"/>
      <c r="N301" s="468"/>
      <c r="O301" s="468"/>
      <c r="P301" s="468"/>
      <c r="Q301" s="468"/>
      <c r="R301" s="375"/>
      <c r="S301" s="415"/>
      <c r="T301" s="415"/>
      <c r="U301" s="377"/>
      <c r="V301" s="377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</row>
    <row r="302" ht="14.25" customHeight="1">
      <c r="A302" s="1"/>
      <c r="B302" s="1"/>
      <c r="C302" s="1"/>
      <c r="D302" s="468"/>
      <c r="E302" s="468"/>
      <c r="F302" s="468"/>
      <c r="G302" s="468"/>
      <c r="H302" s="468"/>
      <c r="I302" s="468"/>
      <c r="J302" s="469"/>
      <c r="K302" s="468"/>
      <c r="L302" s="468"/>
      <c r="M302" s="468"/>
      <c r="N302" s="468"/>
      <c r="O302" s="468"/>
      <c r="P302" s="468"/>
      <c r="Q302" s="468"/>
      <c r="R302" s="375"/>
      <c r="S302" s="415"/>
      <c r="T302" s="415"/>
      <c r="U302" s="377"/>
      <c r="V302" s="377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</row>
    <row r="303" ht="14.25" customHeight="1">
      <c r="A303" s="1"/>
      <c r="B303" s="1"/>
      <c r="C303" s="1"/>
      <c r="D303" s="468"/>
      <c r="E303" s="468"/>
      <c r="F303" s="468"/>
      <c r="G303" s="468"/>
      <c r="H303" s="468"/>
      <c r="I303" s="468"/>
      <c r="J303" s="469"/>
      <c r="K303" s="468"/>
      <c r="L303" s="468"/>
      <c r="M303" s="468"/>
      <c r="N303" s="468"/>
      <c r="O303" s="468"/>
      <c r="P303" s="468"/>
      <c r="Q303" s="468"/>
      <c r="R303" s="375"/>
      <c r="S303" s="415"/>
      <c r="T303" s="415"/>
      <c r="U303" s="377"/>
      <c r="V303" s="377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</row>
    <row r="304" ht="14.25" customHeight="1">
      <c r="A304" s="1"/>
      <c r="B304" s="1"/>
      <c r="C304" s="1"/>
      <c r="D304" s="468"/>
      <c r="E304" s="468"/>
      <c r="F304" s="468"/>
      <c r="G304" s="468"/>
      <c r="H304" s="468"/>
      <c r="I304" s="468"/>
      <c r="J304" s="469"/>
      <c r="K304" s="468"/>
      <c r="L304" s="468"/>
      <c r="M304" s="468"/>
      <c r="N304" s="468"/>
      <c r="O304" s="468"/>
      <c r="P304" s="468"/>
      <c r="Q304" s="468"/>
      <c r="R304" s="375"/>
      <c r="S304" s="415"/>
      <c r="T304" s="415"/>
      <c r="U304" s="377"/>
      <c r="V304" s="377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</row>
    <row r="305" ht="14.25" customHeight="1">
      <c r="A305" s="1"/>
      <c r="B305" s="1"/>
      <c r="C305" s="1"/>
      <c r="D305" s="468"/>
      <c r="E305" s="468"/>
      <c r="F305" s="468"/>
      <c r="G305" s="468"/>
      <c r="H305" s="468"/>
      <c r="I305" s="468"/>
      <c r="J305" s="469"/>
      <c r="K305" s="468"/>
      <c r="L305" s="468"/>
      <c r="M305" s="468"/>
      <c r="N305" s="468"/>
      <c r="O305" s="468"/>
      <c r="P305" s="468"/>
      <c r="Q305" s="468"/>
      <c r="R305" s="375"/>
      <c r="S305" s="415"/>
      <c r="T305" s="415"/>
      <c r="U305" s="377"/>
      <c r="V305" s="377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</row>
    <row r="306" ht="14.25" customHeight="1">
      <c r="A306" s="1"/>
      <c r="B306" s="1"/>
      <c r="C306" s="1"/>
      <c r="D306" s="468"/>
      <c r="E306" s="468"/>
      <c r="F306" s="468"/>
      <c r="G306" s="468"/>
      <c r="H306" s="468"/>
      <c r="I306" s="468"/>
      <c r="J306" s="469"/>
      <c r="K306" s="468"/>
      <c r="L306" s="468"/>
      <c r="M306" s="468"/>
      <c r="N306" s="468"/>
      <c r="O306" s="468"/>
      <c r="P306" s="468"/>
      <c r="Q306" s="468"/>
      <c r="R306" s="375"/>
      <c r="S306" s="415"/>
      <c r="T306" s="415"/>
      <c r="U306" s="377"/>
      <c r="V306" s="377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</row>
    <row r="307" ht="14.25" customHeight="1">
      <c r="A307" s="1"/>
      <c r="B307" s="1"/>
      <c r="C307" s="1"/>
      <c r="D307" s="468"/>
      <c r="E307" s="468"/>
      <c r="F307" s="468"/>
      <c r="G307" s="468"/>
      <c r="H307" s="468"/>
      <c r="I307" s="468"/>
      <c r="J307" s="469"/>
      <c r="K307" s="468"/>
      <c r="L307" s="468"/>
      <c r="M307" s="468"/>
      <c r="N307" s="468"/>
      <c r="O307" s="468"/>
      <c r="P307" s="468"/>
      <c r="Q307" s="468"/>
      <c r="R307" s="375"/>
      <c r="S307" s="415"/>
      <c r="T307" s="415"/>
      <c r="U307" s="377"/>
      <c r="V307" s="377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</row>
    <row r="308" ht="14.25" customHeight="1">
      <c r="A308" s="1"/>
      <c r="B308" s="1"/>
      <c r="C308" s="1"/>
      <c r="D308" s="468"/>
      <c r="E308" s="468"/>
      <c r="F308" s="468"/>
      <c r="G308" s="468"/>
      <c r="H308" s="468"/>
      <c r="I308" s="468"/>
      <c r="J308" s="469"/>
      <c r="K308" s="468"/>
      <c r="L308" s="468"/>
      <c r="M308" s="468"/>
      <c r="N308" s="468"/>
      <c r="O308" s="468"/>
      <c r="P308" s="468"/>
      <c r="Q308" s="468"/>
      <c r="R308" s="375"/>
      <c r="S308" s="415"/>
      <c r="T308" s="415"/>
      <c r="U308" s="377"/>
      <c r="V308" s="377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</row>
    <row r="309" ht="14.25" customHeight="1">
      <c r="A309" s="1"/>
      <c r="B309" s="1"/>
      <c r="C309" s="1"/>
      <c r="D309" s="468"/>
      <c r="E309" s="468"/>
      <c r="F309" s="468"/>
      <c r="G309" s="468"/>
      <c r="H309" s="468"/>
      <c r="I309" s="468"/>
      <c r="J309" s="469"/>
      <c r="K309" s="468"/>
      <c r="L309" s="468"/>
      <c r="M309" s="468"/>
      <c r="N309" s="468"/>
      <c r="O309" s="468"/>
      <c r="P309" s="468"/>
      <c r="Q309" s="468"/>
      <c r="R309" s="375"/>
      <c r="S309" s="415"/>
      <c r="T309" s="415"/>
      <c r="U309" s="377"/>
      <c r="V309" s="377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</row>
    <row r="310" ht="14.25" customHeight="1">
      <c r="A310" s="1"/>
      <c r="B310" s="1"/>
      <c r="C310" s="1"/>
      <c r="D310" s="468"/>
      <c r="E310" s="468"/>
      <c r="F310" s="468"/>
      <c r="G310" s="468"/>
      <c r="H310" s="468"/>
      <c r="I310" s="468"/>
      <c r="J310" s="469"/>
      <c r="K310" s="468"/>
      <c r="L310" s="468"/>
      <c r="M310" s="468"/>
      <c r="N310" s="468"/>
      <c r="O310" s="468"/>
      <c r="P310" s="468"/>
      <c r="Q310" s="468"/>
      <c r="R310" s="375"/>
      <c r="S310" s="415"/>
      <c r="T310" s="415"/>
      <c r="U310" s="377"/>
      <c r="V310" s="377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</row>
    <row r="311" ht="14.25" customHeight="1">
      <c r="A311" s="1"/>
      <c r="B311" s="1"/>
      <c r="C311" s="1"/>
      <c r="D311" s="468"/>
      <c r="E311" s="468"/>
      <c r="F311" s="468"/>
      <c r="G311" s="468"/>
      <c r="H311" s="468"/>
      <c r="I311" s="468"/>
      <c r="J311" s="469"/>
      <c r="K311" s="468"/>
      <c r="L311" s="468"/>
      <c r="M311" s="468"/>
      <c r="N311" s="468"/>
      <c r="O311" s="468"/>
      <c r="P311" s="468"/>
      <c r="Q311" s="468"/>
      <c r="R311" s="375"/>
      <c r="S311" s="415"/>
      <c r="T311" s="415"/>
      <c r="U311" s="377"/>
      <c r="V311" s="377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</row>
    <row r="312" ht="14.25" customHeight="1">
      <c r="A312" s="1"/>
      <c r="B312" s="1"/>
      <c r="C312" s="1"/>
      <c r="D312" s="468"/>
      <c r="E312" s="468"/>
      <c r="F312" s="468"/>
      <c r="G312" s="468"/>
      <c r="H312" s="468"/>
      <c r="I312" s="468"/>
      <c r="J312" s="469"/>
      <c r="K312" s="468"/>
      <c r="L312" s="468"/>
      <c r="M312" s="468"/>
      <c r="N312" s="468"/>
      <c r="O312" s="468"/>
      <c r="P312" s="468"/>
      <c r="Q312" s="468"/>
      <c r="R312" s="375"/>
      <c r="S312" s="415"/>
      <c r="T312" s="415"/>
      <c r="U312" s="377"/>
      <c r="V312" s="377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</row>
    <row r="313" ht="14.25" customHeight="1">
      <c r="A313" s="1"/>
      <c r="B313" s="1"/>
      <c r="C313" s="1"/>
      <c r="D313" s="468"/>
      <c r="E313" s="468"/>
      <c r="F313" s="468"/>
      <c r="G313" s="468"/>
      <c r="H313" s="468"/>
      <c r="I313" s="468"/>
      <c r="J313" s="469"/>
      <c r="K313" s="468"/>
      <c r="L313" s="468"/>
      <c r="M313" s="468"/>
      <c r="N313" s="468"/>
      <c r="O313" s="468"/>
      <c r="P313" s="468"/>
      <c r="Q313" s="468"/>
      <c r="R313" s="375"/>
      <c r="S313" s="415"/>
      <c r="T313" s="415"/>
      <c r="U313" s="377"/>
      <c r="V313" s="377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</row>
    <row r="314" ht="14.25" customHeight="1">
      <c r="A314" s="1"/>
      <c r="B314" s="1"/>
      <c r="C314" s="1"/>
      <c r="D314" s="468"/>
      <c r="E314" s="468"/>
      <c r="F314" s="468"/>
      <c r="G314" s="468"/>
      <c r="H314" s="468"/>
      <c r="I314" s="468"/>
      <c r="J314" s="469"/>
      <c r="K314" s="468"/>
      <c r="L314" s="468"/>
      <c r="M314" s="468"/>
      <c r="N314" s="468"/>
      <c r="O314" s="468"/>
      <c r="P314" s="468"/>
      <c r="Q314" s="468"/>
      <c r="R314" s="375"/>
      <c r="S314" s="415"/>
      <c r="T314" s="415"/>
      <c r="U314" s="377"/>
      <c r="V314" s="377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</row>
    <row r="315" ht="14.25" customHeight="1">
      <c r="A315" s="1"/>
      <c r="B315" s="1"/>
      <c r="C315" s="1"/>
      <c r="D315" s="468"/>
      <c r="E315" s="468"/>
      <c r="F315" s="468"/>
      <c r="G315" s="468"/>
      <c r="H315" s="468"/>
      <c r="I315" s="468"/>
      <c r="J315" s="469"/>
      <c r="K315" s="468"/>
      <c r="L315" s="468"/>
      <c r="M315" s="468"/>
      <c r="N315" s="468"/>
      <c r="O315" s="468"/>
      <c r="P315" s="468"/>
      <c r="Q315" s="468"/>
      <c r="R315" s="375"/>
      <c r="S315" s="415"/>
      <c r="T315" s="415"/>
      <c r="U315" s="377"/>
      <c r="V315" s="377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</row>
    <row r="316" ht="14.25" customHeight="1">
      <c r="A316" s="1"/>
      <c r="B316" s="1"/>
      <c r="C316" s="1"/>
      <c r="D316" s="468"/>
      <c r="E316" s="468"/>
      <c r="F316" s="468"/>
      <c r="G316" s="468"/>
      <c r="H316" s="468"/>
      <c r="I316" s="468"/>
      <c r="J316" s="469"/>
      <c r="K316" s="468"/>
      <c r="L316" s="468"/>
      <c r="M316" s="468"/>
      <c r="N316" s="468"/>
      <c r="O316" s="468"/>
      <c r="P316" s="468"/>
      <c r="Q316" s="468"/>
      <c r="R316" s="375"/>
      <c r="S316" s="415"/>
      <c r="T316" s="415"/>
      <c r="U316" s="377"/>
      <c r="V316" s="377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</row>
    <row r="317" ht="14.25" customHeight="1">
      <c r="A317" s="1"/>
      <c r="B317" s="1"/>
      <c r="C317" s="1"/>
      <c r="D317" s="468"/>
      <c r="E317" s="468"/>
      <c r="F317" s="468"/>
      <c r="G317" s="468"/>
      <c r="H317" s="468"/>
      <c r="I317" s="468"/>
      <c r="J317" s="469"/>
      <c r="K317" s="468"/>
      <c r="L317" s="468"/>
      <c r="M317" s="468"/>
      <c r="N317" s="468"/>
      <c r="O317" s="468"/>
      <c r="P317" s="468"/>
      <c r="Q317" s="468"/>
      <c r="R317" s="375"/>
      <c r="S317" s="415"/>
      <c r="T317" s="415"/>
      <c r="U317" s="377"/>
      <c r="V317" s="377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</row>
    <row r="318" ht="14.25" customHeight="1">
      <c r="A318" s="1"/>
      <c r="B318" s="1"/>
      <c r="C318" s="1"/>
      <c r="D318" s="468"/>
      <c r="E318" s="468"/>
      <c r="F318" s="468"/>
      <c r="G318" s="468"/>
      <c r="H318" s="468"/>
      <c r="I318" s="468"/>
      <c r="J318" s="469"/>
      <c r="K318" s="468"/>
      <c r="L318" s="468"/>
      <c r="M318" s="468"/>
      <c r="N318" s="468"/>
      <c r="O318" s="468"/>
      <c r="P318" s="468"/>
      <c r="Q318" s="468"/>
      <c r="R318" s="375"/>
      <c r="S318" s="415"/>
      <c r="T318" s="415"/>
      <c r="U318" s="377"/>
      <c r="V318" s="377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</row>
    <row r="319" ht="14.25" customHeight="1">
      <c r="A319" s="1"/>
      <c r="B319" s="1"/>
      <c r="C319" s="1"/>
      <c r="D319" s="468"/>
      <c r="E319" s="468"/>
      <c r="F319" s="468"/>
      <c r="G319" s="468"/>
      <c r="H319" s="468"/>
      <c r="I319" s="468"/>
      <c r="J319" s="469"/>
      <c r="K319" s="468"/>
      <c r="L319" s="468"/>
      <c r="M319" s="468"/>
      <c r="N319" s="468"/>
      <c r="O319" s="468"/>
      <c r="P319" s="468"/>
      <c r="Q319" s="468"/>
      <c r="R319" s="375"/>
      <c r="S319" s="415"/>
      <c r="T319" s="415"/>
      <c r="U319" s="377"/>
      <c r="V319" s="377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</row>
    <row r="320" ht="14.25" customHeight="1">
      <c r="A320" s="1"/>
      <c r="B320" s="1"/>
      <c r="C320" s="1"/>
      <c r="D320" s="468"/>
      <c r="E320" s="468"/>
      <c r="F320" s="468"/>
      <c r="G320" s="468"/>
      <c r="H320" s="468"/>
      <c r="I320" s="468"/>
      <c r="J320" s="469"/>
      <c r="K320" s="468"/>
      <c r="L320" s="468"/>
      <c r="M320" s="468"/>
      <c r="N320" s="468"/>
      <c r="O320" s="468"/>
      <c r="P320" s="468"/>
      <c r="Q320" s="468"/>
      <c r="R320" s="375"/>
      <c r="S320" s="415"/>
      <c r="T320" s="415"/>
      <c r="U320" s="377"/>
      <c r="V320" s="377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</row>
    <row r="321" ht="14.25" customHeight="1">
      <c r="A321" s="1"/>
      <c r="B321" s="1"/>
      <c r="C321" s="1"/>
      <c r="D321" s="468"/>
      <c r="E321" s="468"/>
      <c r="F321" s="468"/>
      <c r="G321" s="468"/>
      <c r="H321" s="468"/>
      <c r="I321" s="468"/>
      <c r="J321" s="469"/>
      <c r="K321" s="468"/>
      <c r="L321" s="468"/>
      <c r="M321" s="468"/>
      <c r="N321" s="468"/>
      <c r="O321" s="468"/>
      <c r="P321" s="468"/>
      <c r="Q321" s="468"/>
      <c r="R321" s="375"/>
      <c r="S321" s="415"/>
      <c r="T321" s="415"/>
      <c r="U321" s="377"/>
      <c r="V321" s="377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</row>
    <row r="322" ht="14.25" customHeight="1">
      <c r="A322" s="1"/>
      <c r="B322" s="1"/>
      <c r="C322" s="1"/>
      <c r="D322" s="468"/>
      <c r="E322" s="468"/>
      <c r="F322" s="468"/>
      <c r="G322" s="468"/>
      <c r="H322" s="468"/>
      <c r="I322" s="468"/>
      <c r="J322" s="469"/>
      <c r="K322" s="468"/>
      <c r="L322" s="468"/>
      <c r="M322" s="468"/>
      <c r="N322" s="468"/>
      <c r="O322" s="468"/>
      <c r="P322" s="468"/>
      <c r="Q322" s="468"/>
      <c r="R322" s="375"/>
      <c r="S322" s="415"/>
      <c r="T322" s="415"/>
      <c r="U322" s="377"/>
      <c r="V322" s="377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</row>
    <row r="323" ht="14.25" customHeight="1">
      <c r="A323" s="1"/>
      <c r="B323" s="1"/>
      <c r="C323" s="1"/>
      <c r="D323" s="468"/>
      <c r="E323" s="468"/>
      <c r="F323" s="468"/>
      <c r="G323" s="468"/>
      <c r="H323" s="468"/>
      <c r="I323" s="468"/>
      <c r="J323" s="469"/>
      <c r="K323" s="468"/>
      <c r="L323" s="468"/>
      <c r="M323" s="468"/>
      <c r="N323" s="468"/>
      <c r="O323" s="468"/>
      <c r="P323" s="468"/>
      <c r="Q323" s="468"/>
      <c r="R323" s="375"/>
      <c r="S323" s="415"/>
      <c r="T323" s="415"/>
      <c r="U323" s="377"/>
      <c r="V323" s="377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</row>
    <row r="324" ht="14.25" customHeight="1">
      <c r="A324" s="1"/>
      <c r="B324" s="1"/>
      <c r="C324" s="1"/>
      <c r="D324" s="468"/>
      <c r="E324" s="468"/>
      <c r="F324" s="468"/>
      <c r="G324" s="468"/>
      <c r="H324" s="468"/>
      <c r="I324" s="468"/>
      <c r="J324" s="469"/>
      <c r="K324" s="468"/>
      <c r="L324" s="468"/>
      <c r="M324" s="468"/>
      <c r="N324" s="468"/>
      <c r="O324" s="468"/>
      <c r="P324" s="468"/>
      <c r="Q324" s="468"/>
      <c r="R324" s="375"/>
      <c r="S324" s="415"/>
      <c r="T324" s="415"/>
      <c r="U324" s="377"/>
      <c r="V324" s="377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</row>
    <row r="325" ht="14.25" customHeight="1">
      <c r="A325" s="1"/>
      <c r="B325" s="1"/>
      <c r="C325" s="1"/>
      <c r="D325" s="468"/>
      <c r="E325" s="468"/>
      <c r="F325" s="468"/>
      <c r="G325" s="468"/>
      <c r="H325" s="468"/>
      <c r="I325" s="468"/>
      <c r="J325" s="469"/>
      <c r="K325" s="468"/>
      <c r="L325" s="468"/>
      <c r="M325" s="468"/>
      <c r="N325" s="468"/>
      <c r="O325" s="468"/>
      <c r="P325" s="468"/>
      <c r="Q325" s="468"/>
      <c r="R325" s="375"/>
      <c r="S325" s="415"/>
      <c r="T325" s="415"/>
      <c r="U325" s="377"/>
      <c r="V325" s="377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</row>
    <row r="326" ht="14.25" customHeight="1">
      <c r="A326" s="1"/>
      <c r="B326" s="1"/>
      <c r="C326" s="1"/>
      <c r="D326" s="468"/>
      <c r="E326" s="468"/>
      <c r="F326" s="468"/>
      <c r="G326" s="468"/>
      <c r="H326" s="468"/>
      <c r="I326" s="468"/>
      <c r="J326" s="469"/>
      <c r="K326" s="468"/>
      <c r="L326" s="468"/>
      <c r="M326" s="468"/>
      <c r="N326" s="468"/>
      <c r="O326" s="468"/>
      <c r="P326" s="468"/>
      <c r="Q326" s="468"/>
      <c r="R326" s="375"/>
      <c r="S326" s="415"/>
      <c r="T326" s="415"/>
      <c r="U326" s="377"/>
      <c r="V326" s="377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</row>
    <row r="327" ht="14.25" customHeight="1">
      <c r="A327" s="1"/>
      <c r="B327" s="1"/>
      <c r="C327" s="1"/>
      <c r="D327" s="468"/>
      <c r="E327" s="468"/>
      <c r="F327" s="468"/>
      <c r="G327" s="468"/>
      <c r="H327" s="468"/>
      <c r="I327" s="468"/>
      <c r="J327" s="469"/>
      <c r="K327" s="468"/>
      <c r="L327" s="468"/>
      <c r="M327" s="468"/>
      <c r="N327" s="468"/>
      <c r="O327" s="468"/>
      <c r="P327" s="468"/>
      <c r="Q327" s="468"/>
      <c r="R327" s="375"/>
      <c r="S327" s="415"/>
      <c r="T327" s="415"/>
      <c r="U327" s="377"/>
      <c r="V327" s="377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</row>
    <row r="328" ht="14.25" customHeight="1">
      <c r="A328" s="1"/>
      <c r="B328" s="1"/>
      <c r="C328" s="1"/>
      <c r="D328" s="468"/>
      <c r="E328" s="468"/>
      <c r="F328" s="468"/>
      <c r="G328" s="468"/>
      <c r="H328" s="468"/>
      <c r="I328" s="468"/>
      <c r="J328" s="469"/>
      <c r="K328" s="468"/>
      <c r="L328" s="468"/>
      <c r="M328" s="468"/>
      <c r="N328" s="468"/>
      <c r="O328" s="468"/>
      <c r="P328" s="468"/>
      <c r="Q328" s="468"/>
      <c r="R328" s="375"/>
      <c r="S328" s="415"/>
      <c r="T328" s="415"/>
      <c r="U328" s="377"/>
      <c r="V328" s="377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</row>
    <row r="329" ht="14.25" customHeight="1">
      <c r="A329" s="1"/>
      <c r="B329" s="1"/>
      <c r="C329" s="1"/>
      <c r="D329" s="468"/>
      <c r="E329" s="468"/>
      <c r="F329" s="468"/>
      <c r="G329" s="468"/>
      <c r="H329" s="468"/>
      <c r="I329" s="468"/>
      <c r="J329" s="469"/>
      <c r="K329" s="468"/>
      <c r="L329" s="468"/>
      <c r="M329" s="468"/>
      <c r="N329" s="468"/>
      <c r="O329" s="468"/>
      <c r="P329" s="468"/>
      <c r="Q329" s="468"/>
      <c r="R329" s="375"/>
      <c r="S329" s="415"/>
      <c r="T329" s="415"/>
      <c r="U329" s="377"/>
      <c r="V329" s="377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</row>
    <row r="330" ht="14.25" customHeight="1">
      <c r="A330" s="1"/>
      <c r="B330" s="1"/>
      <c r="C330" s="1"/>
      <c r="D330" s="468"/>
      <c r="E330" s="468"/>
      <c r="F330" s="468"/>
      <c r="G330" s="468"/>
      <c r="H330" s="468"/>
      <c r="I330" s="468"/>
      <c r="J330" s="469"/>
      <c r="K330" s="468"/>
      <c r="L330" s="468"/>
      <c r="M330" s="468"/>
      <c r="N330" s="468"/>
      <c r="O330" s="468"/>
      <c r="P330" s="468"/>
      <c r="Q330" s="468"/>
      <c r="R330" s="375"/>
      <c r="S330" s="415"/>
      <c r="T330" s="415"/>
      <c r="U330" s="377"/>
      <c r="V330" s="377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</row>
    <row r="331" ht="14.25" customHeight="1">
      <c r="A331" s="1"/>
      <c r="B331" s="1"/>
      <c r="C331" s="1"/>
      <c r="D331" s="468"/>
      <c r="E331" s="468"/>
      <c r="F331" s="468"/>
      <c r="G331" s="468"/>
      <c r="H331" s="468"/>
      <c r="I331" s="468"/>
      <c r="J331" s="469"/>
      <c r="K331" s="468"/>
      <c r="L331" s="468"/>
      <c r="M331" s="468"/>
      <c r="N331" s="468"/>
      <c r="O331" s="468"/>
      <c r="P331" s="468"/>
      <c r="Q331" s="468"/>
      <c r="R331" s="375"/>
      <c r="S331" s="415"/>
      <c r="T331" s="415"/>
      <c r="U331" s="377"/>
      <c r="V331" s="377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</row>
    <row r="332" ht="14.25" customHeight="1">
      <c r="A332" s="1"/>
      <c r="B332" s="1"/>
      <c r="C332" s="1"/>
      <c r="D332" s="468"/>
      <c r="E332" s="468"/>
      <c r="F332" s="468"/>
      <c r="G332" s="468"/>
      <c r="H332" s="468"/>
      <c r="I332" s="468"/>
      <c r="J332" s="469"/>
      <c r="K332" s="468"/>
      <c r="L332" s="468"/>
      <c r="M332" s="468"/>
      <c r="N332" s="468"/>
      <c r="O332" s="468"/>
      <c r="P332" s="468"/>
      <c r="Q332" s="468"/>
      <c r="R332" s="375"/>
      <c r="S332" s="415"/>
      <c r="T332" s="415"/>
      <c r="U332" s="377"/>
      <c r="V332" s="377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</row>
    <row r="333" ht="14.25" customHeight="1">
      <c r="A333" s="1"/>
      <c r="B333" s="1"/>
      <c r="C333" s="1"/>
      <c r="D333" s="468"/>
      <c r="E333" s="468"/>
      <c r="F333" s="468"/>
      <c r="G333" s="468"/>
      <c r="H333" s="468"/>
      <c r="I333" s="468"/>
      <c r="J333" s="469"/>
      <c r="K333" s="468"/>
      <c r="L333" s="468"/>
      <c r="M333" s="468"/>
      <c r="N333" s="468"/>
      <c r="O333" s="468"/>
      <c r="P333" s="468"/>
      <c r="Q333" s="468"/>
      <c r="R333" s="375"/>
      <c r="S333" s="415"/>
      <c r="T333" s="415"/>
      <c r="U333" s="377"/>
      <c r="V333" s="377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</row>
    <row r="334" ht="14.25" customHeight="1">
      <c r="A334" s="1"/>
      <c r="B334" s="1"/>
      <c r="C334" s="1"/>
      <c r="D334" s="468"/>
      <c r="E334" s="468"/>
      <c r="F334" s="468"/>
      <c r="G334" s="468"/>
      <c r="H334" s="468"/>
      <c r="I334" s="468"/>
      <c r="J334" s="469"/>
      <c r="K334" s="468"/>
      <c r="L334" s="468"/>
      <c r="M334" s="468"/>
      <c r="N334" s="468"/>
      <c r="O334" s="468"/>
      <c r="P334" s="468"/>
      <c r="Q334" s="468"/>
      <c r="R334" s="375"/>
      <c r="S334" s="415"/>
      <c r="T334" s="415"/>
      <c r="U334" s="377"/>
      <c r="V334" s="377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</row>
    <row r="335" ht="14.25" customHeight="1">
      <c r="A335" s="1"/>
      <c r="B335" s="1"/>
      <c r="C335" s="1"/>
      <c r="D335" s="468"/>
      <c r="E335" s="468"/>
      <c r="F335" s="468"/>
      <c r="G335" s="468"/>
      <c r="H335" s="468"/>
      <c r="I335" s="468"/>
      <c r="J335" s="469"/>
      <c r="K335" s="468"/>
      <c r="L335" s="468"/>
      <c r="M335" s="468"/>
      <c r="N335" s="468"/>
      <c r="O335" s="468"/>
      <c r="P335" s="468"/>
      <c r="Q335" s="468"/>
      <c r="R335" s="375"/>
      <c r="S335" s="415"/>
      <c r="T335" s="415"/>
      <c r="U335" s="377"/>
      <c r="V335" s="377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</row>
    <row r="336" ht="14.25" customHeight="1">
      <c r="A336" s="1"/>
      <c r="B336" s="1"/>
      <c r="C336" s="1"/>
      <c r="D336" s="468"/>
      <c r="E336" s="468"/>
      <c r="F336" s="468"/>
      <c r="G336" s="468"/>
      <c r="H336" s="468"/>
      <c r="I336" s="468"/>
      <c r="J336" s="469"/>
      <c r="K336" s="468"/>
      <c r="L336" s="468"/>
      <c r="M336" s="468"/>
      <c r="N336" s="468"/>
      <c r="O336" s="468"/>
      <c r="P336" s="468"/>
      <c r="Q336" s="468"/>
      <c r="R336" s="375"/>
      <c r="S336" s="415"/>
      <c r="T336" s="415"/>
      <c r="U336" s="377"/>
      <c r="V336" s="377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</row>
    <row r="337" ht="14.25" customHeight="1">
      <c r="A337" s="1"/>
      <c r="B337" s="1"/>
      <c r="C337" s="1"/>
      <c r="D337" s="468"/>
      <c r="E337" s="468"/>
      <c r="F337" s="468"/>
      <c r="G337" s="468"/>
      <c r="H337" s="468"/>
      <c r="I337" s="468"/>
      <c r="J337" s="469"/>
      <c r="K337" s="468"/>
      <c r="L337" s="468"/>
      <c r="M337" s="468"/>
      <c r="N337" s="468"/>
      <c r="O337" s="468"/>
      <c r="P337" s="468"/>
      <c r="Q337" s="468"/>
      <c r="R337" s="375"/>
      <c r="S337" s="415"/>
      <c r="T337" s="415"/>
      <c r="U337" s="377"/>
      <c r="V337" s="377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</row>
    <row r="338" ht="14.25" customHeight="1">
      <c r="A338" s="1"/>
      <c r="B338" s="1"/>
      <c r="C338" s="1"/>
      <c r="D338" s="468"/>
      <c r="E338" s="468"/>
      <c r="F338" s="468"/>
      <c r="G338" s="468"/>
      <c r="H338" s="468"/>
      <c r="I338" s="468"/>
      <c r="J338" s="469"/>
      <c r="K338" s="468"/>
      <c r="L338" s="468"/>
      <c r="M338" s="468"/>
      <c r="N338" s="468"/>
      <c r="O338" s="468"/>
      <c r="P338" s="468"/>
      <c r="Q338" s="468"/>
      <c r="R338" s="375"/>
      <c r="S338" s="415"/>
      <c r="T338" s="415"/>
      <c r="U338" s="377"/>
      <c r="V338" s="377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</row>
    <row r="339" ht="14.25" customHeight="1">
      <c r="A339" s="1"/>
      <c r="B339" s="1"/>
      <c r="C339" s="1"/>
      <c r="D339" s="468"/>
      <c r="E339" s="468"/>
      <c r="F339" s="468"/>
      <c r="G339" s="468"/>
      <c r="H339" s="468"/>
      <c r="I339" s="468"/>
      <c r="J339" s="469"/>
      <c r="K339" s="468"/>
      <c r="L339" s="468"/>
      <c r="M339" s="468"/>
      <c r="N339" s="468"/>
      <c r="O339" s="468"/>
      <c r="P339" s="468"/>
      <c r="Q339" s="468"/>
      <c r="R339" s="375"/>
      <c r="S339" s="415"/>
      <c r="T339" s="415"/>
      <c r="U339" s="377"/>
      <c r="V339" s="377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</row>
    <row r="340" ht="14.25" customHeight="1">
      <c r="A340" s="1"/>
      <c r="B340" s="1"/>
      <c r="C340" s="1"/>
      <c r="D340" s="468"/>
      <c r="E340" s="468"/>
      <c r="F340" s="468"/>
      <c r="G340" s="468"/>
      <c r="H340" s="468"/>
      <c r="I340" s="468"/>
      <c r="J340" s="469"/>
      <c r="K340" s="468"/>
      <c r="L340" s="468"/>
      <c r="M340" s="468"/>
      <c r="N340" s="468"/>
      <c r="O340" s="468"/>
      <c r="P340" s="468"/>
      <c r="Q340" s="468"/>
      <c r="R340" s="375"/>
      <c r="S340" s="415"/>
      <c r="T340" s="415"/>
      <c r="U340" s="377"/>
      <c r="V340" s="377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</row>
    <row r="341" ht="14.25" customHeight="1">
      <c r="A341" s="1"/>
      <c r="B341" s="1"/>
      <c r="C341" s="1"/>
      <c r="D341" s="468"/>
      <c r="E341" s="468"/>
      <c r="F341" s="468"/>
      <c r="G341" s="468"/>
      <c r="H341" s="468"/>
      <c r="I341" s="468"/>
      <c r="J341" s="469"/>
      <c r="K341" s="468"/>
      <c r="L341" s="468"/>
      <c r="M341" s="468"/>
      <c r="N341" s="468"/>
      <c r="O341" s="468"/>
      <c r="P341" s="468"/>
      <c r="Q341" s="468"/>
      <c r="R341" s="375"/>
      <c r="S341" s="415"/>
      <c r="T341" s="415"/>
      <c r="U341" s="377"/>
      <c r="V341" s="377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</row>
    <row r="342" ht="14.25" customHeight="1">
      <c r="A342" s="1"/>
      <c r="B342" s="1"/>
      <c r="C342" s="1"/>
      <c r="D342" s="468"/>
      <c r="E342" s="468"/>
      <c r="F342" s="468"/>
      <c r="G342" s="468"/>
      <c r="H342" s="468"/>
      <c r="I342" s="468"/>
      <c r="J342" s="469"/>
      <c r="K342" s="468"/>
      <c r="L342" s="468"/>
      <c r="M342" s="468"/>
      <c r="N342" s="468"/>
      <c r="O342" s="468"/>
      <c r="P342" s="468"/>
      <c r="Q342" s="468"/>
      <c r="R342" s="375"/>
      <c r="S342" s="415"/>
      <c r="T342" s="415"/>
      <c r="U342" s="377"/>
      <c r="V342" s="377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</row>
    <row r="343" ht="14.25" customHeight="1">
      <c r="A343" s="1"/>
      <c r="B343" s="1"/>
      <c r="C343" s="1"/>
      <c r="D343" s="468"/>
      <c r="E343" s="468"/>
      <c r="F343" s="468"/>
      <c r="G343" s="468"/>
      <c r="H343" s="468"/>
      <c r="I343" s="468"/>
      <c r="J343" s="469"/>
      <c r="K343" s="468"/>
      <c r="L343" s="468"/>
      <c r="M343" s="468"/>
      <c r="N343" s="468"/>
      <c r="O343" s="468"/>
      <c r="P343" s="468"/>
      <c r="Q343" s="468"/>
      <c r="R343" s="375"/>
      <c r="S343" s="415"/>
      <c r="T343" s="415"/>
      <c r="U343" s="377"/>
      <c r="V343" s="377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</row>
    <row r="344" ht="14.25" customHeight="1">
      <c r="A344" s="1"/>
      <c r="B344" s="1"/>
      <c r="C344" s="1"/>
      <c r="D344" s="468"/>
      <c r="E344" s="468"/>
      <c r="F344" s="468"/>
      <c r="G344" s="468"/>
      <c r="H344" s="468"/>
      <c r="I344" s="468"/>
      <c r="J344" s="469"/>
      <c r="K344" s="468"/>
      <c r="L344" s="468"/>
      <c r="M344" s="468"/>
      <c r="N344" s="468"/>
      <c r="O344" s="468"/>
      <c r="P344" s="468"/>
      <c r="Q344" s="468"/>
      <c r="R344" s="375"/>
      <c r="S344" s="415"/>
      <c r="T344" s="415"/>
      <c r="U344" s="377"/>
      <c r="V344" s="377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</row>
    <row r="345" ht="14.25" customHeight="1">
      <c r="A345" s="1"/>
      <c r="B345" s="1"/>
      <c r="C345" s="1"/>
      <c r="D345" s="468"/>
      <c r="E345" s="468"/>
      <c r="F345" s="468"/>
      <c r="G345" s="468"/>
      <c r="H345" s="468"/>
      <c r="I345" s="468"/>
      <c r="J345" s="469"/>
      <c r="K345" s="468"/>
      <c r="L345" s="468"/>
      <c r="M345" s="468"/>
      <c r="N345" s="468"/>
      <c r="O345" s="468"/>
      <c r="P345" s="468"/>
      <c r="Q345" s="468"/>
      <c r="R345" s="375"/>
      <c r="S345" s="415"/>
      <c r="T345" s="415"/>
      <c r="U345" s="377"/>
      <c r="V345" s="377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</row>
    <row r="346" ht="14.25" customHeight="1">
      <c r="A346" s="1"/>
      <c r="B346" s="1"/>
      <c r="C346" s="1"/>
      <c r="D346" s="468"/>
      <c r="E346" s="468"/>
      <c r="F346" s="468"/>
      <c r="G346" s="468"/>
      <c r="H346" s="468"/>
      <c r="I346" s="468"/>
      <c r="J346" s="469"/>
      <c r="K346" s="468"/>
      <c r="L346" s="468"/>
      <c r="M346" s="468"/>
      <c r="N346" s="468"/>
      <c r="O346" s="468"/>
      <c r="P346" s="468"/>
      <c r="Q346" s="468"/>
      <c r="R346" s="375"/>
      <c r="S346" s="415"/>
      <c r="T346" s="415"/>
      <c r="U346" s="377"/>
      <c r="V346" s="377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</row>
    <row r="347" ht="14.25" customHeight="1">
      <c r="A347" s="1"/>
      <c r="B347" s="1"/>
      <c r="C347" s="1"/>
      <c r="D347" s="468"/>
      <c r="E347" s="468"/>
      <c r="F347" s="468"/>
      <c r="G347" s="468"/>
      <c r="H347" s="468"/>
      <c r="I347" s="468"/>
      <c r="J347" s="469"/>
      <c r="K347" s="468"/>
      <c r="L347" s="468"/>
      <c r="M347" s="468"/>
      <c r="N347" s="468"/>
      <c r="O347" s="468"/>
      <c r="P347" s="468"/>
      <c r="Q347" s="468"/>
      <c r="R347" s="375"/>
      <c r="S347" s="415"/>
      <c r="T347" s="415"/>
      <c r="U347" s="377"/>
      <c r="V347" s="377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</row>
    <row r="348" ht="14.25" customHeight="1">
      <c r="A348" s="1"/>
      <c r="B348" s="1"/>
      <c r="C348" s="1"/>
      <c r="D348" s="468"/>
      <c r="E348" s="468"/>
      <c r="F348" s="468"/>
      <c r="G348" s="468"/>
      <c r="H348" s="468"/>
      <c r="I348" s="468"/>
      <c r="J348" s="469"/>
      <c r="K348" s="468"/>
      <c r="L348" s="468"/>
      <c r="M348" s="468"/>
      <c r="N348" s="468"/>
      <c r="O348" s="468"/>
      <c r="P348" s="468"/>
      <c r="Q348" s="468"/>
      <c r="R348" s="375"/>
      <c r="S348" s="415"/>
      <c r="T348" s="415"/>
      <c r="U348" s="377"/>
      <c r="V348" s="377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</row>
    <row r="349" ht="14.25" customHeight="1">
      <c r="A349" s="1"/>
      <c r="B349" s="1"/>
      <c r="C349" s="1"/>
      <c r="D349" s="468"/>
      <c r="E349" s="468"/>
      <c r="F349" s="468"/>
      <c r="G349" s="468"/>
      <c r="H349" s="468"/>
      <c r="I349" s="468"/>
      <c r="J349" s="469"/>
      <c r="K349" s="468"/>
      <c r="L349" s="468"/>
      <c r="M349" s="468"/>
      <c r="N349" s="468"/>
      <c r="O349" s="468"/>
      <c r="P349" s="468"/>
      <c r="Q349" s="468"/>
      <c r="R349" s="375"/>
      <c r="S349" s="415"/>
      <c r="T349" s="415"/>
      <c r="U349" s="377"/>
      <c r="V349" s="377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</row>
    <row r="350" ht="14.25" customHeight="1">
      <c r="A350" s="1"/>
      <c r="B350" s="1"/>
      <c r="C350" s="1"/>
      <c r="D350" s="468"/>
      <c r="E350" s="468"/>
      <c r="F350" s="468"/>
      <c r="G350" s="468"/>
      <c r="H350" s="468"/>
      <c r="I350" s="468"/>
      <c r="J350" s="469"/>
      <c r="K350" s="468"/>
      <c r="L350" s="468"/>
      <c r="M350" s="468"/>
      <c r="N350" s="468"/>
      <c r="O350" s="468"/>
      <c r="P350" s="468"/>
      <c r="Q350" s="468"/>
      <c r="R350" s="375"/>
      <c r="S350" s="415"/>
      <c r="T350" s="415"/>
      <c r="U350" s="377"/>
      <c r="V350" s="377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</row>
    <row r="351" ht="14.25" customHeight="1">
      <c r="A351" s="1"/>
      <c r="B351" s="1"/>
      <c r="C351" s="1"/>
      <c r="D351" s="468"/>
      <c r="E351" s="468"/>
      <c r="F351" s="468"/>
      <c r="G351" s="468"/>
      <c r="H351" s="468"/>
      <c r="I351" s="468"/>
      <c r="J351" s="469"/>
      <c r="K351" s="468"/>
      <c r="L351" s="468"/>
      <c r="M351" s="468"/>
      <c r="N351" s="468"/>
      <c r="O351" s="468"/>
      <c r="P351" s="468"/>
      <c r="Q351" s="468"/>
      <c r="R351" s="375"/>
      <c r="S351" s="415"/>
      <c r="T351" s="415"/>
      <c r="U351" s="377"/>
      <c r="V351" s="377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</row>
    <row r="352" ht="14.25" customHeight="1">
      <c r="A352" s="1"/>
      <c r="B352" s="1"/>
      <c r="C352" s="1"/>
      <c r="D352" s="468"/>
      <c r="E352" s="468"/>
      <c r="F352" s="468"/>
      <c r="G352" s="468"/>
      <c r="H352" s="468"/>
      <c r="I352" s="468"/>
      <c r="J352" s="469"/>
      <c r="K352" s="468"/>
      <c r="L352" s="468"/>
      <c r="M352" s="468"/>
      <c r="N352" s="468"/>
      <c r="O352" s="468"/>
      <c r="P352" s="468"/>
      <c r="Q352" s="468"/>
      <c r="R352" s="375"/>
      <c r="S352" s="415"/>
      <c r="T352" s="415"/>
      <c r="U352" s="377"/>
      <c r="V352" s="377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</row>
    <row r="353" ht="14.25" customHeight="1">
      <c r="A353" s="1"/>
      <c r="B353" s="1"/>
      <c r="C353" s="1"/>
      <c r="D353" s="468"/>
      <c r="E353" s="468"/>
      <c r="F353" s="468"/>
      <c r="G353" s="468"/>
      <c r="H353" s="468"/>
      <c r="I353" s="468"/>
      <c r="J353" s="469"/>
      <c r="K353" s="468"/>
      <c r="L353" s="468"/>
      <c r="M353" s="468"/>
      <c r="N353" s="468"/>
      <c r="O353" s="468"/>
      <c r="P353" s="468"/>
      <c r="Q353" s="468"/>
      <c r="R353" s="375"/>
      <c r="S353" s="415"/>
      <c r="T353" s="415"/>
      <c r="U353" s="377"/>
      <c r="V353" s="377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</row>
    <row r="354" ht="14.25" customHeight="1">
      <c r="A354" s="1"/>
      <c r="B354" s="1"/>
      <c r="C354" s="1"/>
      <c r="D354" s="468"/>
      <c r="E354" s="468"/>
      <c r="F354" s="468"/>
      <c r="G354" s="468"/>
      <c r="H354" s="468"/>
      <c r="I354" s="468"/>
      <c r="J354" s="469"/>
      <c r="K354" s="468"/>
      <c r="L354" s="468"/>
      <c r="M354" s="468"/>
      <c r="N354" s="468"/>
      <c r="O354" s="468"/>
      <c r="P354" s="468"/>
      <c r="Q354" s="468"/>
      <c r="R354" s="375"/>
      <c r="S354" s="415"/>
      <c r="T354" s="415"/>
      <c r="U354" s="377"/>
      <c r="V354" s="377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</row>
    <row r="355" ht="14.25" customHeight="1">
      <c r="A355" s="1"/>
      <c r="B355" s="1"/>
      <c r="C355" s="1"/>
      <c r="D355" s="468"/>
      <c r="E355" s="468"/>
      <c r="F355" s="468"/>
      <c r="G355" s="468"/>
      <c r="H355" s="468"/>
      <c r="I355" s="468"/>
      <c r="J355" s="469"/>
      <c r="K355" s="468"/>
      <c r="L355" s="468"/>
      <c r="M355" s="468"/>
      <c r="N355" s="468"/>
      <c r="O355" s="468"/>
      <c r="P355" s="468"/>
      <c r="Q355" s="468"/>
      <c r="R355" s="375"/>
      <c r="S355" s="415"/>
      <c r="T355" s="415"/>
      <c r="U355" s="377"/>
      <c r="V355" s="377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</row>
    <row r="356" ht="14.25" customHeight="1">
      <c r="A356" s="1"/>
      <c r="B356" s="1"/>
      <c r="C356" s="1"/>
      <c r="D356" s="468"/>
      <c r="E356" s="468"/>
      <c r="F356" s="468"/>
      <c r="G356" s="468"/>
      <c r="H356" s="468"/>
      <c r="I356" s="468"/>
      <c r="J356" s="469"/>
      <c r="K356" s="468"/>
      <c r="L356" s="468"/>
      <c r="M356" s="468"/>
      <c r="N356" s="468"/>
      <c r="O356" s="468"/>
      <c r="P356" s="468"/>
      <c r="Q356" s="468"/>
      <c r="R356" s="375"/>
      <c r="S356" s="415"/>
      <c r="T356" s="415"/>
      <c r="U356" s="377"/>
      <c r="V356" s="377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</row>
    <row r="357" ht="14.25" customHeight="1">
      <c r="A357" s="1"/>
      <c r="B357" s="1"/>
      <c r="C357" s="1"/>
      <c r="D357" s="468"/>
      <c r="E357" s="468"/>
      <c r="F357" s="468"/>
      <c r="G357" s="468"/>
      <c r="H357" s="468"/>
      <c r="I357" s="468"/>
      <c r="J357" s="469"/>
      <c r="K357" s="468"/>
      <c r="L357" s="468"/>
      <c r="M357" s="468"/>
      <c r="N357" s="468"/>
      <c r="O357" s="468"/>
      <c r="P357" s="468"/>
      <c r="Q357" s="468"/>
      <c r="R357" s="375"/>
      <c r="S357" s="415"/>
      <c r="T357" s="415"/>
      <c r="U357" s="377"/>
      <c r="V357" s="377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</row>
    <row r="358" ht="14.25" customHeight="1">
      <c r="A358" s="1"/>
      <c r="B358" s="1"/>
      <c r="C358" s="1"/>
      <c r="D358" s="468"/>
      <c r="E358" s="468"/>
      <c r="F358" s="468"/>
      <c r="G358" s="468"/>
      <c r="H358" s="468"/>
      <c r="I358" s="468"/>
      <c r="J358" s="469"/>
      <c r="K358" s="468"/>
      <c r="L358" s="468"/>
      <c r="M358" s="468"/>
      <c r="N358" s="468"/>
      <c r="O358" s="468"/>
      <c r="P358" s="468"/>
      <c r="Q358" s="468"/>
      <c r="R358" s="375"/>
      <c r="S358" s="415"/>
      <c r="T358" s="415"/>
      <c r="U358" s="377"/>
      <c r="V358" s="377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</row>
    <row r="359" ht="14.25" customHeight="1">
      <c r="A359" s="1"/>
      <c r="B359" s="1"/>
      <c r="C359" s="1"/>
      <c r="D359" s="468"/>
      <c r="E359" s="468"/>
      <c r="F359" s="468"/>
      <c r="G359" s="468"/>
      <c r="H359" s="468"/>
      <c r="I359" s="468"/>
      <c r="J359" s="469"/>
      <c r="K359" s="468"/>
      <c r="L359" s="468"/>
      <c r="M359" s="468"/>
      <c r="N359" s="468"/>
      <c r="O359" s="468"/>
      <c r="P359" s="468"/>
      <c r="Q359" s="468"/>
      <c r="R359" s="375"/>
      <c r="S359" s="415"/>
      <c r="T359" s="415"/>
      <c r="U359" s="377"/>
      <c r="V359" s="377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</row>
    <row r="360" ht="14.25" customHeight="1">
      <c r="A360" s="1"/>
      <c r="B360" s="1"/>
      <c r="C360" s="1"/>
      <c r="D360" s="468"/>
      <c r="E360" s="468"/>
      <c r="F360" s="468"/>
      <c r="G360" s="468"/>
      <c r="H360" s="468"/>
      <c r="I360" s="468"/>
      <c r="J360" s="469"/>
      <c r="K360" s="468"/>
      <c r="L360" s="468"/>
      <c r="M360" s="468"/>
      <c r="N360" s="468"/>
      <c r="O360" s="468"/>
      <c r="P360" s="468"/>
      <c r="Q360" s="468"/>
      <c r="R360" s="375"/>
      <c r="S360" s="415"/>
      <c r="T360" s="415"/>
      <c r="U360" s="377"/>
      <c r="V360" s="377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</row>
    <row r="361" ht="14.25" customHeight="1">
      <c r="A361" s="1"/>
      <c r="B361" s="1"/>
      <c r="C361" s="1"/>
      <c r="D361" s="468"/>
      <c r="E361" s="468"/>
      <c r="F361" s="468"/>
      <c r="G361" s="468"/>
      <c r="H361" s="468"/>
      <c r="I361" s="468"/>
      <c r="J361" s="469"/>
      <c r="K361" s="468"/>
      <c r="L361" s="468"/>
      <c r="M361" s="468"/>
      <c r="N361" s="468"/>
      <c r="O361" s="468"/>
      <c r="P361" s="468"/>
      <c r="Q361" s="468"/>
      <c r="R361" s="375"/>
      <c r="S361" s="415"/>
      <c r="T361" s="415"/>
      <c r="U361" s="377"/>
      <c r="V361" s="377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</row>
    <row r="362" ht="14.25" customHeight="1">
      <c r="A362" s="1"/>
      <c r="B362" s="1"/>
      <c r="C362" s="1"/>
      <c r="D362" s="468"/>
      <c r="E362" s="468"/>
      <c r="F362" s="468"/>
      <c r="G362" s="468"/>
      <c r="H362" s="468"/>
      <c r="I362" s="468"/>
      <c r="J362" s="469"/>
      <c r="K362" s="468"/>
      <c r="L362" s="468"/>
      <c r="M362" s="468"/>
      <c r="N362" s="468"/>
      <c r="O362" s="468"/>
      <c r="P362" s="468"/>
      <c r="Q362" s="468"/>
      <c r="R362" s="375"/>
      <c r="S362" s="415"/>
      <c r="T362" s="415"/>
      <c r="U362" s="377"/>
      <c r="V362" s="377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</row>
    <row r="363" ht="14.25" customHeight="1">
      <c r="A363" s="1"/>
      <c r="B363" s="1"/>
      <c r="C363" s="1"/>
      <c r="D363" s="468"/>
      <c r="E363" s="468"/>
      <c r="F363" s="468"/>
      <c r="G363" s="468"/>
      <c r="H363" s="468"/>
      <c r="I363" s="468"/>
      <c r="J363" s="469"/>
      <c r="K363" s="468"/>
      <c r="L363" s="468"/>
      <c r="M363" s="468"/>
      <c r="N363" s="468"/>
      <c r="O363" s="468"/>
      <c r="P363" s="468"/>
      <c r="Q363" s="468"/>
      <c r="R363" s="375"/>
      <c r="S363" s="415"/>
      <c r="T363" s="415"/>
      <c r="U363" s="377"/>
      <c r="V363" s="377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</row>
    <row r="364" ht="14.25" customHeight="1">
      <c r="A364" s="1"/>
      <c r="B364" s="1"/>
      <c r="C364" s="1"/>
      <c r="D364" s="468"/>
      <c r="E364" s="468"/>
      <c r="F364" s="468"/>
      <c r="G364" s="468"/>
      <c r="H364" s="468"/>
      <c r="I364" s="468"/>
      <c r="J364" s="469"/>
      <c r="K364" s="468"/>
      <c r="L364" s="468"/>
      <c r="M364" s="468"/>
      <c r="N364" s="468"/>
      <c r="O364" s="468"/>
      <c r="P364" s="468"/>
      <c r="Q364" s="468"/>
      <c r="R364" s="375"/>
      <c r="S364" s="415"/>
      <c r="T364" s="415"/>
      <c r="U364" s="377"/>
      <c r="V364" s="377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</row>
    <row r="365" ht="14.25" customHeight="1">
      <c r="A365" s="1"/>
      <c r="B365" s="1"/>
      <c r="C365" s="1"/>
      <c r="D365" s="468"/>
      <c r="E365" s="468"/>
      <c r="F365" s="468"/>
      <c r="G365" s="468"/>
      <c r="H365" s="468"/>
      <c r="I365" s="468"/>
      <c r="J365" s="469"/>
      <c r="K365" s="468"/>
      <c r="L365" s="468"/>
      <c r="M365" s="468"/>
      <c r="N365" s="468"/>
      <c r="O365" s="468"/>
      <c r="P365" s="468"/>
      <c r="Q365" s="468"/>
      <c r="R365" s="375"/>
      <c r="S365" s="415"/>
      <c r="T365" s="415"/>
      <c r="U365" s="377"/>
      <c r="V365" s="377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</row>
    <row r="366" ht="14.25" customHeight="1">
      <c r="A366" s="1"/>
      <c r="B366" s="1"/>
      <c r="C366" s="1"/>
      <c r="D366" s="468"/>
      <c r="E366" s="468"/>
      <c r="F366" s="468"/>
      <c r="G366" s="468"/>
      <c r="H366" s="468"/>
      <c r="I366" s="468"/>
      <c r="J366" s="469"/>
      <c r="K366" s="468"/>
      <c r="L366" s="468"/>
      <c r="M366" s="468"/>
      <c r="N366" s="468"/>
      <c r="O366" s="468"/>
      <c r="P366" s="468"/>
      <c r="Q366" s="468"/>
      <c r="R366" s="375"/>
      <c r="S366" s="415"/>
      <c r="T366" s="415"/>
      <c r="U366" s="377"/>
      <c r="V366" s="377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</row>
    <row r="367" ht="14.25" customHeight="1">
      <c r="A367" s="1"/>
      <c r="B367" s="1"/>
      <c r="C367" s="1"/>
      <c r="D367" s="468"/>
      <c r="E367" s="468"/>
      <c r="F367" s="468"/>
      <c r="G367" s="468"/>
      <c r="H367" s="468"/>
      <c r="I367" s="468"/>
      <c r="J367" s="469"/>
      <c r="K367" s="468"/>
      <c r="L367" s="468"/>
      <c r="M367" s="468"/>
      <c r="N367" s="468"/>
      <c r="O367" s="468"/>
      <c r="P367" s="468"/>
      <c r="Q367" s="468"/>
      <c r="R367" s="375"/>
      <c r="S367" s="415"/>
      <c r="T367" s="415"/>
      <c r="U367" s="377"/>
      <c r="V367" s="377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</row>
    <row r="368" ht="14.25" customHeight="1">
      <c r="A368" s="1"/>
      <c r="B368" s="1"/>
      <c r="C368" s="1"/>
      <c r="D368" s="468"/>
      <c r="E368" s="468"/>
      <c r="F368" s="468"/>
      <c r="G368" s="468"/>
      <c r="H368" s="468"/>
      <c r="I368" s="468"/>
      <c r="J368" s="469"/>
      <c r="K368" s="468"/>
      <c r="L368" s="468"/>
      <c r="M368" s="468"/>
      <c r="N368" s="468"/>
      <c r="O368" s="468"/>
      <c r="P368" s="468"/>
      <c r="Q368" s="468"/>
      <c r="R368" s="375"/>
      <c r="S368" s="415"/>
      <c r="T368" s="415"/>
      <c r="U368" s="377"/>
      <c r="V368" s="377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</row>
    <row r="369" ht="14.25" customHeight="1">
      <c r="A369" s="1"/>
      <c r="B369" s="1"/>
      <c r="C369" s="1"/>
      <c r="D369" s="468"/>
      <c r="E369" s="468"/>
      <c r="F369" s="468"/>
      <c r="G369" s="468"/>
      <c r="H369" s="468"/>
      <c r="I369" s="468"/>
      <c r="J369" s="469"/>
      <c r="K369" s="468"/>
      <c r="L369" s="468"/>
      <c r="M369" s="468"/>
      <c r="N369" s="468"/>
      <c r="O369" s="468"/>
      <c r="P369" s="468"/>
      <c r="Q369" s="468"/>
      <c r="R369" s="375"/>
      <c r="S369" s="415"/>
      <c r="T369" s="415"/>
      <c r="U369" s="377"/>
      <c r="V369" s="377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</row>
    <row r="370" ht="14.25" customHeight="1">
      <c r="A370" s="1"/>
      <c r="B370" s="1"/>
      <c r="C370" s="1"/>
      <c r="D370" s="468"/>
      <c r="E370" s="468"/>
      <c r="F370" s="468"/>
      <c r="G370" s="468"/>
      <c r="H370" s="468"/>
      <c r="I370" s="468"/>
      <c r="J370" s="469"/>
      <c r="K370" s="468"/>
      <c r="L370" s="468"/>
      <c r="M370" s="468"/>
      <c r="N370" s="468"/>
      <c r="O370" s="468"/>
      <c r="P370" s="468"/>
      <c r="Q370" s="468"/>
      <c r="R370" s="375"/>
      <c r="S370" s="415"/>
      <c r="T370" s="415"/>
      <c r="U370" s="377"/>
      <c r="V370" s="377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</row>
    <row r="371" ht="14.25" customHeight="1">
      <c r="A371" s="1"/>
      <c r="B371" s="1"/>
      <c r="C371" s="1"/>
      <c r="D371" s="468"/>
      <c r="E371" s="468"/>
      <c r="F371" s="468"/>
      <c r="G371" s="468"/>
      <c r="H371" s="468"/>
      <c r="I371" s="468"/>
      <c r="J371" s="469"/>
      <c r="K371" s="468"/>
      <c r="L371" s="468"/>
      <c r="M371" s="468"/>
      <c r="N371" s="468"/>
      <c r="O371" s="468"/>
      <c r="P371" s="468"/>
      <c r="Q371" s="468"/>
      <c r="R371" s="375"/>
      <c r="S371" s="415"/>
      <c r="T371" s="415"/>
      <c r="U371" s="377"/>
      <c r="V371" s="377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</row>
    <row r="372" ht="14.25" customHeight="1">
      <c r="A372" s="1"/>
      <c r="B372" s="1"/>
      <c r="C372" s="1"/>
      <c r="D372" s="468"/>
      <c r="E372" s="468"/>
      <c r="F372" s="468"/>
      <c r="G372" s="468"/>
      <c r="H372" s="468"/>
      <c r="I372" s="468"/>
      <c r="J372" s="469"/>
      <c r="K372" s="468"/>
      <c r="L372" s="468"/>
      <c r="M372" s="468"/>
      <c r="N372" s="468"/>
      <c r="O372" s="468"/>
      <c r="P372" s="468"/>
      <c r="Q372" s="468"/>
      <c r="R372" s="375"/>
      <c r="S372" s="415"/>
      <c r="T372" s="415"/>
      <c r="U372" s="377"/>
      <c r="V372" s="377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</row>
    <row r="373" ht="14.25" customHeight="1">
      <c r="A373" s="1"/>
      <c r="B373" s="1"/>
      <c r="C373" s="1"/>
      <c r="D373" s="468"/>
      <c r="E373" s="468"/>
      <c r="F373" s="468"/>
      <c r="G373" s="468"/>
      <c r="H373" s="468"/>
      <c r="I373" s="468"/>
      <c r="J373" s="469"/>
      <c r="K373" s="468"/>
      <c r="L373" s="468"/>
      <c r="M373" s="468"/>
      <c r="N373" s="468"/>
      <c r="O373" s="468"/>
      <c r="P373" s="468"/>
      <c r="Q373" s="468"/>
      <c r="R373" s="375"/>
      <c r="S373" s="415"/>
      <c r="T373" s="415"/>
      <c r="U373" s="377"/>
      <c r="V373" s="377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</row>
    <row r="374" ht="14.25" customHeight="1">
      <c r="A374" s="1"/>
      <c r="B374" s="1"/>
      <c r="C374" s="1"/>
      <c r="D374" s="468"/>
      <c r="E374" s="468"/>
      <c r="F374" s="468"/>
      <c r="G374" s="468"/>
      <c r="H374" s="468"/>
      <c r="I374" s="468"/>
      <c r="J374" s="469"/>
      <c r="K374" s="468"/>
      <c r="L374" s="468"/>
      <c r="M374" s="468"/>
      <c r="N374" s="468"/>
      <c r="O374" s="468"/>
      <c r="P374" s="468"/>
      <c r="Q374" s="468"/>
      <c r="R374" s="375"/>
      <c r="S374" s="415"/>
      <c r="T374" s="415"/>
      <c r="U374" s="377"/>
      <c r="V374" s="377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</row>
    <row r="375" ht="14.25" customHeight="1">
      <c r="A375" s="1"/>
      <c r="B375" s="1"/>
      <c r="C375" s="1"/>
      <c r="D375" s="468"/>
      <c r="E375" s="468"/>
      <c r="F375" s="468"/>
      <c r="G375" s="468"/>
      <c r="H375" s="468"/>
      <c r="I375" s="468"/>
      <c r="J375" s="469"/>
      <c r="K375" s="468"/>
      <c r="L375" s="468"/>
      <c r="M375" s="468"/>
      <c r="N375" s="468"/>
      <c r="O375" s="468"/>
      <c r="P375" s="468"/>
      <c r="Q375" s="468"/>
      <c r="R375" s="375"/>
      <c r="S375" s="415"/>
      <c r="T375" s="415"/>
      <c r="U375" s="377"/>
      <c r="V375" s="377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</row>
    <row r="376" ht="14.25" customHeight="1">
      <c r="A376" s="1"/>
      <c r="B376" s="1"/>
      <c r="C376" s="1"/>
      <c r="D376" s="468"/>
      <c r="E376" s="468"/>
      <c r="F376" s="468"/>
      <c r="G376" s="468"/>
      <c r="H376" s="468"/>
      <c r="I376" s="468"/>
      <c r="J376" s="469"/>
      <c r="K376" s="468"/>
      <c r="L376" s="468"/>
      <c r="M376" s="468"/>
      <c r="N376" s="468"/>
      <c r="O376" s="468"/>
      <c r="P376" s="468"/>
      <c r="Q376" s="468"/>
      <c r="R376" s="375"/>
      <c r="S376" s="415"/>
      <c r="T376" s="415"/>
      <c r="U376" s="377"/>
      <c r="V376" s="377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</row>
    <row r="377" ht="14.25" customHeight="1">
      <c r="A377" s="1"/>
      <c r="B377" s="1"/>
      <c r="C377" s="1"/>
      <c r="D377" s="468"/>
      <c r="E377" s="468"/>
      <c r="F377" s="468"/>
      <c r="G377" s="468"/>
      <c r="H377" s="468"/>
      <c r="I377" s="468"/>
      <c r="J377" s="469"/>
      <c r="K377" s="468"/>
      <c r="L377" s="468"/>
      <c r="M377" s="468"/>
      <c r="N377" s="468"/>
      <c r="O377" s="468"/>
      <c r="P377" s="468"/>
      <c r="Q377" s="468"/>
      <c r="R377" s="375"/>
      <c r="S377" s="415"/>
      <c r="T377" s="415"/>
      <c r="U377" s="377"/>
      <c r="V377" s="377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</row>
    <row r="378" ht="14.25" customHeight="1">
      <c r="A378" s="1"/>
      <c r="B378" s="1"/>
      <c r="C378" s="1"/>
      <c r="D378" s="468"/>
      <c r="E378" s="468"/>
      <c r="F378" s="468"/>
      <c r="G378" s="468"/>
      <c r="H378" s="468"/>
      <c r="I378" s="468"/>
      <c r="J378" s="469"/>
      <c r="K378" s="468"/>
      <c r="L378" s="468"/>
      <c r="M378" s="468"/>
      <c r="N378" s="468"/>
      <c r="O378" s="468"/>
      <c r="P378" s="468"/>
      <c r="Q378" s="468"/>
      <c r="R378" s="375"/>
      <c r="S378" s="415"/>
      <c r="T378" s="415"/>
      <c r="U378" s="377"/>
      <c r="V378" s="377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</row>
    <row r="379" ht="14.25" customHeight="1">
      <c r="A379" s="1"/>
      <c r="B379" s="1"/>
      <c r="C379" s="1"/>
      <c r="D379" s="468"/>
      <c r="E379" s="468"/>
      <c r="F379" s="468"/>
      <c r="G379" s="468"/>
      <c r="H379" s="468"/>
      <c r="I379" s="468"/>
      <c r="J379" s="469"/>
      <c r="K379" s="468"/>
      <c r="L379" s="468"/>
      <c r="M379" s="468"/>
      <c r="N379" s="468"/>
      <c r="O379" s="468"/>
      <c r="P379" s="468"/>
      <c r="Q379" s="468"/>
      <c r="R379" s="375"/>
      <c r="S379" s="415"/>
      <c r="T379" s="415"/>
      <c r="U379" s="377"/>
      <c r="V379" s="377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</row>
    <row r="380" ht="14.25" customHeight="1">
      <c r="A380" s="1"/>
      <c r="B380" s="1"/>
      <c r="C380" s="1"/>
      <c r="D380" s="468"/>
      <c r="E380" s="468"/>
      <c r="F380" s="468"/>
      <c r="G380" s="468"/>
      <c r="H380" s="468"/>
      <c r="I380" s="468"/>
      <c r="J380" s="469"/>
      <c r="K380" s="468"/>
      <c r="L380" s="468"/>
      <c r="M380" s="468"/>
      <c r="N380" s="468"/>
      <c r="O380" s="468"/>
      <c r="P380" s="468"/>
      <c r="Q380" s="468"/>
      <c r="R380" s="375"/>
      <c r="S380" s="415"/>
      <c r="T380" s="415"/>
      <c r="U380" s="377"/>
      <c r="V380" s="377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</row>
    <row r="381" ht="14.25" customHeight="1">
      <c r="A381" s="1"/>
      <c r="B381" s="1"/>
      <c r="C381" s="1"/>
      <c r="D381" s="468"/>
      <c r="E381" s="468"/>
      <c r="F381" s="468"/>
      <c r="G381" s="468"/>
      <c r="H381" s="468"/>
      <c r="I381" s="468"/>
      <c r="J381" s="469"/>
      <c r="K381" s="468"/>
      <c r="L381" s="468"/>
      <c r="M381" s="468"/>
      <c r="N381" s="468"/>
      <c r="O381" s="468"/>
      <c r="P381" s="468"/>
      <c r="Q381" s="468"/>
      <c r="R381" s="375"/>
      <c r="S381" s="415"/>
      <c r="T381" s="415"/>
      <c r="U381" s="377"/>
      <c r="V381" s="377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</row>
    <row r="382" ht="14.25" customHeight="1">
      <c r="A382" s="1"/>
      <c r="B382" s="1"/>
      <c r="C382" s="1"/>
      <c r="D382" s="468"/>
      <c r="E382" s="468"/>
      <c r="F382" s="468"/>
      <c r="G382" s="468"/>
      <c r="H382" s="468"/>
      <c r="I382" s="468"/>
      <c r="J382" s="469"/>
      <c r="K382" s="468"/>
      <c r="L382" s="468"/>
      <c r="M382" s="468"/>
      <c r="N382" s="468"/>
      <c r="O382" s="468"/>
      <c r="P382" s="468"/>
      <c r="Q382" s="468"/>
      <c r="R382" s="375"/>
      <c r="S382" s="415"/>
      <c r="T382" s="415"/>
      <c r="U382" s="377"/>
      <c r="V382" s="377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</row>
    <row r="383" ht="14.25" customHeight="1">
      <c r="A383" s="1"/>
      <c r="B383" s="1"/>
      <c r="C383" s="1"/>
      <c r="D383" s="468"/>
      <c r="E383" s="468"/>
      <c r="F383" s="468"/>
      <c r="G383" s="468"/>
      <c r="H383" s="468"/>
      <c r="I383" s="468"/>
      <c r="J383" s="469"/>
      <c r="K383" s="468"/>
      <c r="L383" s="468"/>
      <c r="M383" s="468"/>
      <c r="N383" s="468"/>
      <c r="O383" s="468"/>
      <c r="P383" s="468"/>
      <c r="Q383" s="468"/>
      <c r="R383" s="375"/>
      <c r="S383" s="415"/>
      <c r="T383" s="415"/>
      <c r="U383" s="377"/>
      <c r="V383" s="377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</row>
    <row r="384" ht="14.25" customHeight="1">
      <c r="A384" s="1"/>
      <c r="B384" s="1"/>
      <c r="C384" s="1"/>
      <c r="D384" s="468"/>
      <c r="E384" s="468"/>
      <c r="F384" s="468"/>
      <c r="G384" s="468"/>
      <c r="H384" s="468"/>
      <c r="I384" s="468"/>
      <c r="J384" s="469"/>
      <c r="K384" s="468"/>
      <c r="L384" s="468"/>
      <c r="M384" s="468"/>
      <c r="N384" s="468"/>
      <c r="O384" s="468"/>
      <c r="P384" s="468"/>
      <c r="Q384" s="468"/>
      <c r="R384" s="375"/>
      <c r="S384" s="415"/>
      <c r="T384" s="415"/>
      <c r="U384" s="377"/>
      <c r="V384" s="377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</row>
    <row r="385" ht="14.25" customHeight="1">
      <c r="A385" s="1"/>
      <c r="B385" s="1"/>
      <c r="C385" s="1"/>
      <c r="D385" s="468"/>
      <c r="E385" s="468"/>
      <c r="F385" s="468"/>
      <c r="G385" s="468"/>
      <c r="H385" s="468"/>
      <c r="I385" s="468"/>
      <c r="J385" s="469"/>
      <c r="K385" s="468"/>
      <c r="L385" s="468"/>
      <c r="M385" s="468"/>
      <c r="N385" s="468"/>
      <c r="O385" s="468"/>
      <c r="P385" s="468"/>
      <c r="Q385" s="468"/>
      <c r="R385" s="375"/>
      <c r="S385" s="415"/>
      <c r="T385" s="415"/>
      <c r="U385" s="377"/>
      <c r="V385" s="377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</row>
    <row r="386" ht="14.25" customHeight="1">
      <c r="A386" s="1"/>
      <c r="B386" s="1"/>
      <c r="C386" s="1"/>
      <c r="D386" s="468"/>
      <c r="E386" s="468"/>
      <c r="F386" s="468"/>
      <c r="G386" s="468"/>
      <c r="H386" s="468"/>
      <c r="I386" s="468"/>
      <c r="J386" s="469"/>
      <c r="K386" s="468"/>
      <c r="L386" s="468"/>
      <c r="M386" s="468"/>
      <c r="N386" s="468"/>
      <c r="O386" s="468"/>
      <c r="P386" s="468"/>
      <c r="Q386" s="468"/>
      <c r="R386" s="375"/>
      <c r="S386" s="415"/>
      <c r="T386" s="415"/>
      <c r="U386" s="377"/>
      <c r="V386" s="377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</row>
    <row r="387" ht="14.25" customHeight="1">
      <c r="A387" s="1"/>
      <c r="B387" s="1"/>
      <c r="C387" s="1"/>
      <c r="D387" s="468"/>
      <c r="E387" s="468"/>
      <c r="F387" s="468"/>
      <c r="G387" s="468"/>
      <c r="H387" s="468"/>
      <c r="I387" s="468"/>
      <c r="J387" s="469"/>
      <c r="K387" s="468"/>
      <c r="L387" s="468"/>
      <c r="M387" s="468"/>
      <c r="N387" s="468"/>
      <c r="O387" s="468"/>
      <c r="P387" s="468"/>
      <c r="Q387" s="468"/>
      <c r="R387" s="375"/>
      <c r="S387" s="415"/>
      <c r="T387" s="415"/>
      <c r="U387" s="377"/>
      <c r="V387" s="377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</row>
    <row r="388" ht="14.25" customHeight="1">
      <c r="A388" s="1"/>
      <c r="B388" s="1"/>
      <c r="C388" s="1"/>
      <c r="D388" s="468"/>
      <c r="E388" s="468"/>
      <c r="F388" s="468"/>
      <c r="G388" s="468"/>
      <c r="H388" s="468"/>
      <c r="I388" s="468"/>
      <c r="J388" s="469"/>
      <c r="K388" s="468"/>
      <c r="L388" s="468"/>
      <c r="M388" s="468"/>
      <c r="N388" s="468"/>
      <c r="O388" s="468"/>
      <c r="P388" s="468"/>
      <c r="Q388" s="468"/>
      <c r="R388" s="375"/>
      <c r="S388" s="415"/>
      <c r="T388" s="415"/>
      <c r="U388" s="377"/>
      <c r="V388" s="377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</row>
    <row r="389" ht="14.25" customHeight="1">
      <c r="A389" s="1"/>
      <c r="B389" s="1"/>
      <c r="C389" s="1"/>
      <c r="D389" s="468"/>
      <c r="E389" s="468"/>
      <c r="F389" s="468"/>
      <c r="G389" s="468"/>
      <c r="H389" s="468"/>
      <c r="I389" s="468"/>
      <c r="J389" s="469"/>
      <c r="K389" s="468"/>
      <c r="L389" s="468"/>
      <c r="M389" s="468"/>
      <c r="N389" s="468"/>
      <c r="O389" s="468"/>
      <c r="P389" s="468"/>
      <c r="Q389" s="468"/>
      <c r="R389" s="375"/>
      <c r="S389" s="415"/>
      <c r="T389" s="415"/>
      <c r="U389" s="377"/>
      <c r="V389" s="377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</row>
    <row r="390" ht="14.25" customHeight="1">
      <c r="A390" s="1"/>
      <c r="B390" s="1"/>
      <c r="C390" s="1"/>
      <c r="D390" s="468"/>
      <c r="E390" s="468"/>
      <c r="F390" s="468"/>
      <c r="G390" s="468"/>
      <c r="H390" s="468"/>
      <c r="I390" s="468"/>
      <c r="J390" s="469"/>
      <c r="K390" s="468"/>
      <c r="L390" s="468"/>
      <c r="M390" s="468"/>
      <c r="N390" s="468"/>
      <c r="O390" s="468"/>
      <c r="P390" s="468"/>
      <c r="Q390" s="468"/>
      <c r="R390" s="375"/>
      <c r="S390" s="415"/>
      <c r="T390" s="415"/>
      <c r="U390" s="377"/>
      <c r="V390" s="377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</row>
    <row r="391" ht="14.25" customHeight="1">
      <c r="A391" s="1"/>
      <c r="B391" s="1"/>
      <c r="C391" s="1"/>
      <c r="D391" s="468"/>
      <c r="E391" s="468"/>
      <c r="F391" s="468"/>
      <c r="G391" s="468"/>
      <c r="H391" s="468"/>
      <c r="I391" s="468"/>
      <c r="J391" s="469"/>
      <c r="K391" s="468"/>
      <c r="L391" s="468"/>
      <c r="M391" s="468"/>
      <c r="N391" s="468"/>
      <c r="O391" s="468"/>
      <c r="P391" s="468"/>
      <c r="Q391" s="468"/>
      <c r="R391" s="375"/>
      <c r="S391" s="415"/>
      <c r="T391" s="415"/>
      <c r="U391" s="377"/>
      <c r="V391" s="377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</row>
    <row r="392" ht="14.25" customHeight="1">
      <c r="A392" s="1"/>
      <c r="B392" s="1"/>
      <c r="C392" s="1"/>
      <c r="D392" s="468"/>
      <c r="E392" s="468"/>
      <c r="F392" s="468"/>
      <c r="G392" s="468"/>
      <c r="H392" s="468"/>
      <c r="I392" s="468"/>
      <c r="J392" s="469"/>
      <c r="K392" s="468"/>
      <c r="L392" s="468"/>
      <c r="M392" s="468"/>
      <c r="N392" s="468"/>
      <c r="O392" s="468"/>
      <c r="P392" s="468"/>
      <c r="Q392" s="468"/>
      <c r="R392" s="375"/>
      <c r="S392" s="415"/>
      <c r="T392" s="415"/>
      <c r="U392" s="377"/>
      <c r="V392" s="377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</row>
    <row r="393" ht="14.25" customHeight="1">
      <c r="A393" s="1"/>
      <c r="B393" s="1"/>
      <c r="C393" s="1"/>
      <c r="D393" s="468"/>
      <c r="E393" s="468"/>
      <c r="F393" s="468"/>
      <c r="G393" s="468"/>
      <c r="H393" s="468"/>
      <c r="I393" s="468"/>
      <c r="J393" s="469"/>
      <c r="K393" s="468"/>
      <c r="L393" s="468"/>
      <c r="M393" s="468"/>
      <c r="N393" s="468"/>
      <c r="O393" s="468"/>
      <c r="P393" s="468"/>
      <c r="Q393" s="468"/>
      <c r="R393" s="375"/>
      <c r="S393" s="415"/>
      <c r="T393" s="415"/>
      <c r="U393" s="377"/>
      <c r="V393" s="377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</row>
    <row r="394" ht="14.25" customHeight="1">
      <c r="A394" s="1"/>
      <c r="B394" s="1"/>
      <c r="C394" s="1"/>
      <c r="D394" s="468"/>
      <c r="E394" s="468"/>
      <c r="F394" s="468"/>
      <c r="G394" s="468"/>
      <c r="H394" s="468"/>
      <c r="I394" s="468"/>
      <c r="J394" s="469"/>
      <c r="K394" s="468"/>
      <c r="L394" s="468"/>
      <c r="M394" s="468"/>
      <c r="N394" s="468"/>
      <c r="O394" s="468"/>
      <c r="P394" s="468"/>
      <c r="Q394" s="468"/>
      <c r="R394" s="375"/>
      <c r="S394" s="415"/>
      <c r="T394" s="415"/>
      <c r="U394" s="377"/>
      <c r="V394" s="377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</row>
    <row r="395" ht="14.25" customHeight="1">
      <c r="A395" s="1"/>
      <c r="B395" s="1"/>
      <c r="C395" s="1"/>
      <c r="D395" s="468"/>
      <c r="E395" s="468"/>
      <c r="F395" s="468"/>
      <c r="G395" s="468"/>
      <c r="H395" s="468"/>
      <c r="I395" s="468"/>
      <c r="J395" s="469"/>
      <c r="K395" s="468"/>
      <c r="L395" s="468"/>
      <c r="M395" s="468"/>
      <c r="N395" s="468"/>
      <c r="O395" s="468"/>
      <c r="P395" s="468"/>
      <c r="Q395" s="468"/>
      <c r="R395" s="375"/>
      <c r="S395" s="415"/>
      <c r="T395" s="415"/>
      <c r="U395" s="377"/>
      <c r="V395" s="377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</row>
    <row r="396" ht="14.25" customHeight="1">
      <c r="A396" s="1"/>
      <c r="B396" s="1"/>
      <c r="C396" s="1"/>
      <c r="D396" s="468"/>
      <c r="E396" s="468"/>
      <c r="F396" s="468"/>
      <c r="G396" s="468"/>
      <c r="H396" s="468"/>
      <c r="I396" s="468"/>
      <c r="J396" s="469"/>
      <c r="K396" s="468"/>
      <c r="L396" s="468"/>
      <c r="M396" s="468"/>
      <c r="N396" s="468"/>
      <c r="O396" s="468"/>
      <c r="P396" s="468"/>
      <c r="Q396" s="468"/>
      <c r="R396" s="375"/>
      <c r="S396" s="415"/>
      <c r="T396" s="415"/>
      <c r="U396" s="377"/>
      <c r="V396" s="377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</row>
    <row r="397" ht="14.25" customHeight="1">
      <c r="A397" s="1"/>
      <c r="B397" s="1"/>
      <c r="C397" s="1"/>
      <c r="D397" s="468"/>
      <c r="E397" s="468"/>
      <c r="F397" s="468"/>
      <c r="G397" s="468"/>
      <c r="H397" s="468"/>
      <c r="I397" s="468"/>
      <c r="J397" s="469"/>
      <c r="K397" s="468"/>
      <c r="L397" s="468"/>
      <c r="M397" s="468"/>
      <c r="N397" s="468"/>
      <c r="O397" s="468"/>
      <c r="P397" s="468"/>
      <c r="Q397" s="468"/>
      <c r="R397" s="375"/>
      <c r="S397" s="415"/>
      <c r="T397" s="415"/>
      <c r="U397" s="377"/>
      <c r="V397" s="377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</row>
    <row r="398" ht="14.25" customHeight="1">
      <c r="A398" s="1"/>
      <c r="B398" s="1"/>
      <c r="C398" s="1"/>
      <c r="D398" s="468"/>
      <c r="E398" s="468"/>
      <c r="F398" s="468"/>
      <c r="G398" s="468"/>
      <c r="H398" s="468"/>
      <c r="I398" s="468"/>
      <c r="J398" s="469"/>
      <c r="K398" s="468"/>
      <c r="L398" s="468"/>
      <c r="M398" s="468"/>
      <c r="N398" s="468"/>
      <c r="O398" s="468"/>
      <c r="P398" s="468"/>
      <c r="Q398" s="468"/>
      <c r="R398" s="375"/>
      <c r="S398" s="415"/>
      <c r="T398" s="415"/>
      <c r="U398" s="377"/>
      <c r="V398" s="377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</row>
    <row r="399" ht="14.25" customHeight="1">
      <c r="A399" s="1"/>
      <c r="B399" s="1"/>
      <c r="C399" s="1"/>
      <c r="D399" s="468"/>
      <c r="E399" s="468"/>
      <c r="F399" s="468"/>
      <c r="G399" s="468"/>
      <c r="H399" s="468"/>
      <c r="I399" s="468"/>
      <c r="J399" s="469"/>
      <c r="K399" s="468"/>
      <c r="L399" s="468"/>
      <c r="M399" s="468"/>
      <c r="N399" s="468"/>
      <c r="O399" s="468"/>
      <c r="P399" s="468"/>
      <c r="Q399" s="468"/>
      <c r="R399" s="375"/>
      <c r="S399" s="415"/>
      <c r="T399" s="415"/>
      <c r="U399" s="377"/>
      <c r="V399" s="377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</row>
    <row r="400" ht="14.25" customHeight="1">
      <c r="A400" s="1"/>
      <c r="B400" s="1"/>
      <c r="C400" s="1"/>
      <c r="D400" s="468"/>
      <c r="E400" s="468"/>
      <c r="F400" s="468"/>
      <c r="G400" s="468"/>
      <c r="H400" s="468"/>
      <c r="I400" s="468"/>
      <c r="J400" s="469"/>
      <c r="K400" s="468"/>
      <c r="L400" s="468"/>
      <c r="M400" s="468"/>
      <c r="N400" s="468"/>
      <c r="O400" s="468"/>
      <c r="P400" s="468"/>
      <c r="Q400" s="468"/>
      <c r="R400" s="375"/>
      <c r="S400" s="415"/>
      <c r="T400" s="415"/>
      <c r="U400" s="377"/>
      <c r="V400" s="377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</row>
    <row r="401" ht="14.25" customHeight="1">
      <c r="A401" s="1"/>
      <c r="B401" s="1"/>
      <c r="C401" s="1"/>
      <c r="D401" s="468"/>
      <c r="E401" s="468"/>
      <c r="F401" s="468"/>
      <c r="G401" s="468"/>
      <c r="H401" s="468"/>
      <c r="I401" s="468"/>
      <c r="J401" s="469"/>
      <c r="K401" s="468"/>
      <c r="L401" s="468"/>
      <c r="M401" s="468"/>
      <c r="N401" s="468"/>
      <c r="O401" s="468"/>
      <c r="P401" s="468"/>
      <c r="Q401" s="468"/>
      <c r="R401" s="375"/>
      <c r="S401" s="415"/>
      <c r="T401" s="415"/>
      <c r="U401" s="377"/>
      <c r="V401" s="377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</row>
    <row r="402" ht="14.25" customHeight="1">
      <c r="A402" s="1"/>
      <c r="B402" s="1"/>
      <c r="C402" s="1"/>
      <c r="D402" s="468"/>
      <c r="E402" s="468"/>
      <c r="F402" s="468"/>
      <c r="G402" s="468"/>
      <c r="H402" s="468"/>
      <c r="I402" s="468"/>
      <c r="J402" s="469"/>
      <c r="K402" s="468"/>
      <c r="L402" s="468"/>
      <c r="M402" s="468"/>
      <c r="N402" s="468"/>
      <c r="O402" s="468"/>
      <c r="P402" s="468"/>
      <c r="Q402" s="468"/>
      <c r="R402" s="375"/>
      <c r="S402" s="415"/>
      <c r="T402" s="415"/>
      <c r="U402" s="377"/>
      <c r="V402" s="377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</row>
    <row r="403" ht="14.25" customHeight="1">
      <c r="A403" s="1"/>
      <c r="B403" s="1"/>
      <c r="C403" s="1"/>
      <c r="D403" s="468"/>
      <c r="E403" s="468"/>
      <c r="F403" s="468"/>
      <c r="G403" s="468"/>
      <c r="H403" s="468"/>
      <c r="I403" s="468"/>
      <c r="J403" s="469"/>
      <c r="K403" s="468"/>
      <c r="L403" s="468"/>
      <c r="M403" s="468"/>
      <c r="N403" s="468"/>
      <c r="O403" s="468"/>
      <c r="P403" s="468"/>
      <c r="Q403" s="468"/>
      <c r="R403" s="375"/>
      <c r="S403" s="415"/>
      <c r="T403" s="415"/>
      <c r="U403" s="377"/>
      <c r="V403" s="377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</row>
    <row r="404" ht="14.25" customHeight="1">
      <c r="A404" s="1"/>
      <c r="B404" s="1"/>
      <c r="C404" s="1"/>
      <c r="D404" s="468"/>
      <c r="E404" s="468"/>
      <c r="F404" s="468"/>
      <c r="G404" s="468"/>
      <c r="H404" s="468"/>
      <c r="I404" s="468"/>
      <c r="J404" s="469"/>
      <c r="K404" s="468"/>
      <c r="L404" s="468"/>
      <c r="M404" s="468"/>
      <c r="N404" s="468"/>
      <c r="O404" s="468"/>
      <c r="P404" s="468"/>
      <c r="Q404" s="468"/>
      <c r="R404" s="375"/>
      <c r="S404" s="415"/>
      <c r="T404" s="415"/>
      <c r="U404" s="377"/>
      <c r="V404" s="377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</row>
    <row r="405" ht="14.25" customHeight="1">
      <c r="A405" s="1"/>
      <c r="B405" s="1"/>
      <c r="C405" s="1"/>
      <c r="D405" s="468"/>
      <c r="E405" s="468"/>
      <c r="F405" s="468"/>
      <c r="G405" s="468"/>
      <c r="H405" s="468"/>
      <c r="I405" s="468"/>
      <c r="J405" s="469"/>
      <c r="K405" s="468"/>
      <c r="L405" s="468"/>
      <c r="M405" s="468"/>
      <c r="N405" s="468"/>
      <c r="O405" s="468"/>
      <c r="P405" s="468"/>
      <c r="Q405" s="468"/>
      <c r="R405" s="375"/>
      <c r="S405" s="415"/>
      <c r="T405" s="415"/>
      <c r="U405" s="377"/>
      <c r="V405" s="377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</row>
    <row r="406" ht="14.25" customHeight="1">
      <c r="A406" s="1"/>
      <c r="B406" s="1"/>
      <c r="C406" s="1"/>
      <c r="D406" s="468"/>
      <c r="E406" s="468"/>
      <c r="F406" s="468"/>
      <c r="G406" s="468"/>
      <c r="H406" s="468"/>
      <c r="I406" s="468"/>
      <c r="J406" s="469"/>
      <c r="K406" s="468"/>
      <c r="L406" s="468"/>
      <c r="M406" s="468"/>
      <c r="N406" s="468"/>
      <c r="O406" s="468"/>
      <c r="P406" s="468"/>
      <c r="Q406" s="468"/>
      <c r="R406" s="375"/>
      <c r="S406" s="415"/>
      <c r="T406" s="415"/>
      <c r="U406" s="377"/>
      <c r="V406" s="377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</row>
    <row r="407" ht="14.25" customHeight="1">
      <c r="A407" s="1"/>
      <c r="B407" s="1"/>
      <c r="C407" s="1"/>
      <c r="D407" s="468"/>
      <c r="E407" s="468"/>
      <c r="F407" s="468"/>
      <c r="G407" s="468"/>
      <c r="H407" s="468"/>
      <c r="I407" s="468"/>
      <c r="J407" s="469"/>
      <c r="K407" s="468"/>
      <c r="L407" s="468"/>
      <c r="M407" s="468"/>
      <c r="N407" s="468"/>
      <c r="O407" s="468"/>
      <c r="P407" s="468"/>
      <c r="Q407" s="468"/>
      <c r="R407" s="375"/>
      <c r="S407" s="415"/>
      <c r="T407" s="415"/>
      <c r="U407" s="377"/>
      <c r="V407" s="377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</row>
    <row r="408" ht="14.25" customHeight="1">
      <c r="A408" s="1"/>
      <c r="B408" s="1"/>
      <c r="C408" s="1"/>
      <c r="D408" s="468"/>
      <c r="E408" s="468"/>
      <c r="F408" s="468"/>
      <c r="G408" s="468"/>
      <c r="H408" s="468"/>
      <c r="I408" s="468"/>
      <c r="J408" s="469"/>
      <c r="K408" s="468"/>
      <c r="L408" s="468"/>
      <c r="M408" s="468"/>
      <c r="N408" s="468"/>
      <c r="O408" s="468"/>
      <c r="P408" s="468"/>
      <c r="Q408" s="468"/>
      <c r="R408" s="375"/>
      <c r="S408" s="415"/>
      <c r="T408" s="415"/>
      <c r="U408" s="377"/>
      <c r="V408" s="377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</row>
    <row r="409" ht="14.25" customHeight="1">
      <c r="A409" s="1"/>
      <c r="B409" s="1"/>
      <c r="C409" s="1"/>
      <c r="D409" s="468"/>
      <c r="E409" s="468"/>
      <c r="F409" s="468"/>
      <c r="G409" s="468"/>
      <c r="H409" s="468"/>
      <c r="I409" s="468"/>
      <c r="J409" s="469"/>
      <c r="K409" s="468"/>
      <c r="L409" s="468"/>
      <c r="M409" s="468"/>
      <c r="N409" s="468"/>
      <c r="O409" s="468"/>
      <c r="P409" s="468"/>
      <c r="Q409" s="468"/>
      <c r="R409" s="375"/>
      <c r="S409" s="415"/>
      <c r="T409" s="415"/>
      <c r="U409" s="377"/>
      <c r="V409" s="377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</row>
    <row r="410" ht="14.25" customHeight="1">
      <c r="A410" s="1"/>
      <c r="B410" s="1"/>
      <c r="C410" s="1"/>
      <c r="D410" s="468"/>
      <c r="E410" s="468"/>
      <c r="F410" s="468"/>
      <c r="G410" s="468"/>
      <c r="H410" s="468"/>
      <c r="I410" s="468"/>
      <c r="J410" s="469"/>
      <c r="K410" s="468"/>
      <c r="L410" s="468"/>
      <c r="M410" s="468"/>
      <c r="N410" s="468"/>
      <c r="O410" s="468"/>
      <c r="P410" s="468"/>
      <c r="Q410" s="468"/>
      <c r="R410" s="375"/>
      <c r="S410" s="415"/>
      <c r="T410" s="415"/>
      <c r="U410" s="377"/>
      <c r="V410" s="377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</row>
    <row r="411" ht="14.25" customHeight="1">
      <c r="A411" s="1"/>
      <c r="B411" s="1"/>
      <c r="C411" s="1"/>
      <c r="D411" s="468"/>
      <c r="E411" s="468"/>
      <c r="F411" s="468"/>
      <c r="G411" s="468"/>
      <c r="H411" s="468"/>
      <c r="I411" s="468"/>
      <c r="J411" s="469"/>
      <c r="K411" s="468"/>
      <c r="L411" s="468"/>
      <c r="M411" s="468"/>
      <c r="N411" s="468"/>
      <c r="O411" s="468"/>
      <c r="P411" s="468"/>
      <c r="Q411" s="468"/>
      <c r="R411" s="375"/>
      <c r="S411" s="415"/>
      <c r="T411" s="415"/>
      <c r="U411" s="377"/>
      <c r="V411" s="377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</row>
    <row r="412" ht="14.25" customHeight="1">
      <c r="A412" s="1"/>
      <c r="B412" s="1"/>
      <c r="C412" s="1"/>
      <c r="D412" s="468"/>
      <c r="E412" s="468"/>
      <c r="F412" s="468"/>
      <c r="G412" s="468"/>
      <c r="H412" s="468"/>
      <c r="I412" s="468"/>
      <c r="J412" s="469"/>
      <c r="K412" s="468"/>
      <c r="L412" s="468"/>
      <c r="M412" s="468"/>
      <c r="N412" s="468"/>
      <c r="O412" s="468"/>
      <c r="P412" s="468"/>
      <c r="Q412" s="468"/>
      <c r="R412" s="375"/>
      <c r="S412" s="415"/>
      <c r="T412" s="415"/>
      <c r="U412" s="377"/>
      <c r="V412" s="377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</row>
    <row r="413" ht="14.25" customHeight="1">
      <c r="A413" s="1"/>
      <c r="B413" s="1"/>
      <c r="C413" s="1"/>
      <c r="D413" s="468"/>
      <c r="E413" s="468"/>
      <c r="F413" s="468"/>
      <c r="G413" s="468"/>
      <c r="H413" s="468"/>
      <c r="I413" s="468"/>
      <c r="J413" s="469"/>
      <c r="K413" s="468"/>
      <c r="L413" s="468"/>
      <c r="M413" s="468"/>
      <c r="N413" s="468"/>
      <c r="O413" s="468"/>
      <c r="P413" s="468"/>
      <c r="Q413" s="468"/>
      <c r="R413" s="375"/>
      <c r="S413" s="415"/>
      <c r="T413" s="415"/>
      <c r="U413" s="377"/>
      <c r="V413" s="377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</row>
    <row r="414" ht="14.25" customHeight="1">
      <c r="A414" s="1"/>
      <c r="B414" s="1"/>
      <c r="C414" s="1"/>
      <c r="D414" s="468"/>
      <c r="E414" s="468"/>
      <c r="F414" s="468"/>
      <c r="G414" s="468"/>
      <c r="H414" s="468"/>
      <c r="I414" s="468"/>
      <c r="J414" s="469"/>
      <c r="K414" s="468"/>
      <c r="L414" s="468"/>
      <c r="M414" s="468"/>
      <c r="N414" s="468"/>
      <c r="O414" s="468"/>
      <c r="P414" s="468"/>
      <c r="Q414" s="468"/>
      <c r="R414" s="375"/>
      <c r="S414" s="415"/>
      <c r="T414" s="415"/>
      <c r="U414" s="377"/>
      <c r="V414" s="377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</row>
    <row r="415" ht="14.25" customHeight="1">
      <c r="A415" s="1"/>
      <c r="B415" s="1"/>
      <c r="C415" s="1"/>
      <c r="D415" s="468"/>
      <c r="E415" s="468"/>
      <c r="F415" s="468"/>
      <c r="G415" s="468"/>
      <c r="H415" s="468"/>
      <c r="I415" s="468"/>
      <c r="J415" s="469"/>
      <c r="K415" s="468"/>
      <c r="L415" s="468"/>
      <c r="M415" s="468"/>
      <c r="N415" s="468"/>
      <c r="O415" s="468"/>
      <c r="P415" s="468"/>
      <c r="Q415" s="468"/>
      <c r="R415" s="375"/>
      <c r="S415" s="415"/>
      <c r="T415" s="415"/>
      <c r="U415" s="377"/>
      <c r="V415" s="377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</row>
    <row r="416" ht="14.25" customHeight="1">
      <c r="A416" s="1"/>
      <c r="B416" s="1"/>
      <c r="C416" s="1"/>
      <c r="D416" s="468"/>
      <c r="E416" s="468"/>
      <c r="F416" s="468"/>
      <c r="G416" s="468"/>
      <c r="H416" s="468"/>
      <c r="I416" s="468"/>
      <c r="J416" s="469"/>
      <c r="K416" s="468"/>
      <c r="L416" s="468"/>
      <c r="M416" s="468"/>
      <c r="N416" s="468"/>
      <c r="O416" s="468"/>
      <c r="P416" s="468"/>
      <c r="Q416" s="468"/>
      <c r="R416" s="375"/>
      <c r="S416" s="415"/>
      <c r="T416" s="415"/>
      <c r="U416" s="377"/>
      <c r="V416" s="377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</row>
    <row r="417" ht="14.25" customHeight="1">
      <c r="A417" s="1"/>
      <c r="B417" s="1"/>
      <c r="C417" s="1"/>
      <c r="D417" s="468"/>
      <c r="E417" s="468"/>
      <c r="F417" s="468"/>
      <c r="G417" s="468"/>
      <c r="H417" s="468"/>
      <c r="I417" s="468"/>
      <c r="J417" s="469"/>
      <c r="K417" s="468"/>
      <c r="L417" s="468"/>
      <c r="M417" s="468"/>
      <c r="N417" s="468"/>
      <c r="O417" s="468"/>
      <c r="P417" s="468"/>
      <c r="Q417" s="468"/>
      <c r="R417" s="375"/>
      <c r="S417" s="415"/>
      <c r="T417" s="415"/>
      <c r="U417" s="377"/>
      <c r="V417" s="377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</row>
    <row r="418" ht="14.25" customHeight="1">
      <c r="A418" s="1"/>
      <c r="B418" s="1"/>
      <c r="C418" s="1"/>
      <c r="D418" s="468"/>
      <c r="E418" s="468"/>
      <c r="F418" s="468"/>
      <c r="G418" s="468"/>
      <c r="H418" s="468"/>
      <c r="I418" s="468"/>
      <c r="J418" s="469"/>
      <c r="K418" s="468"/>
      <c r="L418" s="468"/>
      <c r="M418" s="468"/>
      <c r="N418" s="468"/>
      <c r="O418" s="468"/>
      <c r="P418" s="468"/>
      <c r="Q418" s="468"/>
      <c r="R418" s="375"/>
      <c r="S418" s="415"/>
      <c r="T418" s="415"/>
      <c r="U418" s="377"/>
      <c r="V418" s="377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</row>
    <row r="419" ht="14.25" customHeight="1">
      <c r="A419" s="1"/>
      <c r="B419" s="1"/>
      <c r="C419" s="1"/>
      <c r="D419" s="468"/>
      <c r="E419" s="468"/>
      <c r="F419" s="468"/>
      <c r="G419" s="468"/>
      <c r="H419" s="468"/>
      <c r="I419" s="468"/>
      <c r="J419" s="469"/>
      <c r="K419" s="468"/>
      <c r="L419" s="468"/>
      <c r="M419" s="468"/>
      <c r="N419" s="468"/>
      <c r="O419" s="468"/>
      <c r="P419" s="468"/>
      <c r="Q419" s="468"/>
      <c r="R419" s="375"/>
      <c r="S419" s="415"/>
      <c r="T419" s="415"/>
      <c r="U419" s="377"/>
      <c r="V419" s="377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</row>
    <row r="420" ht="14.25" customHeight="1">
      <c r="A420" s="1"/>
      <c r="B420" s="1"/>
      <c r="C420" s="1"/>
      <c r="D420" s="468"/>
      <c r="E420" s="468"/>
      <c r="F420" s="468"/>
      <c r="G420" s="468"/>
      <c r="H420" s="468"/>
      <c r="I420" s="468"/>
      <c r="J420" s="469"/>
      <c r="K420" s="468"/>
      <c r="L420" s="468"/>
      <c r="M420" s="468"/>
      <c r="N420" s="468"/>
      <c r="O420" s="468"/>
      <c r="P420" s="468"/>
      <c r="Q420" s="468"/>
      <c r="R420" s="375"/>
      <c r="S420" s="415"/>
      <c r="T420" s="415"/>
      <c r="U420" s="377"/>
      <c r="V420" s="377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</row>
    <row r="421" ht="14.25" customHeight="1">
      <c r="A421" s="1"/>
      <c r="B421" s="1"/>
      <c r="C421" s="1"/>
      <c r="D421" s="468"/>
      <c r="E421" s="468"/>
      <c r="F421" s="468"/>
      <c r="G421" s="468"/>
      <c r="H421" s="468"/>
      <c r="I421" s="468"/>
      <c r="J421" s="469"/>
      <c r="K421" s="468"/>
      <c r="L421" s="468"/>
      <c r="M421" s="468"/>
      <c r="N421" s="468"/>
      <c r="O421" s="468"/>
      <c r="P421" s="468"/>
      <c r="Q421" s="468"/>
      <c r="R421" s="375"/>
      <c r="S421" s="415"/>
      <c r="T421" s="415"/>
      <c r="U421" s="377"/>
      <c r="V421" s="377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</row>
    <row r="422" ht="14.25" customHeight="1">
      <c r="A422" s="1"/>
      <c r="B422" s="1"/>
      <c r="C422" s="1"/>
      <c r="D422" s="468"/>
      <c r="E422" s="468"/>
      <c r="F422" s="468"/>
      <c r="G422" s="468"/>
      <c r="H422" s="468"/>
      <c r="I422" s="468"/>
      <c r="J422" s="469"/>
      <c r="K422" s="468"/>
      <c r="L422" s="468"/>
      <c r="M422" s="468"/>
      <c r="N422" s="468"/>
      <c r="O422" s="468"/>
      <c r="P422" s="468"/>
      <c r="Q422" s="468"/>
      <c r="R422" s="375"/>
      <c r="S422" s="415"/>
      <c r="T422" s="415"/>
      <c r="U422" s="377"/>
      <c r="V422" s="377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</row>
    <row r="423" ht="14.25" customHeight="1">
      <c r="A423" s="1"/>
      <c r="B423" s="1"/>
      <c r="C423" s="1"/>
      <c r="D423" s="468"/>
      <c r="E423" s="468"/>
      <c r="F423" s="468"/>
      <c r="G423" s="468"/>
      <c r="H423" s="468"/>
      <c r="I423" s="468"/>
      <c r="J423" s="469"/>
      <c r="K423" s="468"/>
      <c r="L423" s="468"/>
      <c r="M423" s="468"/>
      <c r="N423" s="468"/>
      <c r="O423" s="468"/>
      <c r="P423" s="468"/>
      <c r="Q423" s="468"/>
      <c r="R423" s="375"/>
      <c r="S423" s="415"/>
      <c r="T423" s="415"/>
      <c r="U423" s="377"/>
      <c r="V423" s="377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</row>
    <row r="424" ht="14.25" customHeight="1">
      <c r="A424" s="1"/>
      <c r="B424" s="1"/>
      <c r="C424" s="1"/>
      <c r="D424" s="468"/>
      <c r="E424" s="468"/>
      <c r="F424" s="468"/>
      <c r="G424" s="468"/>
      <c r="H424" s="468"/>
      <c r="I424" s="468"/>
      <c r="J424" s="469"/>
      <c r="K424" s="468"/>
      <c r="L424" s="468"/>
      <c r="M424" s="468"/>
      <c r="N424" s="468"/>
      <c r="O424" s="468"/>
      <c r="P424" s="468"/>
      <c r="Q424" s="468"/>
      <c r="R424" s="375"/>
      <c r="S424" s="415"/>
      <c r="T424" s="415"/>
      <c r="U424" s="377"/>
      <c r="V424" s="377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</row>
    <row r="425" ht="14.25" customHeight="1">
      <c r="A425" s="1"/>
      <c r="B425" s="1"/>
      <c r="C425" s="1"/>
      <c r="D425" s="468"/>
      <c r="E425" s="468"/>
      <c r="F425" s="468"/>
      <c r="G425" s="468"/>
      <c r="H425" s="468"/>
      <c r="I425" s="468"/>
      <c r="J425" s="469"/>
      <c r="K425" s="468"/>
      <c r="L425" s="468"/>
      <c r="M425" s="468"/>
      <c r="N425" s="468"/>
      <c r="O425" s="468"/>
      <c r="P425" s="468"/>
      <c r="Q425" s="468"/>
      <c r="R425" s="375"/>
      <c r="S425" s="415"/>
      <c r="T425" s="415"/>
      <c r="U425" s="377"/>
      <c r="V425" s="377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</row>
    <row r="426" ht="14.25" customHeight="1">
      <c r="A426" s="1"/>
      <c r="B426" s="1"/>
      <c r="C426" s="1"/>
      <c r="D426" s="468"/>
      <c r="E426" s="468"/>
      <c r="F426" s="468"/>
      <c r="G426" s="468"/>
      <c r="H426" s="468"/>
      <c r="I426" s="468"/>
      <c r="J426" s="469"/>
      <c r="K426" s="468"/>
      <c r="L426" s="468"/>
      <c r="M426" s="468"/>
      <c r="N426" s="468"/>
      <c r="O426" s="468"/>
      <c r="P426" s="468"/>
      <c r="Q426" s="468"/>
      <c r="R426" s="375"/>
      <c r="S426" s="415"/>
      <c r="T426" s="415"/>
      <c r="U426" s="377"/>
      <c r="V426" s="377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</row>
    <row r="427" ht="14.25" customHeight="1">
      <c r="A427" s="1"/>
      <c r="B427" s="1"/>
      <c r="C427" s="1"/>
      <c r="D427" s="468"/>
      <c r="E427" s="468"/>
      <c r="F427" s="468"/>
      <c r="G427" s="468"/>
      <c r="H427" s="468"/>
      <c r="I427" s="468"/>
      <c r="J427" s="469"/>
      <c r="K427" s="468"/>
      <c r="L427" s="468"/>
      <c r="M427" s="468"/>
      <c r="N427" s="468"/>
      <c r="O427" s="468"/>
      <c r="P427" s="468"/>
      <c r="Q427" s="468"/>
      <c r="R427" s="375"/>
      <c r="S427" s="415"/>
      <c r="T427" s="415"/>
      <c r="U427" s="377"/>
      <c r="V427" s="377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</row>
    <row r="428" ht="14.25" customHeight="1">
      <c r="A428" s="1"/>
      <c r="B428" s="1"/>
      <c r="C428" s="1"/>
      <c r="D428" s="468"/>
      <c r="E428" s="468"/>
      <c r="F428" s="468"/>
      <c r="G428" s="468"/>
      <c r="H428" s="468"/>
      <c r="I428" s="468"/>
      <c r="J428" s="469"/>
      <c r="K428" s="468"/>
      <c r="L428" s="468"/>
      <c r="M428" s="468"/>
      <c r="N428" s="468"/>
      <c r="O428" s="468"/>
      <c r="P428" s="468"/>
      <c r="Q428" s="468"/>
      <c r="R428" s="375"/>
      <c r="S428" s="415"/>
      <c r="T428" s="415"/>
      <c r="U428" s="377"/>
      <c r="V428" s="377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</row>
    <row r="429" ht="14.25" customHeight="1">
      <c r="A429" s="1"/>
      <c r="B429" s="1"/>
      <c r="C429" s="1"/>
      <c r="D429" s="468"/>
      <c r="E429" s="468"/>
      <c r="F429" s="468"/>
      <c r="G429" s="468"/>
      <c r="H429" s="468"/>
      <c r="I429" s="468"/>
      <c r="J429" s="469"/>
      <c r="K429" s="468"/>
      <c r="L429" s="468"/>
      <c r="M429" s="468"/>
      <c r="N429" s="468"/>
      <c r="O429" s="468"/>
      <c r="P429" s="468"/>
      <c r="Q429" s="468"/>
      <c r="R429" s="375"/>
      <c r="S429" s="415"/>
      <c r="T429" s="415"/>
      <c r="U429" s="377"/>
      <c r="V429" s="377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</row>
    <row r="430" ht="14.25" customHeight="1">
      <c r="A430" s="1"/>
      <c r="B430" s="1"/>
      <c r="C430" s="1"/>
      <c r="D430" s="468"/>
      <c r="E430" s="468"/>
      <c r="F430" s="468"/>
      <c r="G430" s="468"/>
      <c r="H430" s="468"/>
      <c r="I430" s="468"/>
      <c r="J430" s="469"/>
      <c r="K430" s="468"/>
      <c r="L430" s="468"/>
      <c r="M430" s="468"/>
      <c r="N430" s="468"/>
      <c r="O430" s="468"/>
      <c r="P430" s="468"/>
      <c r="Q430" s="468"/>
      <c r="R430" s="375"/>
      <c r="S430" s="415"/>
      <c r="T430" s="415"/>
      <c r="U430" s="377"/>
      <c r="V430" s="377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</row>
    <row r="431" ht="14.25" customHeight="1">
      <c r="A431" s="1"/>
      <c r="B431" s="1"/>
      <c r="C431" s="1"/>
      <c r="D431" s="468"/>
      <c r="E431" s="468"/>
      <c r="F431" s="468"/>
      <c r="G431" s="468"/>
      <c r="H431" s="468"/>
      <c r="I431" s="468"/>
      <c r="J431" s="469"/>
      <c r="K431" s="468"/>
      <c r="L431" s="468"/>
      <c r="M431" s="468"/>
      <c r="N431" s="468"/>
      <c r="O431" s="468"/>
      <c r="P431" s="468"/>
      <c r="Q431" s="468"/>
      <c r="R431" s="375"/>
      <c r="S431" s="415"/>
      <c r="T431" s="415"/>
      <c r="U431" s="377"/>
      <c r="V431" s="377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</row>
    <row r="432" ht="14.25" customHeight="1">
      <c r="A432" s="1"/>
      <c r="B432" s="1"/>
      <c r="C432" s="1"/>
      <c r="D432" s="468"/>
      <c r="E432" s="468"/>
      <c r="F432" s="468"/>
      <c r="G432" s="468"/>
      <c r="H432" s="468"/>
      <c r="I432" s="468"/>
      <c r="J432" s="469"/>
      <c r="K432" s="468"/>
      <c r="L432" s="468"/>
      <c r="M432" s="468"/>
      <c r="N432" s="468"/>
      <c r="O432" s="468"/>
      <c r="P432" s="468"/>
      <c r="Q432" s="468"/>
      <c r="R432" s="375"/>
      <c r="S432" s="415"/>
      <c r="T432" s="415"/>
      <c r="U432" s="377"/>
      <c r="V432" s="377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</row>
    <row r="433" ht="14.25" customHeight="1">
      <c r="A433" s="1"/>
      <c r="B433" s="1"/>
      <c r="C433" s="1"/>
      <c r="D433" s="468"/>
      <c r="E433" s="468"/>
      <c r="F433" s="468"/>
      <c r="G433" s="468"/>
      <c r="H433" s="468"/>
      <c r="I433" s="468"/>
      <c r="J433" s="469"/>
      <c r="K433" s="468"/>
      <c r="L433" s="468"/>
      <c r="M433" s="468"/>
      <c r="N433" s="468"/>
      <c r="O433" s="468"/>
      <c r="P433" s="468"/>
      <c r="Q433" s="468"/>
      <c r="R433" s="375"/>
      <c r="S433" s="415"/>
      <c r="T433" s="415"/>
      <c r="U433" s="377"/>
      <c r="V433" s="377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</row>
    <row r="434" ht="14.25" customHeight="1">
      <c r="A434" s="1"/>
      <c r="B434" s="1"/>
      <c r="C434" s="1"/>
      <c r="D434" s="468"/>
      <c r="E434" s="468"/>
      <c r="F434" s="468"/>
      <c r="G434" s="468"/>
      <c r="H434" s="468"/>
      <c r="I434" s="468"/>
      <c r="J434" s="469"/>
      <c r="K434" s="468"/>
      <c r="L434" s="468"/>
      <c r="M434" s="468"/>
      <c r="N434" s="468"/>
      <c r="O434" s="468"/>
      <c r="P434" s="468"/>
      <c r="Q434" s="468"/>
      <c r="R434" s="375"/>
      <c r="S434" s="415"/>
      <c r="T434" s="415"/>
      <c r="U434" s="377"/>
      <c r="V434" s="377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</row>
    <row r="435" ht="14.25" customHeight="1">
      <c r="A435" s="1"/>
      <c r="B435" s="1"/>
      <c r="C435" s="1"/>
      <c r="D435" s="468"/>
      <c r="E435" s="468"/>
      <c r="F435" s="468"/>
      <c r="G435" s="468"/>
      <c r="H435" s="468"/>
      <c r="I435" s="468"/>
      <c r="J435" s="469"/>
      <c r="K435" s="468"/>
      <c r="L435" s="468"/>
      <c r="M435" s="468"/>
      <c r="N435" s="468"/>
      <c r="O435" s="468"/>
      <c r="P435" s="468"/>
      <c r="Q435" s="468"/>
      <c r="R435" s="375"/>
      <c r="S435" s="415"/>
      <c r="T435" s="415"/>
      <c r="U435" s="377"/>
      <c r="V435" s="377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</row>
    <row r="436" ht="14.25" customHeight="1">
      <c r="A436" s="1"/>
      <c r="B436" s="1"/>
      <c r="C436" s="1"/>
      <c r="D436" s="468"/>
      <c r="E436" s="468"/>
      <c r="F436" s="468"/>
      <c r="G436" s="468"/>
      <c r="H436" s="468"/>
      <c r="I436" s="468"/>
      <c r="J436" s="469"/>
      <c r="K436" s="468"/>
      <c r="L436" s="468"/>
      <c r="M436" s="468"/>
      <c r="N436" s="468"/>
      <c r="O436" s="468"/>
      <c r="P436" s="468"/>
      <c r="Q436" s="468"/>
      <c r="R436" s="375"/>
      <c r="S436" s="415"/>
      <c r="T436" s="415"/>
      <c r="U436" s="377"/>
      <c r="V436" s="377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</row>
    <row r="437" ht="14.25" customHeight="1">
      <c r="A437" s="1"/>
      <c r="B437" s="1"/>
      <c r="C437" s="1"/>
      <c r="D437" s="468"/>
      <c r="E437" s="468"/>
      <c r="F437" s="468"/>
      <c r="G437" s="468"/>
      <c r="H437" s="468"/>
      <c r="I437" s="468"/>
      <c r="J437" s="469"/>
      <c r="K437" s="468"/>
      <c r="L437" s="468"/>
      <c r="M437" s="468"/>
      <c r="N437" s="468"/>
      <c r="O437" s="468"/>
      <c r="P437" s="468"/>
      <c r="Q437" s="468"/>
      <c r="R437" s="375"/>
      <c r="S437" s="415"/>
      <c r="T437" s="415"/>
      <c r="U437" s="377"/>
      <c r="V437" s="377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</row>
    <row r="438" ht="14.25" customHeight="1">
      <c r="A438" s="1"/>
      <c r="B438" s="1"/>
      <c r="C438" s="1"/>
      <c r="D438" s="468"/>
      <c r="E438" s="468"/>
      <c r="F438" s="468"/>
      <c r="G438" s="468"/>
      <c r="H438" s="468"/>
      <c r="I438" s="468"/>
      <c r="J438" s="469"/>
      <c r="K438" s="468"/>
      <c r="L438" s="468"/>
      <c r="M438" s="468"/>
      <c r="N438" s="468"/>
      <c r="O438" s="468"/>
      <c r="P438" s="468"/>
      <c r="Q438" s="468"/>
      <c r="R438" s="375"/>
      <c r="S438" s="415"/>
      <c r="T438" s="415"/>
      <c r="U438" s="377"/>
      <c r="V438" s="377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</row>
    <row r="439" ht="14.25" customHeight="1">
      <c r="A439" s="1"/>
      <c r="B439" s="1"/>
      <c r="C439" s="1"/>
      <c r="D439" s="468"/>
      <c r="E439" s="468"/>
      <c r="F439" s="468"/>
      <c r="G439" s="468"/>
      <c r="H439" s="468"/>
      <c r="I439" s="468"/>
      <c r="J439" s="469"/>
      <c r="K439" s="468"/>
      <c r="L439" s="468"/>
      <c r="M439" s="468"/>
      <c r="N439" s="468"/>
      <c r="O439" s="468"/>
      <c r="P439" s="468"/>
      <c r="Q439" s="468"/>
      <c r="R439" s="375"/>
      <c r="S439" s="415"/>
      <c r="T439" s="415"/>
      <c r="U439" s="377"/>
      <c r="V439" s="377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</row>
    <row r="440" ht="14.25" customHeight="1">
      <c r="A440" s="1"/>
      <c r="B440" s="1"/>
      <c r="C440" s="1"/>
      <c r="D440" s="468"/>
      <c r="E440" s="468"/>
      <c r="F440" s="468"/>
      <c r="G440" s="468"/>
      <c r="H440" s="468"/>
      <c r="I440" s="468"/>
      <c r="J440" s="469"/>
      <c r="K440" s="468"/>
      <c r="L440" s="468"/>
      <c r="M440" s="468"/>
      <c r="N440" s="468"/>
      <c r="O440" s="468"/>
      <c r="P440" s="468"/>
      <c r="Q440" s="468"/>
      <c r="R440" s="375"/>
      <c r="S440" s="415"/>
      <c r="T440" s="415"/>
      <c r="U440" s="377"/>
      <c r="V440" s="377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</row>
    <row r="441" ht="14.25" customHeight="1">
      <c r="A441" s="1"/>
      <c r="B441" s="1"/>
      <c r="C441" s="1"/>
      <c r="D441" s="468"/>
      <c r="E441" s="468"/>
      <c r="F441" s="468"/>
      <c r="G441" s="468"/>
      <c r="H441" s="468"/>
      <c r="I441" s="468"/>
      <c r="J441" s="469"/>
      <c r="K441" s="468"/>
      <c r="L441" s="468"/>
      <c r="M441" s="468"/>
      <c r="N441" s="468"/>
      <c r="O441" s="468"/>
      <c r="P441" s="468"/>
      <c r="Q441" s="468"/>
      <c r="R441" s="375"/>
      <c r="S441" s="415"/>
      <c r="T441" s="415"/>
      <c r="U441" s="377"/>
      <c r="V441" s="377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</row>
    <row r="442" ht="14.25" customHeight="1">
      <c r="A442" s="1"/>
      <c r="B442" s="1"/>
      <c r="C442" s="1"/>
      <c r="D442" s="468"/>
      <c r="E442" s="468"/>
      <c r="F442" s="468"/>
      <c r="G442" s="468"/>
      <c r="H442" s="468"/>
      <c r="I442" s="468"/>
      <c r="J442" s="469"/>
      <c r="K442" s="468"/>
      <c r="L442" s="468"/>
      <c r="M442" s="468"/>
      <c r="N442" s="468"/>
      <c r="O442" s="468"/>
      <c r="P442" s="468"/>
      <c r="Q442" s="468"/>
      <c r="R442" s="375"/>
      <c r="S442" s="415"/>
      <c r="T442" s="415"/>
      <c r="U442" s="377"/>
      <c r="V442" s="377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</row>
    <row r="443" ht="14.25" customHeight="1">
      <c r="A443" s="1"/>
      <c r="B443" s="1"/>
      <c r="C443" s="1"/>
      <c r="D443" s="468"/>
      <c r="E443" s="468"/>
      <c r="F443" s="468"/>
      <c r="G443" s="468"/>
      <c r="H443" s="468"/>
      <c r="I443" s="468"/>
      <c r="J443" s="469"/>
      <c r="K443" s="468"/>
      <c r="L443" s="468"/>
      <c r="M443" s="468"/>
      <c r="N443" s="468"/>
      <c r="O443" s="468"/>
      <c r="P443" s="468"/>
      <c r="Q443" s="468"/>
      <c r="R443" s="375"/>
      <c r="S443" s="415"/>
      <c r="T443" s="415"/>
      <c r="U443" s="377"/>
      <c r="V443" s="377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</row>
    <row r="444" ht="14.25" customHeight="1">
      <c r="A444" s="1"/>
      <c r="B444" s="1"/>
      <c r="C444" s="1"/>
      <c r="D444" s="468"/>
      <c r="E444" s="468"/>
      <c r="F444" s="468"/>
      <c r="G444" s="468"/>
      <c r="H444" s="468"/>
      <c r="I444" s="468"/>
      <c r="J444" s="469"/>
      <c r="K444" s="468"/>
      <c r="L444" s="468"/>
      <c r="M444" s="468"/>
      <c r="N444" s="468"/>
      <c r="O444" s="468"/>
      <c r="P444" s="468"/>
      <c r="Q444" s="468"/>
      <c r="R444" s="375"/>
      <c r="S444" s="415"/>
      <c r="T444" s="415"/>
      <c r="U444" s="377"/>
      <c r="V444" s="377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</row>
    <row r="445" ht="14.25" customHeight="1">
      <c r="A445" s="1"/>
      <c r="B445" s="1"/>
      <c r="C445" s="1"/>
      <c r="D445" s="468"/>
      <c r="E445" s="468"/>
      <c r="F445" s="468"/>
      <c r="G445" s="468"/>
      <c r="H445" s="468"/>
      <c r="I445" s="468"/>
      <c r="J445" s="469"/>
      <c r="K445" s="468"/>
      <c r="L445" s="468"/>
      <c r="M445" s="468"/>
      <c r="N445" s="468"/>
      <c r="O445" s="468"/>
      <c r="P445" s="468"/>
      <c r="Q445" s="468"/>
      <c r="R445" s="375"/>
      <c r="S445" s="415"/>
      <c r="T445" s="415"/>
      <c r="U445" s="377"/>
      <c r="V445" s="377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</row>
    <row r="446" ht="14.25" customHeight="1">
      <c r="A446" s="1"/>
      <c r="B446" s="1"/>
      <c r="C446" s="1"/>
      <c r="D446" s="468"/>
      <c r="E446" s="468"/>
      <c r="F446" s="468"/>
      <c r="G446" s="468"/>
      <c r="H446" s="468"/>
      <c r="I446" s="468"/>
      <c r="J446" s="469"/>
      <c r="K446" s="468"/>
      <c r="L446" s="468"/>
      <c r="M446" s="468"/>
      <c r="N446" s="468"/>
      <c r="O446" s="468"/>
      <c r="P446" s="468"/>
      <c r="Q446" s="468"/>
      <c r="R446" s="375"/>
      <c r="S446" s="415"/>
      <c r="T446" s="415"/>
      <c r="U446" s="377"/>
      <c r="V446" s="377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</row>
    <row r="447" ht="14.25" customHeight="1">
      <c r="A447" s="1"/>
      <c r="B447" s="1"/>
      <c r="C447" s="1"/>
      <c r="D447" s="468"/>
      <c r="E447" s="468"/>
      <c r="F447" s="468"/>
      <c r="G447" s="468"/>
      <c r="H447" s="468"/>
      <c r="I447" s="468"/>
      <c r="J447" s="469"/>
      <c r="K447" s="468"/>
      <c r="L447" s="468"/>
      <c r="M447" s="468"/>
      <c r="N447" s="468"/>
      <c r="O447" s="468"/>
      <c r="P447" s="468"/>
      <c r="Q447" s="468"/>
      <c r="R447" s="375"/>
      <c r="S447" s="415"/>
      <c r="T447" s="415"/>
      <c r="U447" s="377"/>
      <c r="V447" s="377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</row>
    <row r="448" ht="14.25" customHeight="1">
      <c r="A448" s="1"/>
      <c r="B448" s="1"/>
      <c r="C448" s="1"/>
      <c r="D448" s="468"/>
      <c r="E448" s="468"/>
      <c r="F448" s="468"/>
      <c r="G448" s="468"/>
      <c r="H448" s="468"/>
      <c r="I448" s="468"/>
      <c r="J448" s="469"/>
      <c r="K448" s="468"/>
      <c r="L448" s="468"/>
      <c r="M448" s="468"/>
      <c r="N448" s="468"/>
      <c r="O448" s="468"/>
      <c r="P448" s="468"/>
      <c r="Q448" s="468"/>
      <c r="R448" s="375"/>
      <c r="S448" s="415"/>
      <c r="T448" s="415"/>
      <c r="U448" s="377"/>
      <c r="V448" s="377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</row>
    <row r="449" ht="14.25" customHeight="1">
      <c r="A449" s="1"/>
      <c r="B449" s="1"/>
      <c r="C449" s="1"/>
      <c r="D449" s="468"/>
      <c r="E449" s="468"/>
      <c r="F449" s="468"/>
      <c r="G449" s="468"/>
      <c r="H449" s="468"/>
      <c r="I449" s="468"/>
      <c r="J449" s="469"/>
      <c r="K449" s="468"/>
      <c r="L449" s="468"/>
      <c r="M449" s="468"/>
      <c r="N449" s="468"/>
      <c r="O449" s="468"/>
      <c r="P449" s="468"/>
      <c r="Q449" s="468"/>
      <c r="R449" s="375"/>
      <c r="S449" s="415"/>
      <c r="T449" s="415"/>
      <c r="U449" s="377"/>
      <c r="V449" s="377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</row>
    <row r="450" ht="14.25" customHeight="1">
      <c r="A450" s="1"/>
      <c r="B450" s="1"/>
      <c r="C450" s="1"/>
      <c r="D450" s="468"/>
      <c r="E450" s="468"/>
      <c r="F450" s="468"/>
      <c r="G450" s="468"/>
      <c r="H450" s="468"/>
      <c r="I450" s="468"/>
      <c r="J450" s="469"/>
      <c r="K450" s="468"/>
      <c r="L450" s="468"/>
      <c r="M450" s="468"/>
      <c r="N450" s="468"/>
      <c r="O450" s="468"/>
      <c r="P450" s="468"/>
      <c r="Q450" s="468"/>
      <c r="R450" s="375"/>
      <c r="S450" s="415"/>
      <c r="T450" s="415"/>
      <c r="U450" s="377"/>
      <c r="V450" s="377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</row>
    <row r="451" ht="14.25" customHeight="1">
      <c r="A451" s="1"/>
      <c r="B451" s="1"/>
      <c r="C451" s="1"/>
      <c r="D451" s="468"/>
      <c r="E451" s="468"/>
      <c r="F451" s="468"/>
      <c r="G451" s="468"/>
      <c r="H451" s="468"/>
      <c r="I451" s="468"/>
      <c r="J451" s="469"/>
      <c r="K451" s="468"/>
      <c r="L451" s="468"/>
      <c r="M451" s="468"/>
      <c r="N451" s="468"/>
      <c r="O451" s="468"/>
      <c r="P451" s="468"/>
      <c r="Q451" s="468"/>
      <c r="R451" s="375"/>
      <c r="S451" s="415"/>
      <c r="T451" s="415"/>
      <c r="U451" s="377"/>
      <c r="V451" s="377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</row>
    <row r="452" ht="14.25" customHeight="1">
      <c r="A452" s="1"/>
      <c r="B452" s="1"/>
      <c r="C452" s="1"/>
      <c r="D452" s="468"/>
      <c r="E452" s="468"/>
      <c r="F452" s="468"/>
      <c r="G452" s="468"/>
      <c r="H452" s="468"/>
      <c r="I452" s="468"/>
      <c r="J452" s="469"/>
      <c r="K452" s="468"/>
      <c r="L452" s="468"/>
      <c r="M452" s="468"/>
      <c r="N452" s="468"/>
      <c r="O452" s="468"/>
      <c r="P452" s="468"/>
      <c r="Q452" s="468"/>
      <c r="R452" s="375"/>
      <c r="S452" s="415"/>
      <c r="T452" s="415"/>
      <c r="U452" s="377"/>
      <c r="V452" s="377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</row>
    <row r="453" ht="14.25" customHeight="1">
      <c r="A453" s="1"/>
      <c r="B453" s="1"/>
      <c r="C453" s="1"/>
      <c r="D453" s="468"/>
      <c r="E453" s="468"/>
      <c r="F453" s="468"/>
      <c r="G453" s="468"/>
      <c r="H453" s="468"/>
      <c r="I453" s="468"/>
      <c r="J453" s="469"/>
      <c r="K453" s="468"/>
      <c r="L453" s="468"/>
      <c r="M453" s="468"/>
      <c r="N453" s="468"/>
      <c r="O453" s="468"/>
      <c r="P453" s="468"/>
      <c r="Q453" s="468"/>
      <c r="R453" s="375"/>
      <c r="S453" s="415"/>
      <c r="T453" s="415"/>
      <c r="U453" s="377"/>
      <c r="V453" s="377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</row>
    <row r="454" ht="14.25" customHeight="1">
      <c r="A454" s="1"/>
      <c r="B454" s="1"/>
      <c r="C454" s="1"/>
      <c r="D454" s="468"/>
      <c r="E454" s="468"/>
      <c r="F454" s="468"/>
      <c r="G454" s="468"/>
      <c r="H454" s="468"/>
      <c r="I454" s="468"/>
      <c r="J454" s="469"/>
      <c r="K454" s="468"/>
      <c r="L454" s="468"/>
      <c r="M454" s="468"/>
      <c r="N454" s="468"/>
      <c r="O454" s="468"/>
      <c r="P454" s="468"/>
      <c r="Q454" s="468"/>
      <c r="R454" s="375"/>
      <c r="S454" s="415"/>
      <c r="T454" s="415"/>
      <c r="U454" s="377"/>
      <c r="V454" s="377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</row>
    <row r="455" ht="14.25" customHeight="1">
      <c r="A455" s="1"/>
      <c r="B455" s="1"/>
      <c r="C455" s="1"/>
      <c r="D455" s="468"/>
      <c r="E455" s="468"/>
      <c r="F455" s="468"/>
      <c r="G455" s="468"/>
      <c r="H455" s="468"/>
      <c r="I455" s="468"/>
      <c r="J455" s="469"/>
      <c r="K455" s="468"/>
      <c r="L455" s="468"/>
      <c r="M455" s="468"/>
      <c r="N455" s="468"/>
      <c r="O455" s="468"/>
      <c r="P455" s="468"/>
      <c r="Q455" s="468"/>
      <c r="R455" s="375"/>
      <c r="S455" s="415"/>
      <c r="T455" s="415"/>
      <c r="U455" s="377"/>
      <c r="V455" s="377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</row>
    <row r="456" ht="14.25" customHeight="1">
      <c r="A456" s="1"/>
      <c r="B456" s="1"/>
      <c r="C456" s="1"/>
      <c r="D456" s="468"/>
      <c r="E456" s="468"/>
      <c r="F456" s="468"/>
      <c r="G456" s="468"/>
      <c r="H456" s="468"/>
      <c r="I456" s="468"/>
      <c r="J456" s="469"/>
      <c r="K456" s="468"/>
      <c r="L456" s="468"/>
      <c r="M456" s="468"/>
      <c r="N456" s="468"/>
      <c r="O456" s="468"/>
      <c r="P456" s="468"/>
      <c r="Q456" s="468"/>
      <c r="R456" s="375"/>
      <c r="S456" s="415"/>
      <c r="T456" s="415"/>
      <c r="U456" s="377"/>
      <c r="V456" s="377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</row>
    <row r="457" ht="14.25" customHeight="1">
      <c r="A457" s="1"/>
      <c r="B457" s="1"/>
      <c r="C457" s="1"/>
      <c r="D457" s="468"/>
      <c r="E457" s="468"/>
      <c r="F457" s="468"/>
      <c r="G457" s="468"/>
      <c r="H457" s="468"/>
      <c r="I457" s="468"/>
      <c r="J457" s="469"/>
      <c r="K457" s="468"/>
      <c r="L457" s="468"/>
      <c r="M457" s="468"/>
      <c r="N457" s="468"/>
      <c r="O457" s="468"/>
      <c r="P457" s="468"/>
      <c r="Q457" s="468"/>
      <c r="R457" s="375"/>
      <c r="S457" s="415"/>
      <c r="T457" s="415"/>
      <c r="U457" s="377"/>
      <c r="V457" s="377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</row>
    <row r="458" ht="14.25" customHeight="1">
      <c r="A458" s="1"/>
      <c r="B458" s="1"/>
      <c r="C458" s="1"/>
      <c r="D458" s="468"/>
      <c r="E458" s="468"/>
      <c r="F458" s="468"/>
      <c r="G458" s="468"/>
      <c r="H458" s="468"/>
      <c r="I458" s="468"/>
      <c r="J458" s="469"/>
      <c r="K458" s="468"/>
      <c r="L458" s="468"/>
      <c r="M458" s="468"/>
      <c r="N458" s="468"/>
      <c r="O458" s="468"/>
      <c r="P458" s="468"/>
      <c r="Q458" s="468"/>
      <c r="R458" s="375"/>
      <c r="S458" s="415"/>
      <c r="T458" s="415"/>
      <c r="U458" s="377"/>
      <c r="V458" s="377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</row>
    <row r="459" ht="14.25" customHeight="1">
      <c r="A459" s="1"/>
      <c r="B459" s="1"/>
      <c r="C459" s="1"/>
      <c r="D459" s="468"/>
      <c r="E459" s="468"/>
      <c r="F459" s="468"/>
      <c r="G459" s="468"/>
      <c r="H459" s="468"/>
      <c r="I459" s="468"/>
      <c r="J459" s="469"/>
      <c r="K459" s="468"/>
      <c r="L459" s="468"/>
      <c r="M459" s="468"/>
      <c r="N459" s="468"/>
      <c r="O459" s="468"/>
      <c r="P459" s="468"/>
      <c r="Q459" s="468"/>
      <c r="R459" s="375"/>
      <c r="S459" s="415"/>
      <c r="T459" s="415"/>
      <c r="U459" s="377"/>
      <c r="V459" s="377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</row>
    <row r="460" ht="14.25" customHeight="1">
      <c r="A460" s="1"/>
      <c r="B460" s="1"/>
      <c r="C460" s="1"/>
      <c r="D460" s="468"/>
      <c r="E460" s="468"/>
      <c r="F460" s="468"/>
      <c r="G460" s="468"/>
      <c r="H460" s="468"/>
      <c r="I460" s="468"/>
      <c r="J460" s="469"/>
      <c r="K460" s="468"/>
      <c r="L460" s="468"/>
      <c r="M460" s="468"/>
      <c r="N460" s="468"/>
      <c r="O460" s="468"/>
      <c r="P460" s="468"/>
      <c r="Q460" s="468"/>
      <c r="R460" s="375"/>
      <c r="S460" s="415"/>
      <c r="T460" s="415"/>
      <c r="U460" s="377"/>
      <c r="V460" s="377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</row>
    <row r="461" ht="14.25" customHeight="1">
      <c r="A461" s="1"/>
      <c r="B461" s="1"/>
      <c r="C461" s="1"/>
      <c r="D461" s="468"/>
      <c r="E461" s="468"/>
      <c r="F461" s="468"/>
      <c r="G461" s="468"/>
      <c r="H461" s="468"/>
      <c r="I461" s="468"/>
      <c r="J461" s="469"/>
      <c r="K461" s="468"/>
      <c r="L461" s="468"/>
      <c r="M461" s="468"/>
      <c r="N461" s="468"/>
      <c r="O461" s="468"/>
      <c r="P461" s="468"/>
      <c r="Q461" s="468"/>
      <c r="R461" s="375"/>
      <c r="S461" s="415"/>
      <c r="T461" s="415"/>
      <c r="U461" s="377"/>
      <c r="V461" s="377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</row>
    <row r="462" ht="14.25" customHeight="1">
      <c r="A462" s="1"/>
      <c r="B462" s="1"/>
      <c r="C462" s="1"/>
      <c r="D462" s="468"/>
      <c r="E462" s="468"/>
      <c r="F462" s="468"/>
      <c r="G462" s="468"/>
      <c r="H462" s="468"/>
      <c r="I462" s="468"/>
      <c r="J462" s="469"/>
      <c r="K462" s="468"/>
      <c r="L462" s="468"/>
      <c r="M462" s="468"/>
      <c r="N462" s="468"/>
      <c r="O462" s="468"/>
      <c r="P462" s="468"/>
      <c r="Q462" s="468"/>
      <c r="R462" s="375"/>
      <c r="S462" s="415"/>
      <c r="T462" s="415"/>
      <c r="U462" s="377"/>
      <c r="V462" s="377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</row>
    <row r="463" ht="14.25" customHeight="1">
      <c r="A463" s="1"/>
      <c r="B463" s="1"/>
      <c r="C463" s="1"/>
      <c r="D463" s="468"/>
      <c r="E463" s="468"/>
      <c r="F463" s="468"/>
      <c r="G463" s="468"/>
      <c r="H463" s="468"/>
      <c r="I463" s="468"/>
      <c r="J463" s="469"/>
      <c r="K463" s="468"/>
      <c r="L463" s="468"/>
      <c r="M463" s="468"/>
      <c r="N463" s="468"/>
      <c r="O463" s="468"/>
      <c r="P463" s="468"/>
      <c r="Q463" s="468"/>
      <c r="R463" s="375"/>
      <c r="S463" s="415"/>
      <c r="T463" s="415"/>
      <c r="U463" s="377"/>
      <c r="V463" s="377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</row>
    <row r="464" ht="14.25" customHeight="1">
      <c r="A464" s="1"/>
      <c r="B464" s="1"/>
      <c r="C464" s="1"/>
      <c r="D464" s="468"/>
      <c r="E464" s="468"/>
      <c r="F464" s="468"/>
      <c r="G464" s="468"/>
      <c r="H464" s="468"/>
      <c r="I464" s="468"/>
      <c r="J464" s="469"/>
      <c r="K464" s="468"/>
      <c r="L464" s="468"/>
      <c r="M464" s="468"/>
      <c r="N464" s="468"/>
      <c r="O464" s="468"/>
      <c r="P464" s="468"/>
      <c r="Q464" s="468"/>
      <c r="R464" s="375"/>
      <c r="S464" s="415"/>
      <c r="T464" s="415"/>
      <c r="U464" s="377"/>
      <c r="V464" s="377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</row>
    <row r="465" ht="14.25" customHeight="1">
      <c r="A465" s="1"/>
      <c r="B465" s="1"/>
      <c r="C465" s="1"/>
      <c r="D465" s="468"/>
      <c r="E465" s="468"/>
      <c r="F465" s="468"/>
      <c r="G465" s="468"/>
      <c r="H465" s="468"/>
      <c r="I465" s="468"/>
      <c r="J465" s="469"/>
      <c r="K465" s="468"/>
      <c r="L465" s="468"/>
      <c r="M465" s="468"/>
      <c r="N465" s="468"/>
      <c r="O465" s="468"/>
      <c r="P465" s="468"/>
      <c r="Q465" s="468"/>
      <c r="R465" s="375"/>
      <c r="S465" s="415"/>
      <c r="T465" s="415"/>
      <c r="U465" s="377"/>
      <c r="V465" s="377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</row>
    <row r="466" ht="14.25" customHeight="1">
      <c r="A466" s="1"/>
      <c r="B466" s="1"/>
      <c r="C466" s="1"/>
      <c r="D466" s="468"/>
      <c r="E466" s="468"/>
      <c r="F466" s="468"/>
      <c r="G466" s="468"/>
      <c r="H466" s="468"/>
      <c r="I466" s="468"/>
      <c r="J466" s="469"/>
      <c r="K466" s="468"/>
      <c r="L466" s="468"/>
      <c r="M466" s="468"/>
      <c r="N466" s="468"/>
      <c r="O466" s="468"/>
      <c r="P466" s="468"/>
      <c r="Q466" s="468"/>
      <c r="R466" s="375"/>
      <c r="S466" s="415"/>
      <c r="T466" s="415"/>
      <c r="U466" s="377"/>
      <c r="V466" s="377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</row>
    <row r="467" ht="14.25" customHeight="1">
      <c r="A467" s="1"/>
      <c r="B467" s="1"/>
      <c r="C467" s="1"/>
      <c r="D467" s="468"/>
      <c r="E467" s="468"/>
      <c r="F467" s="468"/>
      <c r="G467" s="468"/>
      <c r="H467" s="468"/>
      <c r="I467" s="468"/>
      <c r="J467" s="469"/>
      <c r="K467" s="468"/>
      <c r="L467" s="468"/>
      <c r="M467" s="468"/>
      <c r="N467" s="468"/>
      <c r="O467" s="468"/>
      <c r="P467" s="468"/>
      <c r="Q467" s="468"/>
      <c r="R467" s="375"/>
      <c r="S467" s="415"/>
      <c r="T467" s="415"/>
      <c r="U467" s="377"/>
      <c r="V467" s="377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</row>
    <row r="468" ht="14.25" customHeight="1">
      <c r="A468" s="1"/>
      <c r="B468" s="1"/>
      <c r="C468" s="1"/>
      <c r="D468" s="468"/>
      <c r="E468" s="468"/>
      <c r="F468" s="468"/>
      <c r="G468" s="468"/>
      <c r="H468" s="468"/>
      <c r="I468" s="468"/>
      <c r="J468" s="469"/>
      <c r="K468" s="468"/>
      <c r="L468" s="468"/>
      <c r="M468" s="468"/>
      <c r="N468" s="468"/>
      <c r="O468" s="468"/>
      <c r="P468" s="468"/>
      <c r="Q468" s="468"/>
      <c r="R468" s="375"/>
      <c r="S468" s="415"/>
      <c r="T468" s="415"/>
      <c r="U468" s="377"/>
      <c r="V468" s="377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</row>
    <row r="469" ht="14.25" customHeight="1">
      <c r="A469" s="1"/>
      <c r="B469" s="1"/>
      <c r="C469" s="1"/>
      <c r="D469" s="468"/>
      <c r="E469" s="468"/>
      <c r="F469" s="468"/>
      <c r="G469" s="468"/>
      <c r="H469" s="468"/>
      <c r="I469" s="468"/>
      <c r="J469" s="469"/>
      <c r="K469" s="468"/>
      <c r="L469" s="468"/>
      <c r="M469" s="468"/>
      <c r="N469" s="468"/>
      <c r="O469" s="468"/>
      <c r="P469" s="468"/>
      <c r="Q469" s="468"/>
      <c r="R469" s="375"/>
      <c r="S469" s="415"/>
      <c r="T469" s="415"/>
      <c r="U469" s="377"/>
      <c r="V469" s="377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</row>
    <row r="470" ht="14.25" customHeight="1">
      <c r="A470" s="1"/>
      <c r="B470" s="1"/>
      <c r="C470" s="1"/>
      <c r="D470" s="468"/>
      <c r="E470" s="468"/>
      <c r="F470" s="468"/>
      <c r="G470" s="468"/>
      <c r="H470" s="468"/>
      <c r="I470" s="468"/>
      <c r="J470" s="469"/>
      <c r="K470" s="468"/>
      <c r="L470" s="468"/>
      <c r="M470" s="468"/>
      <c r="N470" s="468"/>
      <c r="O470" s="468"/>
      <c r="P470" s="468"/>
      <c r="Q470" s="468"/>
      <c r="R470" s="375"/>
      <c r="S470" s="415"/>
      <c r="T470" s="415"/>
      <c r="U470" s="377"/>
      <c r="V470" s="377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</row>
    <row r="471" ht="14.25" customHeight="1">
      <c r="A471" s="1"/>
      <c r="B471" s="1"/>
      <c r="C471" s="1"/>
      <c r="D471" s="468"/>
      <c r="E471" s="468"/>
      <c r="F471" s="468"/>
      <c r="G471" s="468"/>
      <c r="H471" s="468"/>
      <c r="I471" s="468"/>
      <c r="J471" s="469"/>
      <c r="K471" s="468"/>
      <c r="L471" s="468"/>
      <c r="M471" s="468"/>
      <c r="N471" s="468"/>
      <c r="O471" s="468"/>
      <c r="P471" s="468"/>
      <c r="Q471" s="468"/>
      <c r="R471" s="375"/>
      <c r="S471" s="415"/>
      <c r="T471" s="415"/>
      <c r="U471" s="377"/>
      <c r="V471" s="377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</row>
    <row r="472" ht="14.25" customHeight="1">
      <c r="A472" s="1"/>
      <c r="B472" s="1"/>
      <c r="C472" s="1"/>
      <c r="D472" s="468"/>
      <c r="E472" s="468"/>
      <c r="F472" s="468"/>
      <c r="G472" s="468"/>
      <c r="H472" s="468"/>
      <c r="I472" s="468"/>
      <c r="J472" s="469"/>
      <c r="K472" s="468"/>
      <c r="L472" s="468"/>
      <c r="M472" s="468"/>
      <c r="N472" s="468"/>
      <c r="O472" s="468"/>
      <c r="P472" s="468"/>
      <c r="Q472" s="468"/>
      <c r="R472" s="375"/>
      <c r="S472" s="415"/>
      <c r="T472" s="415"/>
      <c r="U472" s="377"/>
      <c r="V472" s="377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</row>
    <row r="473" ht="14.25" customHeight="1">
      <c r="A473" s="1"/>
      <c r="B473" s="1"/>
      <c r="C473" s="1"/>
      <c r="D473" s="468"/>
      <c r="E473" s="468"/>
      <c r="F473" s="468"/>
      <c r="G473" s="468"/>
      <c r="H473" s="468"/>
      <c r="I473" s="468"/>
      <c r="J473" s="469"/>
      <c r="K473" s="468"/>
      <c r="L473" s="468"/>
      <c r="M473" s="468"/>
      <c r="N473" s="468"/>
      <c r="O473" s="468"/>
      <c r="P473" s="468"/>
      <c r="Q473" s="468"/>
      <c r="R473" s="375"/>
      <c r="S473" s="415"/>
      <c r="T473" s="415"/>
      <c r="U473" s="377"/>
      <c r="V473" s="377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</row>
    <row r="474" ht="14.25" customHeight="1">
      <c r="A474" s="1"/>
      <c r="B474" s="1"/>
      <c r="C474" s="1"/>
      <c r="D474" s="468"/>
      <c r="E474" s="468"/>
      <c r="F474" s="468"/>
      <c r="G474" s="468"/>
      <c r="H474" s="468"/>
      <c r="I474" s="468"/>
      <c r="J474" s="469"/>
      <c r="K474" s="468"/>
      <c r="L474" s="468"/>
      <c r="M474" s="468"/>
      <c r="N474" s="468"/>
      <c r="O474" s="468"/>
      <c r="P474" s="468"/>
      <c r="Q474" s="468"/>
      <c r="R474" s="375"/>
      <c r="S474" s="415"/>
      <c r="T474" s="415"/>
      <c r="U474" s="377"/>
      <c r="V474" s="377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</row>
    <row r="475" ht="14.25" customHeight="1">
      <c r="A475" s="1"/>
      <c r="B475" s="1"/>
      <c r="C475" s="1"/>
      <c r="D475" s="468"/>
      <c r="E475" s="468"/>
      <c r="F475" s="468"/>
      <c r="G475" s="468"/>
      <c r="H475" s="468"/>
      <c r="I475" s="468"/>
      <c r="J475" s="469"/>
      <c r="K475" s="468"/>
      <c r="L475" s="468"/>
      <c r="M475" s="468"/>
      <c r="N475" s="468"/>
      <c r="O475" s="468"/>
      <c r="P475" s="468"/>
      <c r="Q475" s="468"/>
      <c r="R475" s="375"/>
      <c r="S475" s="415"/>
      <c r="T475" s="415"/>
      <c r="U475" s="377"/>
      <c r="V475" s="377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</row>
    <row r="476" ht="14.25" customHeight="1">
      <c r="A476" s="1"/>
      <c r="B476" s="1"/>
      <c r="C476" s="1"/>
      <c r="D476" s="468"/>
      <c r="E476" s="468"/>
      <c r="F476" s="468"/>
      <c r="G476" s="468"/>
      <c r="H476" s="468"/>
      <c r="I476" s="468"/>
      <c r="J476" s="469"/>
      <c r="K476" s="468"/>
      <c r="L476" s="468"/>
      <c r="M476" s="468"/>
      <c r="N476" s="468"/>
      <c r="O476" s="468"/>
      <c r="P476" s="468"/>
      <c r="Q476" s="468"/>
      <c r="R476" s="375"/>
      <c r="S476" s="415"/>
      <c r="T476" s="415"/>
      <c r="U476" s="377"/>
      <c r="V476" s="377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</row>
    <row r="477" ht="14.25" customHeight="1">
      <c r="A477" s="1"/>
      <c r="B477" s="1"/>
      <c r="C477" s="1"/>
      <c r="D477" s="468"/>
      <c r="E477" s="468"/>
      <c r="F477" s="468"/>
      <c r="G477" s="468"/>
      <c r="H477" s="468"/>
      <c r="I477" s="468"/>
      <c r="J477" s="469"/>
      <c r="K477" s="468"/>
      <c r="L477" s="468"/>
      <c r="M477" s="468"/>
      <c r="N477" s="468"/>
      <c r="O477" s="468"/>
      <c r="P477" s="468"/>
      <c r="Q477" s="468"/>
      <c r="R477" s="375"/>
      <c r="S477" s="415"/>
      <c r="T477" s="415"/>
      <c r="U477" s="377"/>
      <c r="V477" s="377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</row>
    <row r="478" ht="14.25" customHeight="1">
      <c r="A478" s="1"/>
      <c r="B478" s="1"/>
      <c r="C478" s="1"/>
      <c r="D478" s="468"/>
      <c r="E478" s="468"/>
      <c r="F478" s="468"/>
      <c r="G478" s="468"/>
      <c r="H478" s="468"/>
      <c r="I478" s="468"/>
      <c r="J478" s="469"/>
      <c r="K478" s="468"/>
      <c r="L478" s="468"/>
      <c r="M478" s="468"/>
      <c r="N478" s="468"/>
      <c r="O478" s="468"/>
      <c r="P478" s="468"/>
      <c r="Q478" s="468"/>
      <c r="R478" s="375"/>
      <c r="S478" s="415"/>
      <c r="T478" s="415"/>
      <c r="U478" s="377"/>
      <c r="V478" s="377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</row>
    <row r="479" ht="14.25" customHeight="1">
      <c r="A479" s="1"/>
      <c r="B479" s="1"/>
      <c r="C479" s="1"/>
      <c r="D479" s="468"/>
      <c r="E479" s="468"/>
      <c r="F479" s="468"/>
      <c r="G479" s="468"/>
      <c r="H479" s="468"/>
      <c r="I479" s="468"/>
      <c r="J479" s="469"/>
      <c r="K479" s="468"/>
      <c r="L479" s="468"/>
      <c r="M479" s="468"/>
      <c r="N479" s="468"/>
      <c r="O479" s="468"/>
      <c r="P479" s="468"/>
      <c r="Q479" s="468"/>
      <c r="R479" s="375"/>
      <c r="S479" s="415"/>
      <c r="T479" s="415"/>
      <c r="U479" s="377"/>
      <c r="V479" s="377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</row>
    <row r="480" ht="14.25" customHeight="1">
      <c r="A480" s="1"/>
      <c r="B480" s="1"/>
      <c r="C480" s="1"/>
      <c r="D480" s="468"/>
      <c r="E480" s="468"/>
      <c r="F480" s="468"/>
      <c r="G480" s="468"/>
      <c r="H480" s="468"/>
      <c r="I480" s="468"/>
      <c r="J480" s="469"/>
      <c r="K480" s="468"/>
      <c r="L480" s="468"/>
      <c r="M480" s="468"/>
      <c r="N480" s="468"/>
      <c r="O480" s="468"/>
      <c r="P480" s="468"/>
      <c r="Q480" s="468"/>
      <c r="R480" s="375"/>
      <c r="S480" s="415"/>
      <c r="T480" s="415"/>
      <c r="U480" s="377"/>
      <c r="V480" s="377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</row>
    <row r="481" ht="14.25" customHeight="1">
      <c r="A481" s="1"/>
      <c r="B481" s="1"/>
      <c r="C481" s="1"/>
      <c r="D481" s="468"/>
      <c r="E481" s="468"/>
      <c r="F481" s="468"/>
      <c r="G481" s="468"/>
      <c r="H481" s="468"/>
      <c r="I481" s="468"/>
      <c r="J481" s="469"/>
      <c r="K481" s="468"/>
      <c r="L481" s="468"/>
      <c r="M481" s="468"/>
      <c r="N481" s="468"/>
      <c r="O481" s="468"/>
      <c r="P481" s="468"/>
      <c r="Q481" s="468"/>
      <c r="R481" s="375"/>
      <c r="S481" s="415"/>
      <c r="T481" s="415"/>
      <c r="U481" s="377"/>
      <c r="V481" s="377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</row>
    <row r="482" ht="14.25" customHeight="1">
      <c r="A482" s="1"/>
      <c r="B482" s="1"/>
      <c r="C482" s="1"/>
      <c r="D482" s="468"/>
      <c r="E482" s="468"/>
      <c r="F482" s="468"/>
      <c r="G482" s="468"/>
      <c r="H482" s="468"/>
      <c r="I482" s="468"/>
      <c r="J482" s="469"/>
      <c r="K482" s="468"/>
      <c r="L482" s="468"/>
      <c r="M482" s="468"/>
      <c r="N482" s="468"/>
      <c r="O482" s="468"/>
      <c r="P482" s="468"/>
      <c r="Q482" s="468"/>
      <c r="R482" s="375"/>
      <c r="S482" s="415"/>
      <c r="T482" s="415"/>
      <c r="U482" s="377"/>
      <c r="V482" s="377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</row>
    <row r="483" ht="14.25" customHeight="1">
      <c r="A483" s="1"/>
      <c r="B483" s="1"/>
      <c r="C483" s="1"/>
      <c r="D483" s="468"/>
      <c r="E483" s="468"/>
      <c r="F483" s="468"/>
      <c r="G483" s="468"/>
      <c r="H483" s="468"/>
      <c r="I483" s="468"/>
      <c r="J483" s="469"/>
      <c r="K483" s="468"/>
      <c r="L483" s="468"/>
      <c r="M483" s="468"/>
      <c r="N483" s="468"/>
      <c r="O483" s="468"/>
      <c r="P483" s="468"/>
      <c r="Q483" s="468"/>
      <c r="R483" s="375"/>
      <c r="S483" s="415"/>
      <c r="T483" s="415"/>
      <c r="U483" s="377"/>
      <c r="V483" s="377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</row>
    <row r="484" ht="14.25" customHeight="1">
      <c r="A484" s="1"/>
      <c r="B484" s="1"/>
      <c r="C484" s="1"/>
      <c r="D484" s="468"/>
      <c r="E484" s="468"/>
      <c r="F484" s="468"/>
      <c r="G484" s="468"/>
      <c r="H484" s="468"/>
      <c r="I484" s="468"/>
      <c r="J484" s="469"/>
      <c r="K484" s="468"/>
      <c r="L484" s="468"/>
      <c r="M484" s="468"/>
      <c r="N484" s="468"/>
      <c r="O484" s="468"/>
      <c r="P484" s="468"/>
      <c r="Q484" s="468"/>
      <c r="R484" s="375"/>
      <c r="S484" s="415"/>
      <c r="T484" s="415"/>
      <c r="U484" s="377"/>
      <c r="V484" s="377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</row>
    <row r="485" ht="14.25" customHeight="1">
      <c r="A485" s="1"/>
      <c r="B485" s="1"/>
      <c r="C485" s="1"/>
      <c r="D485" s="468"/>
      <c r="E485" s="468"/>
      <c r="F485" s="468"/>
      <c r="G485" s="468"/>
      <c r="H485" s="468"/>
      <c r="I485" s="468"/>
      <c r="J485" s="469"/>
      <c r="K485" s="468"/>
      <c r="L485" s="468"/>
      <c r="M485" s="468"/>
      <c r="N485" s="468"/>
      <c r="O485" s="468"/>
      <c r="P485" s="468"/>
      <c r="Q485" s="468"/>
      <c r="R485" s="375"/>
      <c r="S485" s="415"/>
      <c r="T485" s="415"/>
      <c r="U485" s="377"/>
      <c r="V485" s="377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</row>
    <row r="486" ht="14.25" customHeight="1">
      <c r="A486" s="1"/>
      <c r="B486" s="1"/>
      <c r="C486" s="1"/>
      <c r="D486" s="468"/>
      <c r="E486" s="468"/>
      <c r="F486" s="468"/>
      <c r="G486" s="468"/>
      <c r="H486" s="468"/>
      <c r="I486" s="468"/>
      <c r="J486" s="469"/>
      <c r="K486" s="468"/>
      <c r="L486" s="468"/>
      <c r="M486" s="468"/>
      <c r="N486" s="468"/>
      <c r="O486" s="468"/>
      <c r="P486" s="468"/>
      <c r="Q486" s="468"/>
      <c r="R486" s="375"/>
      <c r="S486" s="415"/>
      <c r="T486" s="415"/>
      <c r="U486" s="377"/>
      <c r="V486" s="377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</row>
    <row r="487" ht="14.25" customHeight="1">
      <c r="A487" s="1"/>
      <c r="B487" s="1"/>
      <c r="C487" s="1"/>
      <c r="D487" s="468"/>
      <c r="E487" s="468"/>
      <c r="F487" s="468"/>
      <c r="G487" s="468"/>
      <c r="H487" s="468"/>
      <c r="I487" s="468"/>
      <c r="J487" s="469"/>
      <c r="K487" s="468"/>
      <c r="L487" s="468"/>
      <c r="M487" s="468"/>
      <c r="N487" s="468"/>
      <c r="O487" s="468"/>
      <c r="P487" s="468"/>
      <c r="Q487" s="468"/>
      <c r="R487" s="375"/>
      <c r="S487" s="415"/>
      <c r="T487" s="415"/>
      <c r="U487" s="377"/>
      <c r="V487" s="377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</row>
    <row r="488" ht="14.25" customHeight="1">
      <c r="A488" s="1"/>
      <c r="B488" s="1"/>
      <c r="C488" s="1"/>
      <c r="D488" s="468"/>
      <c r="E488" s="468"/>
      <c r="F488" s="468"/>
      <c r="G488" s="468"/>
      <c r="H488" s="468"/>
      <c r="I488" s="468"/>
      <c r="J488" s="469"/>
      <c r="K488" s="468"/>
      <c r="L488" s="468"/>
      <c r="M488" s="468"/>
      <c r="N488" s="468"/>
      <c r="O488" s="468"/>
      <c r="P488" s="468"/>
      <c r="Q488" s="468"/>
      <c r="R488" s="375"/>
      <c r="S488" s="415"/>
      <c r="T488" s="415"/>
      <c r="U488" s="377"/>
      <c r="V488" s="377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</row>
    <row r="489" ht="14.25" customHeight="1">
      <c r="A489" s="1"/>
      <c r="B489" s="1"/>
      <c r="C489" s="1"/>
      <c r="D489" s="468"/>
      <c r="E489" s="468"/>
      <c r="F489" s="468"/>
      <c r="G489" s="468"/>
      <c r="H489" s="468"/>
      <c r="I489" s="468"/>
      <c r="J489" s="469"/>
      <c r="K489" s="468"/>
      <c r="L489" s="468"/>
      <c r="M489" s="468"/>
      <c r="N489" s="468"/>
      <c r="O489" s="468"/>
      <c r="P489" s="468"/>
      <c r="Q489" s="468"/>
      <c r="R489" s="375"/>
      <c r="S489" s="415"/>
      <c r="T489" s="415"/>
      <c r="U489" s="377"/>
      <c r="V489" s="377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</row>
    <row r="490" ht="14.25" customHeight="1">
      <c r="A490" s="1"/>
      <c r="B490" s="1"/>
      <c r="C490" s="1"/>
      <c r="D490" s="468"/>
      <c r="E490" s="468"/>
      <c r="F490" s="468"/>
      <c r="G490" s="468"/>
      <c r="H490" s="468"/>
      <c r="I490" s="468"/>
      <c r="J490" s="469"/>
      <c r="K490" s="468"/>
      <c r="L490" s="468"/>
      <c r="M490" s="468"/>
      <c r="N490" s="468"/>
      <c r="O490" s="468"/>
      <c r="P490" s="468"/>
      <c r="Q490" s="468"/>
      <c r="R490" s="375"/>
      <c r="S490" s="415"/>
      <c r="T490" s="415"/>
      <c r="U490" s="377"/>
      <c r="V490" s="377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</row>
    <row r="491" ht="14.25" customHeight="1">
      <c r="A491" s="1"/>
      <c r="B491" s="1"/>
      <c r="C491" s="1"/>
      <c r="D491" s="468"/>
      <c r="E491" s="468"/>
      <c r="F491" s="468"/>
      <c r="G491" s="468"/>
      <c r="H491" s="468"/>
      <c r="I491" s="468"/>
      <c r="J491" s="469"/>
      <c r="K491" s="468"/>
      <c r="L491" s="468"/>
      <c r="M491" s="468"/>
      <c r="N491" s="468"/>
      <c r="O491" s="468"/>
      <c r="P491" s="468"/>
      <c r="Q491" s="468"/>
      <c r="R491" s="375"/>
      <c r="S491" s="415"/>
      <c r="T491" s="415"/>
      <c r="U491" s="377"/>
      <c r="V491" s="377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</row>
    <row r="492" ht="14.25" customHeight="1">
      <c r="A492" s="1"/>
      <c r="B492" s="1"/>
      <c r="C492" s="1"/>
      <c r="D492" s="468"/>
      <c r="E492" s="468"/>
      <c r="F492" s="468"/>
      <c r="G492" s="468"/>
      <c r="H492" s="468"/>
      <c r="I492" s="468"/>
      <c r="J492" s="469"/>
      <c r="K492" s="468"/>
      <c r="L492" s="468"/>
      <c r="M492" s="468"/>
      <c r="N492" s="468"/>
      <c r="O492" s="468"/>
      <c r="P492" s="468"/>
      <c r="Q492" s="468"/>
      <c r="R492" s="375"/>
      <c r="S492" s="415"/>
      <c r="T492" s="415"/>
      <c r="U492" s="377"/>
      <c r="V492" s="377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</row>
    <row r="493" ht="14.25" customHeight="1">
      <c r="A493" s="1"/>
      <c r="B493" s="1"/>
      <c r="C493" s="1"/>
      <c r="D493" s="468"/>
      <c r="E493" s="468"/>
      <c r="F493" s="468"/>
      <c r="G493" s="468"/>
      <c r="H493" s="468"/>
      <c r="I493" s="468"/>
      <c r="J493" s="469"/>
      <c r="K493" s="468"/>
      <c r="L493" s="468"/>
      <c r="M493" s="468"/>
      <c r="N493" s="468"/>
      <c r="O493" s="468"/>
      <c r="P493" s="468"/>
      <c r="Q493" s="468"/>
      <c r="R493" s="375"/>
      <c r="S493" s="415"/>
      <c r="T493" s="415"/>
      <c r="U493" s="377"/>
      <c r="V493" s="377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</row>
    <row r="494" ht="14.25" customHeight="1">
      <c r="A494" s="1"/>
      <c r="B494" s="1"/>
      <c r="C494" s="1"/>
      <c r="D494" s="468"/>
      <c r="E494" s="468"/>
      <c r="F494" s="468"/>
      <c r="G494" s="468"/>
      <c r="H494" s="468"/>
      <c r="I494" s="468"/>
      <c r="J494" s="469"/>
      <c r="K494" s="468"/>
      <c r="L494" s="468"/>
      <c r="M494" s="468"/>
      <c r="N494" s="468"/>
      <c r="O494" s="468"/>
      <c r="P494" s="468"/>
      <c r="Q494" s="468"/>
      <c r="R494" s="375"/>
      <c r="S494" s="415"/>
      <c r="T494" s="415"/>
      <c r="U494" s="377"/>
      <c r="V494" s="377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</row>
    <row r="495" ht="14.25" customHeight="1">
      <c r="A495" s="1"/>
      <c r="B495" s="1"/>
      <c r="C495" s="1"/>
      <c r="D495" s="468"/>
      <c r="E495" s="468"/>
      <c r="F495" s="468"/>
      <c r="G495" s="468"/>
      <c r="H495" s="468"/>
      <c r="I495" s="468"/>
      <c r="J495" s="469"/>
      <c r="K495" s="468"/>
      <c r="L495" s="468"/>
      <c r="M495" s="468"/>
      <c r="N495" s="468"/>
      <c r="O495" s="468"/>
      <c r="P495" s="468"/>
      <c r="Q495" s="468"/>
      <c r="R495" s="375"/>
      <c r="S495" s="415"/>
      <c r="T495" s="415"/>
      <c r="U495" s="377"/>
      <c r="V495" s="377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</row>
    <row r="496" ht="14.25" customHeight="1">
      <c r="A496" s="1"/>
      <c r="B496" s="1"/>
      <c r="C496" s="1"/>
      <c r="D496" s="468"/>
      <c r="E496" s="468"/>
      <c r="F496" s="468"/>
      <c r="G496" s="468"/>
      <c r="H496" s="468"/>
      <c r="I496" s="468"/>
      <c r="J496" s="469"/>
      <c r="K496" s="468"/>
      <c r="L496" s="468"/>
      <c r="M496" s="468"/>
      <c r="N496" s="468"/>
      <c r="O496" s="468"/>
      <c r="P496" s="468"/>
      <c r="Q496" s="468"/>
      <c r="R496" s="375"/>
      <c r="S496" s="415"/>
      <c r="T496" s="415"/>
      <c r="U496" s="377"/>
      <c r="V496" s="377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</row>
    <row r="497" ht="14.25" customHeight="1">
      <c r="A497" s="1"/>
      <c r="B497" s="1"/>
      <c r="C497" s="1"/>
      <c r="D497" s="468"/>
      <c r="E497" s="468"/>
      <c r="F497" s="468"/>
      <c r="G497" s="468"/>
      <c r="H497" s="468"/>
      <c r="I497" s="468"/>
      <c r="J497" s="469"/>
      <c r="K497" s="468"/>
      <c r="L497" s="468"/>
      <c r="M497" s="468"/>
      <c r="N497" s="468"/>
      <c r="O497" s="468"/>
      <c r="P497" s="468"/>
      <c r="Q497" s="468"/>
      <c r="R497" s="375"/>
      <c r="S497" s="415"/>
      <c r="T497" s="415"/>
      <c r="U497" s="377"/>
      <c r="V497" s="377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</row>
    <row r="498" ht="14.25" customHeight="1">
      <c r="A498" s="1"/>
      <c r="B498" s="1"/>
      <c r="C498" s="1"/>
      <c r="D498" s="468"/>
      <c r="E498" s="468"/>
      <c r="F498" s="468"/>
      <c r="G498" s="468"/>
      <c r="H498" s="468"/>
      <c r="I498" s="468"/>
      <c r="J498" s="469"/>
      <c r="K498" s="468"/>
      <c r="L498" s="468"/>
      <c r="M498" s="468"/>
      <c r="N498" s="468"/>
      <c r="O498" s="468"/>
      <c r="P498" s="468"/>
      <c r="Q498" s="468"/>
      <c r="R498" s="375"/>
      <c r="S498" s="415"/>
      <c r="T498" s="415"/>
      <c r="U498" s="377"/>
      <c r="V498" s="377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</row>
    <row r="499" ht="14.25" customHeight="1">
      <c r="A499" s="1"/>
      <c r="B499" s="1"/>
      <c r="C499" s="1"/>
      <c r="D499" s="468"/>
      <c r="E499" s="468"/>
      <c r="F499" s="468"/>
      <c r="G499" s="468"/>
      <c r="H499" s="468"/>
      <c r="I499" s="468"/>
      <c r="J499" s="469"/>
      <c r="K499" s="468"/>
      <c r="L499" s="468"/>
      <c r="M499" s="468"/>
      <c r="N499" s="468"/>
      <c r="O499" s="468"/>
      <c r="P499" s="468"/>
      <c r="Q499" s="468"/>
      <c r="R499" s="375"/>
      <c r="S499" s="415"/>
      <c r="T499" s="415"/>
      <c r="U499" s="377"/>
      <c r="V499" s="377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</row>
    <row r="500" ht="14.25" customHeight="1">
      <c r="A500" s="1"/>
      <c r="B500" s="1"/>
      <c r="C500" s="1"/>
      <c r="D500" s="468"/>
      <c r="E500" s="468"/>
      <c r="F500" s="468"/>
      <c r="G500" s="468"/>
      <c r="H500" s="468"/>
      <c r="I500" s="468"/>
      <c r="J500" s="469"/>
      <c r="K500" s="468"/>
      <c r="L500" s="468"/>
      <c r="M500" s="468"/>
      <c r="N500" s="468"/>
      <c r="O500" s="468"/>
      <c r="P500" s="468"/>
      <c r="Q500" s="468"/>
      <c r="R500" s="375"/>
      <c r="S500" s="415"/>
      <c r="T500" s="415"/>
      <c r="U500" s="377"/>
      <c r="V500" s="377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</row>
    <row r="501" ht="14.25" customHeight="1">
      <c r="A501" s="1"/>
      <c r="B501" s="1"/>
      <c r="C501" s="1"/>
      <c r="D501" s="468"/>
      <c r="E501" s="468"/>
      <c r="F501" s="468"/>
      <c r="G501" s="468"/>
      <c r="H501" s="468"/>
      <c r="I501" s="468"/>
      <c r="J501" s="469"/>
      <c r="K501" s="468"/>
      <c r="L501" s="468"/>
      <c r="M501" s="468"/>
      <c r="N501" s="468"/>
      <c r="O501" s="468"/>
      <c r="P501" s="468"/>
      <c r="Q501" s="468"/>
      <c r="R501" s="375"/>
      <c r="S501" s="415"/>
      <c r="T501" s="415"/>
      <c r="U501" s="377"/>
      <c r="V501" s="377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</row>
    <row r="502" ht="14.25" customHeight="1">
      <c r="A502" s="1"/>
      <c r="B502" s="1"/>
      <c r="C502" s="1"/>
      <c r="D502" s="468"/>
      <c r="E502" s="468"/>
      <c r="F502" s="468"/>
      <c r="G502" s="468"/>
      <c r="H502" s="468"/>
      <c r="I502" s="468"/>
      <c r="J502" s="469"/>
      <c r="K502" s="468"/>
      <c r="L502" s="468"/>
      <c r="M502" s="468"/>
      <c r="N502" s="468"/>
      <c r="O502" s="468"/>
      <c r="P502" s="468"/>
      <c r="Q502" s="468"/>
      <c r="R502" s="375"/>
      <c r="S502" s="415"/>
      <c r="T502" s="415"/>
      <c r="U502" s="377"/>
      <c r="V502" s="377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</row>
    <row r="503" ht="14.25" customHeight="1">
      <c r="A503" s="1"/>
      <c r="B503" s="1"/>
      <c r="C503" s="1"/>
      <c r="D503" s="468"/>
      <c r="E503" s="468"/>
      <c r="F503" s="468"/>
      <c r="G503" s="468"/>
      <c r="H503" s="468"/>
      <c r="I503" s="468"/>
      <c r="J503" s="469"/>
      <c r="K503" s="468"/>
      <c r="L503" s="468"/>
      <c r="M503" s="468"/>
      <c r="N503" s="468"/>
      <c r="O503" s="468"/>
      <c r="P503" s="468"/>
      <c r="Q503" s="468"/>
      <c r="R503" s="375"/>
      <c r="S503" s="415"/>
      <c r="T503" s="415"/>
      <c r="U503" s="377"/>
      <c r="V503" s="377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</row>
    <row r="504" ht="14.25" customHeight="1">
      <c r="A504" s="1"/>
      <c r="B504" s="1"/>
      <c r="C504" s="1"/>
      <c r="D504" s="468"/>
      <c r="E504" s="468"/>
      <c r="F504" s="468"/>
      <c r="G504" s="468"/>
      <c r="H504" s="468"/>
      <c r="I504" s="468"/>
      <c r="J504" s="469"/>
      <c r="K504" s="468"/>
      <c r="L504" s="468"/>
      <c r="M504" s="468"/>
      <c r="N504" s="468"/>
      <c r="O504" s="468"/>
      <c r="P504" s="468"/>
      <c r="Q504" s="468"/>
      <c r="R504" s="375"/>
      <c r="S504" s="415"/>
      <c r="T504" s="415"/>
      <c r="U504" s="377"/>
      <c r="V504" s="377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</row>
    <row r="505" ht="14.25" customHeight="1">
      <c r="A505" s="1"/>
      <c r="B505" s="1"/>
      <c r="C505" s="1"/>
      <c r="D505" s="468"/>
      <c r="E505" s="468"/>
      <c r="F505" s="468"/>
      <c r="G505" s="468"/>
      <c r="H505" s="468"/>
      <c r="I505" s="468"/>
      <c r="J505" s="469"/>
      <c r="K505" s="468"/>
      <c r="L505" s="468"/>
      <c r="M505" s="468"/>
      <c r="N505" s="468"/>
      <c r="O505" s="468"/>
      <c r="P505" s="468"/>
      <c r="Q505" s="468"/>
      <c r="R505" s="375"/>
      <c r="S505" s="415"/>
      <c r="T505" s="415"/>
      <c r="U505" s="377"/>
      <c r="V505" s="377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</row>
    <row r="506" ht="14.25" customHeight="1">
      <c r="A506" s="1"/>
      <c r="B506" s="1"/>
      <c r="C506" s="1"/>
      <c r="D506" s="468"/>
      <c r="E506" s="468"/>
      <c r="F506" s="468"/>
      <c r="G506" s="468"/>
      <c r="H506" s="468"/>
      <c r="I506" s="468"/>
      <c r="J506" s="469"/>
      <c r="K506" s="468"/>
      <c r="L506" s="468"/>
      <c r="M506" s="468"/>
      <c r="N506" s="468"/>
      <c r="O506" s="468"/>
      <c r="P506" s="468"/>
      <c r="Q506" s="468"/>
      <c r="R506" s="375"/>
      <c r="S506" s="415"/>
      <c r="T506" s="415"/>
      <c r="U506" s="377"/>
      <c r="V506" s="377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</row>
    <row r="507" ht="14.25" customHeight="1">
      <c r="A507" s="1"/>
      <c r="B507" s="1"/>
      <c r="C507" s="1"/>
      <c r="D507" s="468"/>
      <c r="E507" s="468"/>
      <c r="F507" s="468"/>
      <c r="G507" s="468"/>
      <c r="H507" s="468"/>
      <c r="I507" s="468"/>
      <c r="J507" s="469"/>
      <c r="K507" s="468"/>
      <c r="L507" s="468"/>
      <c r="M507" s="468"/>
      <c r="N507" s="468"/>
      <c r="O507" s="468"/>
      <c r="P507" s="468"/>
      <c r="Q507" s="468"/>
      <c r="R507" s="375"/>
      <c r="S507" s="415"/>
      <c r="T507" s="415"/>
      <c r="U507" s="377"/>
      <c r="V507" s="377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</row>
    <row r="508" ht="14.25" customHeight="1">
      <c r="A508" s="1"/>
      <c r="B508" s="1"/>
      <c r="C508" s="1"/>
      <c r="D508" s="468"/>
      <c r="E508" s="468"/>
      <c r="F508" s="468"/>
      <c r="G508" s="468"/>
      <c r="H508" s="468"/>
      <c r="I508" s="468"/>
      <c r="J508" s="469"/>
      <c r="K508" s="468"/>
      <c r="L508" s="468"/>
      <c r="M508" s="468"/>
      <c r="N508" s="468"/>
      <c r="O508" s="468"/>
      <c r="P508" s="468"/>
      <c r="Q508" s="468"/>
      <c r="R508" s="375"/>
      <c r="S508" s="415"/>
      <c r="T508" s="415"/>
      <c r="U508" s="377"/>
      <c r="V508" s="377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</row>
    <row r="509" ht="14.25" customHeight="1">
      <c r="A509" s="1"/>
      <c r="B509" s="1"/>
      <c r="C509" s="1"/>
      <c r="D509" s="468"/>
      <c r="E509" s="468"/>
      <c r="F509" s="468"/>
      <c r="G509" s="468"/>
      <c r="H509" s="468"/>
      <c r="I509" s="468"/>
      <c r="J509" s="469"/>
      <c r="K509" s="468"/>
      <c r="L509" s="468"/>
      <c r="M509" s="468"/>
      <c r="N509" s="468"/>
      <c r="O509" s="468"/>
      <c r="P509" s="468"/>
      <c r="Q509" s="468"/>
      <c r="R509" s="375"/>
      <c r="S509" s="415"/>
      <c r="T509" s="415"/>
      <c r="U509" s="377"/>
      <c r="V509" s="377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</row>
    <row r="510" ht="14.25" customHeight="1">
      <c r="A510" s="1"/>
      <c r="B510" s="1"/>
      <c r="C510" s="1"/>
      <c r="D510" s="468"/>
      <c r="E510" s="468"/>
      <c r="F510" s="468"/>
      <c r="G510" s="468"/>
      <c r="H510" s="468"/>
      <c r="I510" s="468"/>
      <c r="J510" s="469"/>
      <c r="K510" s="468"/>
      <c r="L510" s="468"/>
      <c r="M510" s="468"/>
      <c r="N510" s="468"/>
      <c r="O510" s="468"/>
      <c r="P510" s="468"/>
      <c r="Q510" s="468"/>
      <c r="R510" s="375"/>
      <c r="S510" s="415"/>
      <c r="T510" s="415"/>
      <c r="U510" s="377"/>
      <c r="V510" s="377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</row>
    <row r="511" ht="14.25" customHeight="1">
      <c r="A511" s="1"/>
      <c r="B511" s="1"/>
      <c r="C511" s="1"/>
      <c r="D511" s="468"/>
      <c r="E511" s="468"/>
      <c r="F511" s="468"/>
      <c r="G511" s="468"/>
      <c r="H511" s="468"/>
      <c r="I511" s="468"/>
      <c r="J511" s="469"/>
      <c r="K511" s="468"/>
      <c r="L511" s="468"/>
      <c r="M511" s="468"/>
      <c r="N511" s="468"/>
      <c r="O511" s="468"/>
      <c r="P511" s="468"/>
      <c r="Q511" s="468"/>
      <c r="R511" s="375"/>
      <c r="S511" s="415"/>
      <c r="T511" s="415"/>
      <c r="U511" s="377"/>
      <c r="V511" s="377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</row>
    <row r="512" ht="14.25" customHeight="1">
      <c r="A512" s="1"/>
      <c r="B512" s="1"/>
      <c r="C512" s="1"/>
      <c r="D512" s="468"/>
      <c r="E512" s="468"/>
      <c r="F512" s="468"/>
      <c r="G512" s="468"/>
      <c r="H512" s="468"/>
      <c r="I512" s="468"/>
      <c r="J512" s="469"/>
      <c r="K512" s="468"/>
      <c r="L512" s="468"/>
      <c r="M512" s="468"/>
      <c r="N512" s="468"/>
      <c r="O512" s="468"/>
      <c r="P512" s="468"/>
      <c r="Q512" s="468"/>
      <c r="R512" s="375"/>
      <c r="S512" s="415"/>
      <c r="T512" s="415"/>
      <c r="U512" s="377"/>
      <c r="V512" s="377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</row>
    <row r="513" ht="14.25" customHeight="1">
      <c r="A513" s="1"/>
      <c r="B513" s="1"/>
      <c r="C513" s="1"/>
      <c r="D513" s="468"/>
      <c r="E513" s="468"/>
      <c r="F513" s="468"/>
      <c r="G513" s="468"/>
      <c r="H513" s="468"/>
      <c r="I513" s="468"/>
      <c r="J513" s="469"/>
      <c r="K513" s="468"/>
      <c r="L513" s="468"/>
      <c r="M513" s="468"/>
      <c r="N513" s="468"/>
      <c r="O513" s="468"/>
      <c r="P513" s="468"/>
      <c r="Q513" s="468"/>
      <c r="R513" s="375"/>
      <c r="S513" s="415"/>
      <c r="T513" s="415"/>
      <c r="U513" s="377"/>
      <c r="V513" s="377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</row>
    <row r="514" ht="14.25" customHeight="1">
      <c r="A514" s="1"/>
      <c r="B514" s="1"/>
      <c r="C514" s="1"/>
      <c r="D514" s="468"/>
      <c r="E514" s="468"/>
      <c r="F514" s="468"/>
      <c r="G514" s="468"/>
      <c r="H514" s="468"/>
      <c r="I514" s="468"/>
      <c r="J514" s="469"/>
      <c r="K514" s="468"/>
      <c r="L514" s="468"/>
      <c r="M514" s="468"/>
      <c r="N514" s="468"/>
      <c r="O514" s="468"/>
      <c r="P514" s="468"/>
      <c r="Q514" s="468"/>
      <c r="R514" s="375"/>
      <c r="S514" s="415"/>
      <c r="T514" s="415"/>
      <c r="U514" s="377"/>
      <c r="V514" s="377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</row>
    <row r="515" ht="14.25" customHeight="1">
      <c r="A515" s="1"/>
      <c r="B515" s="1"/>
      <c r="C515" s="1"/>
      <c r="D515" s="468"/>
      <c r="E515" s="468"/>
      <c r="F515" s="468"/>
      <c r="G515" s="468"/>
      <c r="H515" s="468"/>
      <c r="I515" s="468"/>
      <c r="J515" s="469"/>
      <c r="K515" s="468"/>
      <c r="L515" s="468"/>
      <c r="M515" s="468"/>
      <c r="N515" s="468"/>
      <c r="O515" s="468"/>
      <c r="P515" s="468"/>
      <c r="Q515" s="468"/>
      <c r="R515" s="375"/>
      <c r="S515" s="415"/>
      <c r="T515" s="415"/>
      <c r="U515" s="377"/>
      <c r="V515" s="377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</row>
    <row r="516" ht="14.25" customHeight="1">
      <c r="A516" s="1"/>
      <c r="B516" s="1"/>
      <c r="C516" s="1"/>
      <c r="D516" s="468"/>
      <c r="E516" s="468"/>
      <c r="F516" s="468"/>
      <c r="G516" s="468"/>
      <c r="H516" s="468"/>
      <c r="I516" s="468"/>
      <c r="J516" s="469"/>
      <c r="K516" s="468"/>
      <c r="L516" s="468"/>
      <c r="M516" s="468"/>
      <c r="N516" s="468"/>
      <c r="O516" s="468"/>
      <c r="P516" s="468"/>
      <c r="Q516" s="468"/>
      <c r="R516" s="375"/>
      <c r="S516" s="415"/>
      <c r="T516" s="415"/>
      <c r="U516" s="377"/>
      <c r="V516" s="377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</row>
    <row r="517" ht="14.25" customHeight="1">
      <c r="A517" s="1"/>
      <c r="B517" s="1"/>
      <c r="C517" s="1"/>
      <c r="D517" s="468"/>
      <c r="E517" s="468"/>
      <c r="F517" s="468"/>
      <c r="G517" s="468"/>
      <c r="H517" s="468"/>
      <c r="I517" s="468"/>
      <c r="J517" s="469"/>
      <c r="K517" s="468"/>
      <c r="L517" s="468"/>
      <c r="M517" s="468"/>
      <c r="N517" s="468"/>
      <c r="O517" s="468"/>
      <c r="P517" s="468"/>
      <c r="Q517" s="468"/>
      <c r="R517" s="375"/>
      <c r="S517" s="415"/>
      <c r="T517" s="415"/>
      <c r="U517" s="377"/>
      <c r="V517" s="377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</row>
    <row r="518" ht="14.25" customHeight="1">
      <c r="A518" s="1"/>
      <c r="B518" s="1"/>
      <c r="C518" s="1"/>
      <c r="D518" s="468"/>
      <c r="E518" s="468"/>
      <c r="F518" s="468"/>
      <c r="G518" s="468"/>
      <c r="H518" s="468"/>
      <c r="I518" s="468"/>
      <c r="J518" s="469"/>
      <c r="K518" s="468"/>
      <c r="L518" s="468"/>
      <c r="M518" s="468"/>
      <c r="N518" s="468"/>
      <c r="O518" s="468"/>
      <c r="P518" s="468"/>
      <c r="Q518" s="468"/>
      <c r="R518" s="375"/>
      <c r="S518" s="415"/>
      <c r="T518" s="415"/>
      <c r="U518" s="377"/>
      <c r="V518" s="377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</row>
    <row r="519" ht="14.25" customHeight="1">
      <c r="A519" s="1"/>
      <c r="B519" s="1"/>
      <c r="C519" s="1"/>
      <c r="D519" s="468"/>
      <c r="E519" s="468"/>
      <c r="F519" s="468"/>
      <c r="G519" s="468"/>
      <c r="H519" s="468"/>
      <c r="I519" s="468"/>
      <c r="J519" s="469"/>
      <c r="K519" s="468"/>
      <c r="L519" s="468"/>
      <c r="M519" s="468"/>
      <c r="N519" s="468"/>
      <c r="O519" s="468"/>
      <c r="P519" s="468"/>
      <c r="Q519" s="468"/>
      <c r="R519" s="375"/>
      <c r="S519" s="415"/>
      <c r="T519" s="415"/>
      <c r="U519" s="377"/>
      <c r="V519" s="377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</row>
    <row r="520" ht="14.25" customHeight="1">
      <c r="A520" s="1"/>
      <c r="B520" s="1"/>
      <c r="C520" s="1"/>
      <c r="D520" s="468"/>
      <c r="E520" s="468"/>
      <c r="F520" s="468"/>
      <c r="G520" s="468"/>
      <c r="H520" s="468"/>
      <c r="I520" s="468"/>
      <c r="J520" s="469"/>
      <c r="K520" s="468"/>
      <c r="L520" s="468"/>
      <c r="M520" s="468"/>
      <c r="N520" s="468"/>
      <c r="O520" s="468"/>
      <c r="P520" s="468"/>
      <c r="Q520" s="468"/>
      <c r="R520" s="375"/>
      <c r="S520" s="415"/>
      <c r="T520" s="415"/>
      <c r="U520" s="377"/>
      <c r="V520" s="377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</row>
    <row r="521" ht="14.25" customHeight="1">
      <c r="A521" s="1"/>
      <c r="B521" s="1"/>
      <c r="C521" s="1"/>
      <c r="D521" s="468"/>
      <c r="E521" s="468"/>
      <c r="F521" s="468"/>
      <c r="G521" s="468"/>
      <c r="H521" s="468"/>
      <c r="I521" s="468"/>
      <c r="J521" s="469"/>
      <c r="K521" s="468"/>
      <c r="L521" s="468"/>
      <c r="M521" s="468"/>
      <c r="N521" s="468"/>
      <c r="O521" s="468"/>
      <c r="P521" s="468"/>
      <c r="Q521" s="468"/>
      <c r="R521" s="375"/>
      <c r="S521" s="415"/>
      <c r="T521" s="415"/>
      <c r="U521" s="377"/>
      <c r="V521" s="377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</row>
    <row r="522" ht="14.25" customHeight="1">
      <c r="A522" s="1"/>
      <c r="B522" s="1"/>
      <c r="C522" s="1"/>
      <c r="D522" s="468"/>
      <c r="E522" s="468"/>
      <c r="F522" s="468"/>
      <c r="G522" s="468"/>
      <c r="H522" s="468"/>
      <c r="I522" s="468"/>
      <c r="J522" s="469"/>
      <c r="K522" s="468"/>
      <c r="L522" s="468"/>
      <c r="M522" s="468"/>
      <c r="N522" s="468"/>
      <c r="O522" s="468"/>
      <c r="P522" s="468"/>
      <c r="Q522" s="468"/>
      <c r="R522" s="375"/>
      <c r="S522" s="415"/>
      <c r="T522" s="415"/>
      <c r="U522" s="377"/>
      <c r="V522" s="377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</row>
    <row r="523" ht="14.25" customHeight="1">
      <c r="A523" s="1"/>
      <c r="B523" s="1"/>
      <c r="C523" s="1"/>
      <c r="D523" s="468"/>
      <c r="E523" s="468"/>
      <c r="F523" s="468"/>
      <c r="G523" s="468"/>
      <c r="H523" s="468"/>
      <c r="I523" s="468"/>
      <c r="J523" s="469"/>
      <c r="K523" s="468"/>
      <c r="L523" s="468"/>
      <c r="M523" s="468"/>
      <c r="N523" s="468"/>
      <c r="O523" s="468"/>
      <c r="P523" s="468"/>
      <c r="Q523" s="468"/>
      <c r="R523" s="375"/>
      <c r="S523" s="415"/>
      <c r="T523" s="415"/>
      <c r="U523" s="377"/>
      <c r="V523" s="377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</row>
    <row r="524" ht="14.25" customHeight="1">
      <c r="A524" s="1"/>
      <c r="B524" s="1"/>
      <c r="C524" s="1"/>
      <c r="D524" s="468"/>
      <c r="E524" s="468"/>
      <c r="F524" s="468"/>
      <c r="G524" s="468"/>
      <c r="H524" s="468"/>
      <c r="I524" s="468"/>
      <c r="J524" s="469"/>
      <c r="K524" s="468"/>
      <c r="L524" s="468"/>
      <c r="M524" s="468"/>
      <c r="N524" s="468"/>
      <c r="O524" s="468"/>
      <c r="P524" s="468"/>
      <c r="Q524" s="468"/>
      <c r="R524" s="375"/>
      <c r="S524" s="415"/>
      <c r="T524" s="415"/>
      <c r="U524" s="377"/>
      <c r="V524" s="377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</row>
    <row r="525" ht="14.25" customHeight="1">
      <c r="A525" s="1"/>
      <c r="B525" s="1"/>
      <c r="C525" s="1"/>
      <c r="D525" s="468"/>
      <c r="E525" s="468"/>
      <c r="F525" s="468"/>
      <c r="G525" s="468"/>
      <c r="H525" s="468"/>
      <c r="I525" s="468"/>
      <c r="J525" s="469"/>
      <c r="K525" s="468"/>
      <c r="L525" s="468"/>
      <c r="M525" s="468"/>
      <c r="N525" s="468"/>
      <c r="O525" s="468"/>
      <c r="P525" s="468"/>
      <c r="Q525" s="468"/>
      <c r="R525" s="375"/>
      <c r="S525" s="415"/>
      <c r="T525" s="415"/>
      <c r="U525" s="377"/>
      <c r="V525" s="377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</row>
    <row r="526" ht="14.25" customHeight="1">
      <c r="A526" s="1"/>
      <c r="B526" s="1"/>
      <c r="C526" s="1"/>
      <c r="D526" s="468"/>
      <c r="E526" s="468"/>
      <c r="F526" s="468"/>
      <c r="G526" s="468"/>
      <c r="H526" s="468"/>
      <c r="I526" s="468"/>
      <c r="J526" s="469"/>
      <c r="K526" s="468"/>
      <c r="L526" s="468"/>
      <c r="M526" s="468"/>
      <c r="N526" s="468"/>
      <c r="O526" s="468"/>
      <c r="P526" s="468"/>
      <c r="Q526" s="468"/>
      <c r="R526" s="375"/>
      <c r="S526" s="415"/>
      <c r="T526" s="415"/>
      <c r="U526" s="377"/>
      <c r="V526" s="377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</row>
    <row r="527" ht="14.25" customHeight="1">
      <c r="A527" s="1"/>
      <c r="B527" s="1"/>
      <c r="C527" s="1"/>
      <c r="D527" s="468"/>
      <c r="E527" s="468"/>
      <c r="F527" s="468"/>
      <c r="G527" s="468"/>
      <c r="H527" s="468"/>
      <c r="I527" s="468"/>
      <c r="J527" s="469"/>
      <c r="K527" s="468"/>
      <c r="L527" s="468"/>
      <c r="M527" s="468"/>
      <c r="N527" s="468"/>
      <c r="O527" s="468"/>
      <c r="P527" s="468"/>
      <c r="Q527" s="468"/>
      <c r="R527" s="375"/>
      <c r="S527" s="415"/>
      <c r="T527" s="415"/>
      <c r="U527" s="377"/>
      <c r="V527" s="377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</row>
    <row r="528" ht="14.25" customHeight="1">
      <c r="A528" s="1"/>
      <c r="B528" s="1"/>
      <c r="C528" s="1"/>
      <c r="D528" s="468"/>
      <c r="E528" s="468"/>
      <c r="F528" s="468"/>
      <c r="G528" s="468"/>
      <c r="H528" s="468"/>
      <c r="I528" s="468"/>
      <c r="J528" s="469"/>
      <c r="K528" s="468"/>
      <c r="L528" s="468"/>
      <c r="M528" s="468"/>
      <c r="N528" s="468"/>
      <c r="O528" s="468"/>
      <c r="P528" s="468"/>
      <c r="Q528" s="468"/>
      <c r="R528" s="375"/>
      <c r="S528" s="415"/>
      <c r="T528" s="415"/>
      <c r="U528" s="377"/>
      <c r="V528" s="377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</row>
    <row r="529" ht="14.25" customHeight="1">
      <c r="A529" s="1"/>
      <c r="B529" s="1"/>
      <c r="C529" s="1"/>
      <c r="D529" s="468"/>
      <c r="E529" s="468"/>
      <c r="F529" s="468"/>
      <c r="G529" s="468"/>
      <c r="H529" s="468"/>
      <c r="I529" s="468"/>
      <c r="J529" s="469"/>
      <c r="K529" s="468"/>
      <c r="L529" s="468"/>
      <c r="M529" s="468"/>
      <c r="N529" s="468"/>
      <c r="O529" s="468"/>
      <c r="P529" s="468"/>
      <c r="Q529" s="468"/>
      <c r="R529" s="375"/>
      <c r="S529" s="415"/>
      <c r="T529" s="415"/>
      <c r="U529" s="377"/>
      <c r="V529" s="377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</row>
    <row r="530" ht="14.25" customHeight="1">
      <c r="A530" s="1"/>
      <c r="B530" s="1"/>
      <c r="C530" s="1"/>
      <c r="D530" s="468"/>
      <c r="E530" s="468"/>
      <c r="F530" s="468"/>
      <c r="G530" s="468"/>
      <c r="H530" s="468"/>
      <c r="I530" s="468"/>
      <c r="J530" s="469"/>
      <c r="K530" s="468"/>
      <c r="L530" s="468"/>
      <c r="M530" s="468"/>
      <c r="N530" s="468"/>
      <c r="O530" s="468"/>
      <c r="P530" s="468"/>
      <c r="Q530" s="468"/>
      <c r="R530" s="375"/>
      <c r="S530" s="415"/>
      <c r="T530" s="415"/>
      <c r="U530" s="377"/>
      <c r="V530" s="377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</row>
    <row r="531" ht="14.25" customHeight="1">
      <c r="A531" s="1"/>
      <c r="B531" s="1"/>
      <c r="C531" s="1"/>
      <c r="D531" s="468"/>
      <c r="E531" s="468"/>
      <c r="F531" s="468"/>
      <c r="G531" s="468"/>
      <c r="H531" s="468"/>
      <c r="I531" s="468"/>
      <c r="J531" s="469"/>
      <c r="K531" s="468"/>
      <c r="L531" s="468"/>
      <c r="M531" s="468"/>
      <c r="N531" s="468"/>
      <c r="O531" s="468"/>
      <c r="P531" s="468"/>
      <c r="Q531" s="468"/>
      <c r="R531" s="375"/>
      <c r="S531" s="415"/>
      <c r="T531" s="415"/>
      <c r="U531" s="377"/>
      <c r="V531" s="377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</row>
    <row r="532" ht="14.25" customHeight="1">
      <c r="A532" s="1"/>
      <c r="B532" s="1"/>
      <c r="C532" s="1"/>
      <c r="D532" s="468"/>
      <c r="E532" s="468"/>
      <c r="F532" s="468"/>
      <c r="G532" s="468"/>
      <c r="H532" s="468"/>
      <c r="I532" s="468"/>
      <c r="J532" s="469"/>
      <c r="K532" s="468"/>
      <c r="L532" s="468"/>
      <c r="M532" s="468"/>
      <c r="N532" s="468"/>
      <c r="O532" s="468"/>
      <c r="P532" s="468"/>
      <c r="Q532" s="468"/>
      <c r="R532" s="375"/>
      <c r="S532" s="415"/>
      <c r="T532" s="415"/>
      <c r="U532" s="377"/>
      <c r="V532" s="377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</row>
    <row r="533" ht="14.25" customHeight="1">
      <c r="A533" s="1"/>
      <c r="B533" s="1"/>
      <c r="C533" s="1"/>
      <c r="D533" s="468"/>
      <c r="E533" s="468"/>
      <c r="F533" s="468"/>
      <c r="G533" s="468"/>
      <c r="H533" s="468"/>
      <c r="I533" s="468"/>
      <c r="J533" s="469"/>
      <c r="K533" s="468"/>
      <c r="L533" s="468"/>
      <c r="M533" s="468"/>
      <c r="N533" s="468"/>
      <c r="O533" s="468"/>
      <c r="P533" s="468"/>
      <c r="Q533" s="468"/>
      <c r="R533" s="375"/>
      <c r="S533" s="415"/>
      <c r="T533" s="415"/>
      <c r="U533" s="377"/>
      <c r="V533" s="377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</row>
    <row r="534" ht="14.25" customHeight="1">
      <c r="A534" s="1"/>
      <c r="B534" s="1"/>
      <c r="C534" s="1"/>
      <c r="D534" s="468"/>
      <c r="E534" s="468"/>
      <c r="F534" s="468"/>
      <c r="G534" s="468"/>
      <c r="H534" s="468"/>
      <c r="I534" s="468"/>
      <c r="J534" s="469"/>
      <c r="K534" s="468"/>
      <c r="L534" s="468"/>
      <c r="M534" s="468"/>
      <c r="N534" s="468"/>
      <c r="O534" s="468"/>
      <c r="P534" s="468"/>
      <c r="Q534" s="468"/>
      <c r="R534" s="375"/>
      <c r="S534" s="415"/>
      <c r="T534" s="415"/>
      <c r="U534" s="377"/>
      <c r="V534" s="377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</row>
    <row r="535" ht="14.25" customHeight="1">
      <c r="A535" s="1"/>
      <c r="B535" s="1"/>
      <c r="C535" s="1"/>
      <c r="D535" s="468"/>
      <c r="E535" s="468"/>
      <c r="F535" s="468"/>
      <c r="G535" s="468"/>
      <c r="H535" s="468"/>
      <c r="I535" s="468"/>
      <c r="J535" s="469"/>
      <c r="K535" s="468"/>
      <c r="L535" s="468"/>
      <c r="M535" s="468"/>
      <c r="N535" s="468"/>
      <c r="O535" s="468"/>
      <c r="P535" s="468"/>
      <c r="Q535" s="468"/>
      <c r="R535" s="375"/>
      <c r="S535" s="415"/>
      <c r="T535" s="415"/>
      <c r="U535" s="377"/>
      <c r="V535" s="377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</row>
    <row r="536" ht="14.25" customHeight="1">
      <c r="A536" s="1"/>
      <c r="B536" s="1"/>
      <c r="C536" s="1"/>
      <c r="D536" s="468"/>
      <c r="E536" s="468"/>
      <c r="F536" s="468"/>
      <c r="G536" s="468"/>
      <c r="H536" s="468"/>
      <c r="I536" s="468"/>
      <c r="J536" s="469"/>
      <c r="K536" s="468"/>
      <c r="L536" s="468"/>
      <c r="M536" s="468"/>
      <c r="N536" s="468"/>
      <c r="O536" s="468"/>
      <c r="P536" s="468"/>
      <c r="Q536" s="468"/>
      <c r="R536" s="375"/>
      <c r="S536" s="415"/>
      <c r="T536" s="415"/>
      <c r="U536" s="377"/>
      <c r="V536" s="377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</row>
    <row r="537" ht="14.25" customHeight="1">
      <c r="A537" s="1"/>
      <c r="B537" s="1"/>
      <c r="C537" s="1"/>
      <c r="D537" s="468"/>
      <c r="E537" s="468"/>
      <c r="F537" s="468"/>
      <c r="G537" s="468"/>
      <c r="H537" s="468"/>
      <c r="I537" s="468"/>
      <c r="J537" s="469"/>
      <c r="K537" s="468"/>
      <c r="L537" s="468"/>
      <c r="M537" s="468"/>
      <c r="N537" s="468"/>
      <c r="O537" s="468"/>
      <c r="P537" s="468"/>
      <c r="Q537" s="468"/>
      <c r="R537" s="375"/>
      <c r="S537" s="415"/>
      <c r="T537" s="415"/>
      <c r="U537" s="377"/>
      <c r="V537" s="377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</row>
    <row r="538" ht="14.25" customHeight="1">
      <c r="A538" s="1"/>
      <c r="B538" s="1"/>
      <c r="C538" s="1"/>
      <c r="D538" s="468"/>
      <c r="E538" s="468"/>
      <c r="F538" s="468"/>
      <c r="G538" s="468"/>
      <c r="H538" s="468"/>
      <c r="I538" s="468"/>
      <c r="J538" s="469"/>
      <c r="K538" s="468"/>
      <c r="L538" s="468"/>
      <c r="M538" s="468"/>
      <c r="N538" s="468"/>
      <c r="O538" s="468"/>
      <c r="P538" s="468"/>
      <c r="Q538" s="468"/>
      <c r="R538" s="375"/>
      <c r="S538" s="415"/>
      <c r="T538" s="415"/>
      <c r="U538" s="377"/>
      <c r="V538" s="377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</row>
    <row r="539" ht="14.25" customHeight="1">
      <c r="A539" s="1"/>
      <c r="B539" s="1"/>
      <c r="C539" s="1"/>
      <c r="D539" s="468"/>
      <c r="E539" s="468"/>
      <c r="F539" s="468"/>
      <c r="G539" s="468"/>
      <c r="H539" s="468"/>
      <c r="I539" s="468"/>
      <c r="J539" s="469"/>
      <c r="K539" s="468"/>
      <c r="L539" s="468"/>
      <c r="M539" s="468"/>
      <c r="N539" s="468"/>
      <c r="O539" s="468"/>
      <c r="P539" s="468"/>
      <c r="Q539" s="468"/>
      <c r="R539" s="375"/>
      <c r="S539" s="415"/>
      <c r="T539" s="415"/>
      <c r="U539" s="377"/>
      <c r="V539" s="377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</row>
    <row r="540" ht="14.25" customHeight="1">
      <c r="A540" s="1"/>
      <c r="B540" s="1"/>
      <c r="C540" s="1"/>
      <c r="D540" s="468"/>
      <c r="E540" s="468"/>
      <c r="F540" s="468"/>
      <c r="G540" s="468"/>
      <c r="H540" s="468"/>
      <c r="I540" s="468"/>
      <c r="J540" s="469"/>
      <c r="K540" s="468"/>
      <c r="L540" s="468"/>
      <c r="M540" s="468"/>
      <c r="N540" s="468"/>
      <c r="O540" s="468"/>
      <c r="P540" s="468"/>
      <c r="Q540" s="468"/>
      <c r="R540" s="375"/>
      <c r="S540" s="415"/>
      <c r="T540" s="415"/>
      <c r="U540" s="377"/>
      <c r="V540" s="377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</row>
    <row r="541" ht="14.25" customHeight="1">
      <c r="A541" s="1"/>
      <c r="B541" s="1"/>
      <c r="C541" s="1"/>
      <c r="D541" s="468"/>
      <c r="E541" s="468"/>
      <c r="F541" s="468"/>
      <c r="G541" s="468"/>
      <c r="H541" s="468"/>
      <c r="I541" s="468"/>
      <c r="J541" s="469"/>
      <c r="K541" s="468"/>
      <c r="L541" s="468"/>
      <c r="M541" s="468"/>
      <c r="N541" s="468"/>
      <c r="O541" s="468"/>
      <c r="P541" s="468"/>
      <c r="Q541" s="468"/>
      <c r="R541" s="375"/>
      <c r="S541" s="415"/>
      <c r="T541" s="415"/>
      <c r="U541" s="377"/>
      <c r="V541" s="377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</row>
    <row r="542" ht="14.25" customHeight="1">
      <c r="A542" s="1"/>
      <c r="B542" s="1"/>
      <c r="C542" s="1"/>
      <c r="D542" s="468"/>
      <c r="E542" s="468"/>
      <c r="F542" s="468"/>
      <c r="G542" s="468"/>
      <c r="H542" s="468"/>
      <c r="I542" s="468"/>
      <c r="J542" s="469"/>
      <c r="K542" s="468"/>
      <c r="L542" s="468"/>
      <c r="M542" s="468"/>
      <c r="N542" s="468"/>
      <c r="O542" s="468"/>
      <c r="P542" s="468"/>
      <c r="Q542" s="468"/>
      <c r="R542" s="375"/>
      <c r="S542" s="415"/>
      <c r="T542" s="415"/>
      <c r="U542" s="377"/>
      <c r="V542" s="377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</row>
    <row r="543" ht="14.25" customHeight="1">
      <c r="A543" s="1"/>
      <c r="B543" s="1"/>
      <c r="C543" s="1"/>
      <c r="D543" s="468"/>
      <c r="E543" s="468"/>
      <c r="F543" s="468"/>
      <c r="G543" s="468"/>
      <c r="H543" s="468"/>
      <c r="I543" s="468"/>
      <c r="J543" s="469"/>
      <c r="K543" s="468"/>
      <c r="L543" s="468"/>
      <c r="M543" s="468"/>
      <c r="N543" s="468"/>
      <c r="O543" s="468"/>
      <c r="P543" s="468"/>
      <c r="Q543" s="468"/>
      <c r="R543" s="375"/>
      <c r="S543" s="415"/>
      <c r="T543" s="415"/>
      <c r="U543" s="377"/>
      <c r="V543" s="377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</row>
    <row r="544" ht="14.25" customHeight="1">
      <c r="A544" s="1"/>
      <c r="B544" s="1"/>
      <c r="C544" s="1"/>
      <c r="D544" s="468"/>
      <c r="E544" s="468"/>
      <c r="F544" s="468"/>
      <c r="G544" s="468"/>
      <c r="H544" s="468"/>
      <c r="I544" s="468"/>
      <c r="J544" s="469"/>
      <c r="K544" s="468"/>
      <c r="L544" s="468"/>
      <c r="M544" s="468"/>
      <c r="N544" s="468"/>
      <c r="O544" s="468"/>
      <c r="P544" s="468"/>
      <c r="Q544" s="468"/>
      <c r="R544" s="375"/>
      <c r="S544" s="415"/>
      <c r="T544" s="415"/>
      <c r="U544" s="377"/>
      <c r="V544" s="377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</row>
    <row r="545" ht="14.25" customHeight="1">
      <c r="A545" s="1"/>
      <c r="B545" s="1"/>
      <c r="C545" s="1"/>
      <c r="D545" s="468"/>
      <c r="E545" s="468"/>
      <c r="F545" s="468"/>
      <c r="G545" s="468"/>
      <c r="H545" s="468"/>
      <c r="I545" s="468"/>
      <c r="J545" s="469"/>
      <c r="K545" s="468"/>
      <c r="L545" s="468"/>
      <c r="M545" s="468"/>
      <c r="N545" s="468"/>
      <c r="O545" s="468"/>
      <c r="P545" s="468"/>
      <c r="Q545" s="468"/>
      <c r="R545" s="375"/>
      <c r="S545" s="415"/>
      <c r="T545" s="415"/>
      <c r="U545" s="377"/>
      <c r="V545" s="377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</row>
    <row r="546" ht="14.25" customHeight="1">
      <c r="A546" s="1"/>
      <c r="B546" s="1"/>
      <c r="C546" s="1"/>
      <c r="D546" s="468"/>
      <c r="E546" s="468"/>
      <c r="F546" s="468"/>
      <c r="G546" s="468"/>
      <c r="H546" s="468"/>
      <c r="I546" s="468"/>
      <c r="J546" s="469"/>
      <c r="K546" s="468"/>
      <c r="L546" s="468"/>
      <c r="M546" s="468"/>
      <c r="N546" s="468"/>
      <c r="O546" s="468"/>
      <c r="P546" s="468"/>
      <c r="Q546" s="468"/>
      <c r="R546" s="375"/>
      <c r="S546" s="415"/>
      <c r="T546" s="415"/>
      <c r="U546" s="377"/>
      <c r="V546" s="377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</row>
    <row r="547" ht="14.25" customHeight="1">
      <c r="A547" s="1"/>
      <c r="B547" s="1"/>
      <c r="C547" s="1"/>
      <c r="D547" s="468"/>
      <c r="E547" s="468"/>
      <c r="F547" s="468"/>
      <c r="G547" s="468"/>
      <c r="H547" s="468"/>
      <c r="I547" s="468"/>
      <c r="J547" s="469"/>
      <c r="K547" s="468"/>
      <c r="L547" s="468"/>
      <c r="M547" s="468"/>
      <c r="N547" s="468"/>
      <c r="O547" s="468"/>
      <c r="P547" s="468"/>
      <c r="Q547" s="468"/>
      <c r="R547" s="375"/>
      <c r="S547" s="415"/>
      <c r="T547" s="415"/>
      <c r="U547" s="377"/>
      <c r="V547" s="377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</row>
    <row r="548" ht="14.25" customHeight="1">
      <c r="A548" s="1"/>
      <c r="B548" s="1"/>
      <c r="C548" s="1"/>
      <c r="D548" s="468"/>
      <c r="E548" s="468"/>
      <c r="F548" s="468"/>
      <c r="G548" s="468"/>
      <c r="H548" s="468"/>
      <c r="I548" s="468"/>
      <c r="J548" s="469"/>
      <c r="K548" s="468"/>
      <c r="L548" s="468"/>
      <c r="M548" s="468"/>
      <c r="N548" s="468"/>
      <c r="O548" s="468"/>
      <c r="P548" s="468"/>
      <c r="Q548" s="468"/>
      <c r="R548" s="375"/>
      <c r="S548" s="415"/>
      <c r="T548" s="415"/>
      <c r="U548" s="377"/>
      <c r="V548" s="377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</row>
    <row r="549" ht="14.25" customHeight="1">
      <c r="A549" s="1"/>
      <c r="B549" s="1"/>
      <c r="C549" s="1"/>
      <c r="D549" s="468"/>
      <c r="E549" s="468"/>
      <c r="F549" s="468"/>
      <c r="G549" s="468"/>
      <c r="H549" s="468"/>
      <c r="I549" s="468"/>
      <c r="J549" s="469"/>
      <c r="K549" s="468"/>
      <c r="L549" s="468"/>
      <c r="M549" s="468"/>
      <c r="N549" s="468"/>
      <c r="O549" s="468"/>
      <c r="P549" s="468"/>
      <c r="Q549" s="468"/>
      <c r="R549" s="375"/>
      <c r="S549" s="415"/>
      <c r="T549" s="415"/>
      <c r="U549" s="377"/>
      <c r="V549" s="377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</row>
    <row r="550" ht="14.25" customHeight="1">
      <c r="A550" s="1"/>
      <c r="B550" s="1"/>
      <c r="C550" s="1"/>
      <c r="D550" s="468"/>
      <c r="E550" s="468"/>
      <c r="F550" s="468"/>
      <c r="G550" s="468"/>
      <c r="H550" s="468"/>
      <c r="I550" s="468"/>
      <c r="J550" s="469"/>
      <c r="K550" s="468"/>
      <c r="L550" s="468"/>
      <c r="M550" s="468"/>
      <c r="N550" s="468"/>
      <c r="O550" s="468"/>
      <c r="P550" s="468"/>
      <c r="Q550" s="468"/>
      <c r="R550" s="375"/>
      <c r="S550" s="415"/>
      <c r="T550" s="415"/>
      <c r="U550" s="377"/>
      <c r="V550" s="377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</row>
    <row r="551" ht="14.25" customHeight="1">
      <c r="A551" s="1"/>
      <c r="B551" s="1"/>
      <c r="C551" s="1"/>
      <c r="D551" s="468"/>
      <c r="E551" s="468"/>
      <c r="F551" s="468"/>
      <c r="G551" s="468"/>
      <c r="H551" s="468"/>
      <c r="I551" s="468"/>
      <c r="J551" s="469"/>
      <c r="K551" s="468"/>
      <c r="L551" s="468"/>
      <c r="M551" s="468"/>
      <c r="N551" s="468"/>
      <c r="O551" s="468"/>
      <c r="P551" s="468"/>
      <c r="Q551" s="468"/>
      <c r="R551" s="375"/>
      <c r="S551" s="415"/>
      <c r="T551" s="415"/>
      <c r="U551" s="377"/>
      <c r="V551" s="377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</row>
    <row r="552" ht="14.25" customHeight="1">
      <c r="A552" s="1"/>
      <c r="B552" s="1"/>
      <c r="C552" s="1"/>
      <c r="D552" s="468"/>
      <c r="E552" s="468"/>
      <c r="F552" s="468"/>
      <c r="G552" s="468"/>
      <c r="H552" s="468"/>
      <c r="I552" s="468"/>
      <c r="J552" s="469"/>
      <c r="K552" s="468"/>
      <c r="L552" s="468"/>
      <c r="M552" s="468"/>
      <c r="N552" s="468"/>
      <c r="O552" s="468"/>
      <c r="P552" s="468"/>
      <c r="Q552" s="468"/>
      <c r="R552" s="375"/>
      <c r="S552" s="415"/>
      <c r="T552" s="415"/>
      <c r="U552" s="377"/>
      <c r="V552" s="377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</row>
    <row r="553" ht="14.25" customHeight="1">
      <c r="A553" s="1"/>
      <c r="B553" s="1"/>
      <c r="C553" s="1"/>
      <c r="D553" s="468"/>
      <c r="E553" s="468"/>
      <c r="F553" s="468"/>
      <c r="G553" s="468"/>
      <c r="H553" s="468"/>
      <c r="I553" s="468"/>
      <c r="J553" s="469"/>
      <c r="K553" s="468"/>
      <c r="L553" s="468"/>
      <c r="M553" s="468"/>
      <c r="N553" s="468"/>
      <c r="O553" s="468"/>
      <c r="P553" s="468"/>
      <c r="Q553" s="468"/>
      <c r="R553" s="375"/>
      <c r="S553" s="415"/>
      <c r="T553" s="415"/>
      <c r="U553" s="377"/>
      <c r="V553" s="377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</row>
    <row r="554" ht="14.25" customHeight="1">
      <c r="A554" s="1"/>
      <c r="B554" s="1"/>
      <c r="C554" s="1"/>
      <c r="D554" s="468"/>
      <c r="E554" s="468"/>
      <c r="F554" s="468"/>
      <c r="G554" s="468"/>
      <c r="H554" s="468"/>
      <c r="I554" s="468"/>
      <c r="J554" s="469"/>
      <c r="K554" s="468"/>
      <c r="L554" s="468"/>
      <c r="M554" s="468"/>
      <c r="N554" s="468"/>
      <c r="O554" s="468"/>
      <c r="P554" s="468"/>
      <c r="Q554" s="468"/>
      <c r="R554" s="375"/>
      <c r="S554" s="415"/>
      <c r="T554" s="415"/>
      <c r="U554" s="377"/>
      <c r="V554" s="377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</row>
    <row r="555" ht="14.25" customHeight="1">
      <c r="A555" s="1"/>
      <c r="B555" s="1"/>
      <c r="C555" s="1"/>
      <c r="D555" s="468"/>
      <c r="E555" s="468"/>
      <c r="F555" s="468"/>
      <c r="G555" s="468"/>
      <c r="H555" s="468"/>
      <c r="I555" s="468"/>
      <c r="J555" s="469"/>
      <c r="K555" s="468"/>
      <c r="L555" s="468"/>
      <c r="M555" s="468"/>
      <c r="N555" s="468"/>
      <c r="O555" s="468"/>
      <c r="P555" s="468"/>
      <c r="Q555" s="468"/>
      <c r="R555" s="375"/>
      <c r="S555" s="415"/>
      <c r="T555" s="415"/>
      <c r="U555" s="377"/>
      <c r="V555" s="377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</row>
    <row r="556" ht="14.25" customHeight="1">
      <c r="A556" s="1"/>
      <c r="B556" s="1"/>
      <c r="C556" s="1"/>
      <c r="D556" s="468"/>
      <c r="E556" s="468"/>
      <c r="F556" s="468"/>
      <c r="G556" s="468"/>
      <c r="H556" s="468"/>
      <c r="I556" s="468"/>
      <c r="J556" s="469"/>
      <c r="K556" s="468"/>
      <c r="L556" s="468"/>
      <c r="M556" s="468"/>
      <c r="N556" s="468"/>
      <c r="O556" s="468"/>
      <c r="P556" s="468"/>
      <c r="Q556" s="468"/>
      <c r="R556" s="375"/>
      <c r="S556" s="415"/>
      <c r="T556" s="415"/>
      <c r="U556" s="377"/>
      <c r="V556" s="377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</row>
    <row r="557" ht="14.25" customHeight="1">
      <c r="A557" s="1"/>
      <c r="B557" s="1"/>
      <c r="C557" s="1"/>
      <c r="D557" s="468"/>
      <c r="E557" s="468"/>
      <c r="F557" s="468"/>
      <c r="G557" s="468"/>
      <c r="H557" s="468"/>
      <c r="I557" s="468"/>
      <c r="J557" s="469"/>
      <c r="K557" s="468"/>
      <c r="L557" s="468"/>
      <c r="M557" s="468"/>
      <c r="N557" s="468"/>
      <c r="O557" s="468"/>
      <c r="P557" s="468"/>
      <c r="Q557" s="468"/>
      <c r="R557" s="375"/>
      <c r="S557" s="415"/>
      <c r="T557" s="415"/>
      <c r="U557" s="377"/>
      <c r="V557" s="377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</row>
    <row r="558" ht="14.25" customHeight="1">
      <c r="A558" s="1"/>
      <c r="B558" s="1"/>
      <c r="C558" s="1"/>
      <c r="D558" s="468"/>
      <c r="E558" s="468"/>
      <c r="F558" s="468"/>
      <c r="G558" s="468"/>
      <c r="H558" s="468"/>
      <c r="I558" s="468"/>
      <c r="J558" s="469"/>
      <c r="K558" s="468"/>
      <c r="L558" s="468"/>
      <c r="M558" s="468"/>
      <c r="N558" s="468"/>
      <c r="O558" s="468"/>
      <c r="P558" s="468"/>
      <c r="Q558" s="468"/>
      <c r="R558" s="375"/>
      <c r="S558" s="415"/>
      <c r="T558" s="415"/>
      <c r="U558" s="377"/>
      <c r="V558" s="377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</row>
    <row r="559" ht="14.25" customHeight="1">
      <c r="A559" s="1"/>
      <c r="B559" s="1"/>
      <c r="C559" s="1"/>
      <c r="D559" s="468"/>
      <c r="E559" s="468"/>
      <c r="F559" s="468"/>
      <c r="G559" s="468"/>
      <c r="H559" s="468"/>
      <c r="I559" s="468"/>
      <c r="J559" s="469"/>
      <c r="K559" s="468"/>
      <c r="L559" s="468"/>
      <c r="M559" s="468"/>
      <c r="N559" s="468"/>
      <c r="O559" s="468"/>
      <c r="P559" s="468"/>
      <c r="Q559" s="468"/>
      <c r="R559" s="375"/>
      <c r="S559" s="415"/>
      <c r="T559" s="415"/>
      <c r="U559" s="377"/>
      <c r="V559" s="377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</row>
    <row r="560" ht="14.25" customHeight="1">
      <c r="A560" s="1"/>
      <c r="B560" s="1"/>
      <c r="C560" s="1"/>
      <c r="D560" s="468"/>
      <c r="E560" s="468"/>
      <c r="F560" s="468"/>
      <c r="G560" s="468"/>
      <c r="H560" s="468"/>
      <c r="I560" s="468"/>
      <c r="J560" s="469"/>
      <c r="K560" s="468"/>
      <c r="L560" s="468"/>
      <c r="M560" s="468"/>
      <c r="N560" s="468"/>
      <c r="O560" s="468"/>
      <c r="P560" s="468"/>
      <c r="Q560" s="468"/>
      <c r="R560" s="375"/>
      <c r="S560" s="415"/>
      <c r="T560" s="415"/>
      <c r="U560" s="377"/>
      <c r="V560" s="377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</row>
    <row r="561" ht="14.25" customHeight="1">
      <c r="A561" s="1"/>
      <c r="B561" s="1"/>
      <c r="C561" s="1"/>
      <c r="D561" s="468"/>
      <c r="E561" s="468"/>
      <c r="F561" s="468"/>
      <c r="G561" s="468"/>
      <c r="H561" s="468"/>
      <c r="I561" s="468"/>
      <c r="J561" s="469"/>
      <c r="K561" s="468"/>
      <c r="L561" s="468"/>
      <c r="M561" s="468"/>
      <c r="N561" s="468"/>
      <c r="O561" s="468"/>
      <c r="P561" s="468"/>
      <c r="Q561" s="468"/>
      <c r="R561" s="375"/>
      <c r="S561" s="415"/>
      <c r="T561" s="415"/>
      <c r="U561" s="377"/>
      <c r="V561" s="377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</row>
    <row r="562" ht="14.25" customHeight="1">
      <c r="A562" s="1"/>
      <c r="B562" s="1"/>
      <c r="C562" s="1"/>
      <c r="D562" s="468"/>
      <c r="E562" s="468"/>
      <c r="F562" s="468"/>
      <c r="G562" s="468"/>
      <c r="H562" s="468"/>
      <c r="I562" s="468"/>
      <c r="J562" s="469"/>
      <c r="K562" s="468"/>
      <c r="L562" s="468"/>
      <c r="M562" s="468"/>
      <c r="N562" s="468"/>
      <c r="O562" s="468"/>
      <c r="P562" s="468"/>
      <c r="Q562" s="468"/>
      <c r="R562" s="375"/>
      <c r="S562" s="415"/>
      <c r="T562" s="415"/>
      <c r="U562" s="377"/>
      <c r="V562" s="377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</row>
    <row r="563" ht="14.25" customHeight="1">
      <c r="A563" s="1"/>
      <c r="B563" s="1"/>
      <c r="C563" s="1"/>
      <c r="D563" s="468"/>
      <c r="E563" s="468"/>
      <c r="F563" s="468"/>
      <c r="G563" s="468"/>
      <c r="H563" s="468"/>
      <c r="I563" s="468"/>
      <c r="J563" s="469"/>
      <c r="K563" s="468"/>
      <c r="L563" s="468"/>
      <c r="M563" s="468"/>
      <c r="N563" s="468"/>
      <c r="O563" s="468"/>
      <c r="P563" s="468"/>
      <c r="Q563" s="468"/>
      <c r="R563" s="375"/>
      <c r="S563" s="415"/>
      <c r="T563" s="415"/>
      <c r="U563" s="377"/>
      <c r="V563" s="377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</row>
    <row r="564" ht="14.25" customHeight="1">
      <c r="A564" s="1"/>
      <c r="B564" s="1"/>
      <c r="C564" s="1"/>
      <c r="D564" s="468"/>
      <c r="E564" s="468"/>
      <c r="F564" s="468"/>
      <c r="G564" s="468"/>
      <c r="H564" s="468"/>
      <c r="I564" s="468"/>
      <c r="J564" s="469"/>
      <c r="K564" s="468"/>
      <c r="L564" s="468"/>
      <c r="M564" s="468"/>
      <c r="N564" s="468"/>
      <c r="O564" s="468"/>
      <c r="P564" s="468"/>
      <c r="Q564" s="468"/>
      <c r="R564" s="375"/>
      <c r="S564" s="415"/>
      <c r="T564" s="415"/>
      <c r="U564" s="377"/>
      <c r="V564" s="377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</row>
    <row r="565" ht="14.25" customHeight="1">
      <c r="A565" s="1"/>
      <c r="B565" s="1"/>
      <c r="C565" s="1"/>
      <c r="D565" s="468"/>
      <c r="E565" s="468"/>
      <c r="F565" s="468"/>
      <c r="G565" s="468"/>
      <c r="H565" s="468"/>
      <c r="I565" s="468"/>
      <c r="J565" s="469"/>
      <c r="K565" s="468"/>
      <c r="L565" s="468"/>
      <c r="M565" s="468"/>
      <c r="N565" s="468"/>
      <c r="O565" s="468"/>
      <c r="P565" s="468"/>
      <c r="Q565" s="468"/>
      <c r="R565" s="375"/>
      <c r="S565" s="415"/>
      <c r="T565" s="415"/>
      <c r="U565" s="377"/>
      <c r="V565" s="377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</row>
    <row r="566" ht="14.25" customHeight="1">
      <c r="A566" s="1"/>
      <c r="B566" s="1"/>
      <c r="C566" s="1"/>
      <c r="D566" s="468"/>
      <c r="E566" s="468"/>
      <c r="F566" s="468"/>
      <c r="G566" s="468"/>
      <c r="H566" s="468"/>
      <c r="I566" s="468"/>
      <c r="J566" s="469"/>
      <c r="K566" s="468"/>
      <c r="L566" s="468"/>
      <c r="M566" s="468"/>
      <c r="N566" s="468"/>
      <c r="O566" s="468"/>
      <c r="P566" s="468"/>
      <c r="Q566" s="468"/>
      <c r="R566" s="375"/>
      <c r="S566" s="415"/>
      <c r="T566" s="415"/>
      <c r="U566" s="377"/>
      <c r="V566" s="377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</row>
    <row r="567" ht="14.25" customHeight="1">
      <c r="A567" s="1"/>
      <c r="B567" s="1"/>
      <c r="C567" s="1"/>
      <c r="D567" s="468"/>
      <c r="E567" s="468"/>
      <c r="F567" s="468"/>
      <c r="G567" s="468"/>
      <c r="H567" s="468"/>
      <c r="I567" s="468"/>
      <c r="J567" s="469"/>
      <c r="K567" s="468"/>
      <c r="L567" s="468"/>
      <c r="M567" s="468"/>
      <c r="N567" s="468"/>
      <c r="O567" s="468"/>
      <c r="P567" s="468"/>
      <c r="Q567" s="468"/>
      <c r="R567" s="375"/>
      <c r="S567" s="415"/>
      <c r="T567" s="415"/>
      <c r="U567" s="377"/>
      <c r="V567" s="377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</row>
    <row r="568" ht="14.25" customHeight="1">
      <c r="A568" s="1"/>
      <c r="B568" s="1"/>
      <c r="C568" s="1"/>
      <c r="D568" s="468"/>
      <c r="E568" s="468"/>
      <c r="F568" s="468"/>
      <c r="G568" s="468"/>
      <c r="H568" s="468"/>
      <c r="I568" s="468"/>
      <c r="J568" s="469"/>
      <c r="K568" s="468"/>
      <c r="L568" s="468"/>
      <c r="M568" s="468"/>
      <c r="N568" s="468"/>
      <c r="O568" s="468"/>
      <c r="P568" s="468"/>
      <c r="Q568" s="468"/>
      <c r="R568" s="375"/>
      <c r="S568" s="415"/>
      <c r="T568" s="415"/>
      <c r="U568" s="377"/>
      <c r="V568" s="377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</row>
    <row r="569" ht="14.25" customHeight="1">
      <c r="A569" s="1"/>
      <c r="B569" s="1"/>
      <c r="C569" s="1"/>
      <c r="D569" s="468"/>
      <c r="E569" s="468"/>
      <c r="F569" s="468"/>
      <c r="G569" s="468"/>
      <c r="H569" s="468"/>
      <c r="I569" s="468"/>
      <c r="J569" s="469"/>
      <c r="K569" s="468"/>
      <c r="L569" s="468"/>
      <c r="M569" s="468"/>
      <c r="N569" s="468"/>
      <c r="O569" s="468"/>
      <c r="P569" s="468"/>
      <c r="Q569" s="468"/>
      <c r="R569" s="375"/>
      <c r="S569" s="415"/>
      <c r="T569" s="415"/>
      <c r="U569" s="377"/>
      <c r="V569" s="377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</row>
    <row r="570" ht="14.25" customHeight="1">
      <c r="A570" s="1"/>
      <c r="B570" s="1"/>
      <c r="C570" s="1"/>
      <c r="D570" s="468"/>
      <c r="E570" s="468"/>
      <c r="F570" s="468"/>
      <c r="G570" s="468"/>
      <c r="H570" s="468"/>
      <c r="I570" s="468"/>
      <c r="J570" s="469"/>
      <c r="K570" s="468"/>
      <c r="L570" s="468"/>
      <c r="M570" s="468"/>
      <c r="N570" s="468"/>
      <c r="O570" s="468"/>
      <c r="P570" s="468"/>
      <c r="Q570" s="468"/>
      <c r="R570" s="375"/>
      <c r="S570" s="415"/>
      <c r="T570" s="415"/>
      <c r="U570" s="377"/>
      <c r="V570" s="377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</row>
    <row r="571" ht="14.25" customHeight="1">
      <c r="A571" s="1"/>
      <c r="B571" s="1"/>
      <c r="C571" s="1"/>
      <c r="D571" s="468"/>
      <c r="E571" s="468"/>
      <c r="F571" s="468"/>
      <c r="G571" s="468"/>
      <c r="H571" s="468"/>
      <c r="I571" s="468"/>
      <c r="J571" s="469"/>
      <c r="K571" s="468"/>
      <c r="L571" s="468"/>
      <c r="M571" s="468"/>
      <c r="N571" s="468"/>
      <c r="O571" s="468"/>
      <c r="P571" s="468"/>
      <c r="Q571" s="468"/>
      <c r="R571" s="375"/>
      <c r="S571" s="415"/>
      <c r="T571" s="415"/>
      <c r="U571" s="377"/>
      <c r="V571" s="377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</row>
    <row r="572" ht="14.25" customHeight="1">
      <c r="A572" s="1"/>
      <c r="B572" s="1"/>
      <c r="C572" s="1"/>
      <c r="D572" s="468"/>
      <c r="E572" s="468"/>
      <c r="F572" s="468"/>
      <c r="G572" s="468"/>
      <c r="H572" s="468"/>
      <c r="I572" s="468"/>
      <c r="J572" s="469"/>
      <c r="K572" s="468"/>
      <c r="L572" s="468"/>
      <c r="M572" s="468"/>
      <c r="N572" s="468"/>
      <c r="O572" s="468"/>
      <c r="P572" s="468"/>
      <c r="Q572" s="468"/>
      <c r="R572" s="375"/>
      <c r="S572" s="415"/>
      <c r="T572" s="415"/>
      <c r="U572" s="377"/>
      <c r="V572" s="377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</row>
    <row r="573" ht="14.25" customHeight="1">
      <c r="A573" s="1"/>
      <c r="B573" s="1"/>
      <c r="C573" s="1"/>
      <c r="D573" s="468"/>
      <c r="E573" s="468"/>
      <c r="F573" s="468"/>
      <c r="G573" s="468"/>
      <c r="H573" s="468"/>
      <c r="I573" s="468"/>
      <c r="J573" s="469"/>
      <c r="K573" s="468"/>
      <c r="L573" s="468"/>
      <c r="M573" s="468"/>
      <c r="N573" s="468"/>
      <c r="O573" s="468"/>
      <c r="P573" s="468"/>
      <c r="Q573" s="468"/>
      <c r="R573" s="375"/>
      <c r="S573" s="415"/>
      <c r="T573" s="415"/>
      <c r="U573" s="377"/>
      <c r="V573" s="377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</row>
    <row r="574" ht="14.25" customHeight="1">
      <c r="A574" s="1"/>
      <c r="B574" s="1"/>
      <c r="C574" s="1"/>
      <c r="D574" s="468"/>
      <c r="E574" s="468"/>
      <c r="F574" s="468"/>
      <c r="G574" s="468"/>
      <c r="H574" s="468"/>
      <c r="I574" s="468"/>
      <c r="J574" s="469"/>
      <c r="K574" s="468"/>
      <c r="L574" s="468"/>
      <c r="M574" s="468"/>
      <c r="N574" s="468"/>
      <c r="O574" s="468"/>
      <c r="P574" s="468"/>
      <c r="Q574" s="468"/>
      <c r="R574" s="375"/>
      <c r="S574" s="415"/>
      <c r="T574" s="415"/>
      <c r="U574" s="377"/>
      <c r="V574" s="377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</row>
    <row r="575" ht="14.25" customHeight="1">
      <c r="A575" s="1"/>
      <c r="B575" s="1"/>
      <c r="C575" s="1"/>
      <c r="D575" s="468"/>
      <c r="E575" s="468"/>
      <c r="F575" s="468"/>
      <c r="G575" s="468"/>
      <c r="H575" s="468"/>
      <c r="I575" s="468"/>
      <c r="J575" s="469"/>
      <c r="K575" s="468"/>
      <c r="L575" s="468"/>
      <c r="M575" s="468"/>
      <c r="N575" s="468"/>
      <c r="O575" s="468"/>
      <c r="P575" s="468"/>
      <c r="Q575" s="468"/>
      <c r="R575" s="375"/>
      <c r="S575" s="415"/>
      <c r="T575" s="415"/>
      <c r="U575" s="377"/>
      <c r="V575" s="377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</row>
    <row r="576" ht="14.25" customHeight="1">
      <c r="A576" s="1"/>
      <c r="B576" s="1"/>
      <c r="C576" s="1"/>
      <c r="D576" s="468"/>
      <c r="E576" s="468"/>
      <c r="F576" s="468"/>
      <c r="G576" s="468"/>
      <c r="H576" s="468"/>
      <c r="I576" s="468"/>
      <c r="J576" s="469"/>
      <c r="K576" s="468"/>
      <c r="L576" s="468"/>
      <c r="M576" s="468"/>
      <c r="N576" s="468"/>
      <c r="O576" s="468"/>
      <c r="P576" s="468"/>
      <c r="Q576" s="468"/>
      <c r="R576" s="375"/>
      <c r="S576" s="415"/>
      <c r="T576" s="415"/>
      <c r="U576" s="377"/>
      <c r="V576" s="377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</row>
    <row r="577" ht="14.25" customHeight="1">
      <c r="A577" s="1"/>
      <c r="B577" s="1"/>
      <c r="C577" s="1"/>
      <c r="D577" s="468"/>
      <c r="E577" s="468"/>
      <c r="F577" s="468"/>
      <c r="G577" s="468"/>
      <c r="H577" s="468"/>
      <c r="I577" s="468"/>
      <c r="J577" s="469"/>
      <c r="K577" s="468"/>
      <c r="L577" s="468"/>
      <c r="M577" s="468"/>
      <c r="N577" s="468"/>
      <c r="O577" s="468"/>
      <c r="P577" s="468"/>
      <c r="Q577" s="468"/>
      <c r="R577" s="375"/>
      <c r="S577" s="415"/>
      <c r="T577" s="415"/>
      <c r="U577" s="377"/>
      <c r="V577" s="377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</row>
    <row r="578" ht="14.25" customHeight="1">
      <c r="A578" s="1"/>
      <c r="B578" s="1"/>
      <c r="C578" s="1"/>
      <c r="D578" s="468"/>
      <c r="E578" s="468"/>
      <c r="F578" s="468"/>
      <c r="G578" s="468"/>
      <c r="H578" s="468"/>
      <c r="I578" s="468"/>
      <c r="J578" s="469"/>
      <c r="K578" s="468"/>
      <c r="L578" s="468"/>
      <c r="M578" s="468"/>
      <c r="N578" s="468"/>
      <c r="O578" s="468"/>
      <c r="P578" s="468"/>
      <c r="Q578" s="468"/>
      <c r="R578" s="375"/>
      <c r="S578" s="415"/>
      <c r="T578" s="415"/>
      <c r="U578" s="377"/>
      <c r="V578" s="377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</row>
    <row r="579" ht="14.25" customHeight="1">
      <c r="A579" s="1"/>
      <c r="B579" s="1"/>
      <c r="C579" s="1"/>
      <c r="D579" s="468"/>
      <c r="E579" s="468"/>
      <c r="F579" s="468"/>
      <c r="G579" s="468"/>
      <c r="H579" s="468"/>
      <c r="I579" s="468"/>
      <c r="J579" s="469"/>
      <c r="K579" s="468"/>
      <c r="L579" s="468"/>
      <c r="M579" s="468"/>
      <c r="N579" s="468"/>
      <c r="O579" s="468"/>
      <c r="P579" s="468"/>
      <c r="Q579" s="468"/>
      <c r="R579" s="375"/>
      <c r="S579" s="415"/>
      <c r="T579" s="415"/>
      <c r="U579" s="377"/>
      <c r="V579" s="377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</row>
    <row r="580" ht="14.25" customHeight="1">
      <c r="A580" s="1"/>
      <c r="B580" s="1"/>
      <c r="C580" s="1"/>
      <c r="D580" s="468"/>
      <c r="E580" s="468"/>
      <c r="F580" s="468"/>
      <c r="G580" s="468"/>
      <c r="H580" s="468"/>
      <c r="I580" s="468"/>
      <c r="J580" s="469"/>
      <c r="K580" s="468"/>
      <c r="L580" s="468"/>
      <c r="M580" s="468"/>
      <c r="N580" s="468"/>
      <c r="O580" s="468"/>
      <c r="P580" s="468"/>
      <c r="Q580" s="468"/>
      <c r="R580" s="375"/>
      <c r="S580" s="415"/>
      <c r="T580" s="415"/>
      <c r="U580" s="377"/>
      <c r="V580" s="377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</row>
    <row r="581" ht="14.25" customHeight="1">
      <c r="A581" s="1"/>
      <c r="B581" s="1"/>
      <c r="C581" s="1"/>
      <c r="D581" s="468"/>
      <c r="E581" s="468"/>
      <c r="F581" s="468"/>
      <c r="G581" s="468"/>
      <c r="H581" s="468"/>
      <c r="I581" s="468"/>
      <c r="J581" s="469"/>
      <c r="K581" s="468"/>
      <c r="L581" s="468"/>
      <c r="M581" s="468"/>
      <c r="N581" s="468"/>
      <c r="O581" s="468"/>
      <c r="P581" s="468"/>
      <c r="Q581" s="468"/>
      <c r="R581" s="375"/>
      <c r="S581" s="415"/>
      <c r="T581" s="415"/>
      <c r="U581" s="377"/>
      <c r="V581" s="377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</row>
    <row r="582" ht="14.25" customHeight="1">
      <c r="A582" s="1"/>
      <c r="B582" s="1"/>
      <c r="C582" s="1"/>
      <c r="D582" s="468"/>
      <c r="E582" s="468"/>
      <c r="F582" s="468"/>
      <c r="G582" s="468"/>
      <c r="H582" s="468"/>
      <c r="I582" s="468"/>
      <c r="J582" s="469"/>
      <c r="K582" s="468"/>
      <c r="L582" s="468"/>
      <c r="M582" s="468"/>
      <c r="N582" s="468"/>
      <c r="O582" s="468"/>
      <c r="P582" s="468"/>
      <c r="Q582" s="468"/>
      <c r="R582" s="375"/>
      <c r="S582" s="415"/>
      <c r="T582" s="415"/>
      <c r="U582" s="377"/>
      <c r="V582" s="377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</row>
    <row r="583" ht="14.25" customHeight="1">
      <c r="A583" s="1"/>
      <c r="B583" s="1"/>
      <c r="C583" s="1"/>
      <c r="D583" s="468"/>
      <c r="E583" s="468"/>
      <c r="F583" s="468"/>
      <c r="G583" s="468"/>
      <c r="H583" s="468"/>
      <c r="I583" s="468"/>
      <c r="J583" s="469"/>
      <c r="K583" s="468"/>
      <c r="L583" s="468"/>
      <c r="M583" s="468"/>
      <c r="N583" s="468"/>
      <c r="O583" s="468"/>
      <c r="P583" s="468"/>
      <c r="Q583" s="468"/>
      <c r="R583" s="375"/>
      <c r="S583" s="415"/>
      <c r="T583" s="415"/>
      <c r="U583" s="377"/>
      <c r="V583" s="377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</row>
    <row r="584" ht="14.25" customHeight="1">
      <c r="A584" s="1"/>
      <c r="B584" s="1"/>
      <c r="C584" s="1"/>
      <c r="D584" s="468"/>
      <c r="E584" s="468"/>
      <c r="F584" s="468"/>
      <c r="G584" s="468"/>
      <c r="H584" s="468"/>
      <c r="I584" s="468"/>
      <c r="J584" s="469"/>
      <c r="K584" s="468"/>
      <c r="L584" s="468"/>
      <c r="M584" s="468"/>
      <c r="N584" s="468"/>
      <c r="O584" s="468"/>
      <c r="P584" s="468"/>
      <c r="Q584" s="468"/>
      <c r="R584" s="375"/>
      <c r="S584" s="415"/>
      <c r="T584" s="415"/>
      <c r="U584" s="377"/>
      <c r="V584" s="377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</row>
    <row r="585" ht="14.25" customHeight="1">
      <c r="A585" s="1"/>
      <c r="B585" s="1"/>
      <c r="C585" s="1"/>
      <c r="D585" s="468"/>
      <c r="E585" s="468"/>
      <c r="F585" s="468"/>
      <c r="G585" s="468"/>
      <c r="H585" s="468"/>
      <c r="I585" s="468"/>
      <c r="J585" s="469"/>
      <c r="K585" s="468"/>
      <c r="L585" s="468"/>
      <c r="M585" s="468"/>
      <c r="N585" s="468"/>
      <c r="O585" s="468"/>
      <c r="P585" s="468"/>
      <c r="Q585" s="468"/>
      <c r="R585" s="375"/>
      <c r="S585" s="415"/>
      <c r="T585" s="415"/>
      <c r="U585" s="377"/>
      <c r="V585" s="377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</row>
    <row r="586" ht="14.25" customHeight="1">
      <c r="A586" s="1"/>
      <c r="B586" s="1"/>
      <c r="C586" s="1"/>
      <c r="D586" s="468"/>
      <c r="E586" s="468"/>
      <c r="F586" s="468"/>
      <c r="G586" s="468"/>
      <c r="H586" s="468"/>
      <c r="I586" s="468"/>
      <c r="J586" s="469"/>
      <c r="K586" s="468"/>
      <c r="L586" s="468"/>
      <c r="M586" s="468"/>
      <c r="N586" s="468"/>
      <c r="O586" s="468"/>
      <c r="P586" s="468"/>
      <c r="Q586" s="468"/>
      <c r="R586" s="375"/>
      <c r="S586" s="415"/>
      <c r="T586" s="415"/>
      <c r="U586" s="377"/>
      <c r="V586" s="377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</row>
    <row r="587" ht="14.25" customHeight="1">
      <c r="A587" s="1"/>
      <c r="B587" s="1"/>
      <c r="C587" s="1"/>
      <c r="D587" s="468"/>
      <c r="E587" s="468"/>
      <c r="F587" s="468"/>
      <c r="G587" s="468"/>
      <c r="H587" s="468"/>
      <c r="I587" s="468"/>
      <c r="J587" s="469"/>
      <c r="K587" s="468"/>
      <c r="L587" s="468"/>
      <c r="M587" s="468"/>
      <c r="N587" s="468"/>
      <c r="O587" s="468"/>
      <c r="P587" s="468"/>
      <c r="Q587" s="468"/>
      <c r="R587" s="375"/>
      <c r="S587" s="415"/>
      <c r="T587" s="415"/>
      <c r="U587" s="377"/>
      <c r="V587" s="377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</row>
    <row r="588" ht="14.25" customHeight="1">
      <c r="A588" s="1"/>
      <c r="B588" s="1"/>
      <c r="C588" s="1"/>
      <c r="D588" s="468"/>
      <c r="E588" s="468"/>
      <c r="F588" s="468"/>
      <c r="G588" s="468"/>
      <c r="H588" s="468"/>
      <c r="I588" s="468"/>
      <c r="J588" s="469"/>
      <c r="K588" s="468"/>
      <c r="L588" s="468"/>
      <c r="M588" s="468"/>
      <c r="N588" s="468"/>
      <c r="O588" s="468"/>
      <c r="P588" s="468"/>
      <c r="Q588" s="468"/>
      <c r="R588" s="375"/>
      <c r="S588" s="415"/>
      <c r="T588" s="415"/>
      <c r="U588" s="377"/>
      <c r="V588" s="377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</row>
    <row r="589" ht="14.25" customHeight="1">
      <c r="A589" s="1"/>
      <c r="B589" s="1"/>
      <c r="C589" s="1"/>
      <c r="D589" s="468"/>
      <c r="E589" s="468"/>
      <c r="F589" s="468"/>
      <c r="G589" s="468"/>
      <c r="H589" s="468"/>
      <c r="I589" s="468"/>
      <c r="J589" s="469"/>
      <c r="K589" s="468"/>
      <c r="L589" s="468"/>
      <c r="M589" s="468"/>
      <c r="N589" s="468"/>
      <c r="O589" s="468"/>
      <c r="P589" s="468"/>
      <c r="Q589" s="468"/>
      <c r="R589" s="375"/>
      <c r="S589" s="415"/>
      <c r="T589" s="415"/>
      <c r="U589" s="377"/>
      <c r="V589" s="377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</row>
    <row r="590" ht="14.25" customHeight="1">
      <c r="A590" s="1"/>
      <c r="B590" s="1"/>
      <c r="C590" s="1"/>
      <c r="D590" s="468"/>
      <c r="E590" s="468"/>
      <c r="F590" s="468"/>
      <c r="G590" s="468"/>
      <c r="H590" s="468"/>
      <c r="I590" s="468"/>
      <c r="J590" s="469"/>
      <c r="K590" s="468"/>
      <c r="L590" s="468"/>
      <c r="M590" s="468"/>
      <c r="N590" s="468"/>
      <c r="O590" s="468"/>
      <c r="P590" s="468"/>
      <c r="Q590" s="468"/>
      <c r="R590" s="375"/>
      <c r="S590" s="415"/>
      <c r="T590" s="415"/>
      <c r="U590" s="377"/>
      <c r="V590" s="377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</row>
    <row r="591" ht="14.25" customHeight="1">
      <c r="A591" s="1"/>
      <c r="B591" s="1"/>
      <c r="C591" s="1"/>
      <c r="D591" s="468"/>
      <c r="E591" s="468"/>
      <c r="F591" s="468"/>
      <c r="G591" s="468"/>
      <c r="H591" s="468"/>
      <c r="I591" s="468"/>
      <c r="J591" s="469"/>
      <c r="K591" s="468"/>
      <c r="L591" s="468"/>
      <c r="M591" s="468"/>
      <c r="N591" s="468"/>
      <c r="O591" s="468"/>
      <c r="P591" s="468"/>
      <c r="Q591" s="468"/>
      <c r="R591" s="375"/>
      <c r="S591" s="415"/>
      <c r="T591" s="415"/>
      <c r="U591" s="377"/>
      <c r="V591" s="377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</row>
    <row r="592" ht="14.25" customHeight="1">
      <c r="A592" s="1"/>
      <c r="B592" s="1"/>
      <c r="C592" s="1"/>
      <c r="D592" s="468"/>
      <c r="E592" s="468"/>
      <c r="F592" s="468"/>
      <c r="G592" s="468"/>
      <c r="H592" s="468"/>
      <c r="I592" s="468"/>
      <c r="J592" s="469"/>
      <c r="K592" s="468"/>
      <c r="L592" s="468"/>
      <c r="M592" s="468"/>
      <c r="N592" s="468"/>
      <c r="O592" s="468"/>
      <c r="P592" s="468"/>
      <c r="Q592" s="468"/>
      <c r="R592" s="375"/>
      <c r="S592" s="415"/>
      <c r="T592" s="415"/>
      <c r="U592" s="377"/>
      <c r="V592" s="377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</row>
    <row r="593" ht="14.25" customHeight="1">
      <c r="A593" s="1"/>
      <c r="B593" s="1"/>
      <c r="C593" s="1"/>
      <c r="D593" s="468"/>
      <c r="E593" s="468"/>
      <c r="F593" s="468"/>
      <c r="G593" s="468"/>
      <c r="H593" s="468"/>
      <c r="I593" s="468"/>
      <c r="J593" s="469"/>
      <c r="K593" s="468"/>
      <c r="L593" s="468"/>
      <c r="M593" s="468"/>
      <c r="N593" s="468"/>
      <c r="O593" s="468"/>
      <c r="P593" s="468"/>
      <c r="Q593" s="468"/>
      <c r="R593" s="375"/>
      <c r="S593" s="415"/>
      <c r="T593" s="415"/>
      <c r="U593" s="377"/>
      <c r="V593" s="377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</row>
    <row r="594" ht="14.25" customHeight="1">
      <c r="A594" s="1"/>
      <c r="B594" s="1"/>
      <c r="C594" s="1"/>
      <c r="D594" s="468"/>
      <c r="E594" s="468"/>
      <c r="F594" s="468"/>
      <c r="G594" s="468"/>
      <c r="H594" s="468"/>
      <c r="I594" s="468"/>
      <c r="J594" s="469"/>
      <c r="K594" s="468"/>
      <c r="L594" s="468"/>
      <c r="M594" s="468"/>
      <c r="N594" s="468"/>
      <c r="O594" s="468"/>
      <c r="P594" s="468"/>
      <c r="Q594" s="468"/>
      <c r="R594" s="375"/>
      <c r="S594" s="415"/>
      <c r="T594" s="415"/>
      <c r="U594" s="377"/>
      <c r="V594" s="377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</row>
    <row r="595" ht="14.25" customHeight="1">
      <c r="A595" s="1"/>
      <c r="B595" s="1"/>
      <c r="C595" s="1"/>
      <c r="D595" s="468"/>
      <c r="E595" s="468"/>
      <c r="F595" s="468"/>
      <c r="G595" s="468"/>
      <c r="H595" s="468"/>
      <c r="I595" s="468"/>
      <c r="J595" s="469"/>
      <c r="K595" s="468"/>
      <c r="L595" s="468"/>
      <c r="M595" s="468"/>
      <c r="N595" s="468"/>
      <c r="O595" s="468"/>
      <c r="P595" s="468"/>
      <c r="Q595" s="468"/>
      <c r="R595" s="375"/>
      <c r="S595" s="415"/>
      <c r="T595" s="415"/>
      <c r="U595" s="377"/>
      <c r="V595" s="377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</row>
    <row r="596" ht="14.25" customHeight="1">
      <c r="A596" s="1"/>
      <c r="B596" s="1"/>
      <c r="C596" s="1"/>
      <c r="D596" s="468"/>
      <c r="E596" s="468"/>
      <c r="F596" s="468"/>
      <c r="G596" s="468"/>
      <c r="H596" s="468"/>
      <c r="I596" s="468"/>
      <c r="J596" s="469"/>
      <c r="K596" s="468"/>
      <c r="L596" s="468"/>
      <c r="M596" s="468"/>
      <c r="N596" s="468"/>
      <c r="O596" s="468"/>
      <c r="P596" s="468"/>
      <c r="Q596" s="468"/>
      <c r="R596" s="375"/>
      <c r="S596" s="415"/>
      <c r="T596" s="415"/>
      <c r="U596" s="377"/>
      <c r="V596" s="377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</row>
    <row r="597" ht="14.25" customHeight="1">
      <c r="A597" s="1"/>
      <c r="B597" s="1"/>
      <c r="C597" s="1"/>
      <c r="D597" s="468"/>
      <c r="E597" s="468"/>
      <c r="F597" s="468"/>
      <c r="G597" s="468"/>
      <c r="H597" s="468"/>
      <c r="I597" s="468"/>
      <c r="J597" s="469"/>
      <c r="K597" s="468"/>
      <c r="L597" s="468"/>
      <c r="M597" s="468"/>
      <c r="N597" s="468"/>
      <c r="O597" s="468"/>
      <c r="P597" s="468"/>
      <c r="Q597" s="468"/>
      <c r="R597" s="375"/>
      <c r="S597" s="415"/>
      <c r="T597" s="415"/>
      <c r="U597" s="377"/>
      <c r="V597" s="377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</row>
    <row r="598" ht="14.25" customHeight="1">
      <c r="A598" s="1"/>
      <c r="B598" s="1"/>
      <c r="C598" s="1"/>
      <c r="D598" s="468"/>
      <c r="E598" s="468"/>
      <c r="F598" s="468"/>
      <c r="G598" s="468"/>
      <c r="H598" s="468"/>
      <c r="I598" s="468"/>
      <c r="J598" s="469"/>
      <c r="K598" s="468"/>
      <c r="L598" s="468"/>
      <c r="M598" s="468"/>
      <c r="N598" s="468"/>
      <c r="O598" s="468"/>
      <c r="P598" s="468"/>
      <c r="Q598" s="468"/>
      <c r="R598" s="375"/>
      <c r="S598" s="415"/>
      <c r="T598" s="415"/>
      <c r="U598" s="377"/>
      <c r="V598" s="377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</row>
    <row r="599" ht="14.25" customHeight="1">
      <c r="A599" s="1"/>
      <c r="B599" s="1"/>
      <c r="C599" s="1"/>
      <c r="D599" s="468"/>
      <c r="E599" s="468"/>
      <c r="F599" s="468"/>
      <c r="G599" s="468"/>
      <c r="H599" s="468"/>
      <c r="I599" s="468"/>
      <c r="J599" s="469"/>
      <c r="K599" s="468"/>
      <c r="L599" s="468"/>
      <c r="M599" s="468"/>
      <c r="N599" s="468"/>
      <c r="O599" s="468"/>
      <c r="P599" s="468"/>
      <c r="Q599" s="468"/>
      <c r="R599" s="375"/>
      <c r="S599" s="415"/>
      <c r="T599" s="415"/>
      <c r="U599" s="377"/>
      <c r="V599" s="377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</row>
    <row r="600" ht="14.25" customHeight="1">
      <c r="A600" s="1"/>
      <c r="B600" s="1"/>
      <c r="C600" s="1"/>
      <c r="D600" s="468"/>
      <c r="E600" s="468"/>
      <c r="F600" s="468"/>
      <c r="G600" s="468"/>
      <c r="H600" s="468"/>
      <c r="I600" s="468"/>
      <c r="J600" s="469"/>
      <c r="K600" s="468"/>
      <c r="L600" s="468"/>
      <c r="M600" s="468"/>
      <c r="N600" s="468"/>
      <c r="O600" s="468"/>
      <c r="P600" s="468"/>
      <c r="Q600" s="468"/>
      <c r="R600" s="375"/>
      <c r="S600" s="415"/>
      <c r="T600" s="415"/>
      <c r="U600" s="377"/>
      <c r="V600" s="377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</row>
    <row r="601" ht="14.25" customHeight="1">
      <c r="A601" s="1"/>
      <c r="B601" s="1"/>
      <c r="C601" s="1"/>
      <c r="D601" s="468"/>
      <c r="E601" s="468"/>
      <c r="F601" s="468"/>
      <c r="G601" s="468"/>
      <c r="H601" s="468"/>
      <c r="I601" s="468"/>
      <c r="J601" s="469"/>
      <c r="K601" s="468"/>
      <c r="L601" s="468"/>
      <c r="M601" s="468"/>
      <c r="N601" s="468"/>
      <c r="O601" s="468"/>
      <c r="P601" s="468"/>
      <c r="Q601" s="468"/>
      <c r="R601" s="375"/>
      <c r="S601" s="415"/>
      <c r="T601" s="415"/>
      <c r="U601" s="377"/>
      <c r="V601" s="377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</row>
    <row r="602" ht="14.25" customHeight="1">
      <c r="A602" s="1"/>
      <c r="B602" s="1"/>
      <c r="C602" s="1"/>
      <c r="D602" s="468"/>
      <c r="E602" s="468"/>
      <c r="F602" s="468"/>
      <c r="G602" s="468"/>
      <c r="H602" s="468"/>
      <c r="I602" s="468"/>
      <c r="J602" s="469"/>
      <c r="K602" s="468"/>
      <c r="L602" s="468"/>
      <c r="M602" s="468"/>
      <c r="N602" s="468"/>
      <c r="O602" s="468"/>
      <c r="P602" s="468"/>
      <c r="Q602" s="468"/>
      <c r="R602" s="375"/>
      <c r="S602" s="415"/>
      <c r="T602" s="415"/>
      <c r="U602" s="377"/>
      <c r="V602" s="377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</row>
    <row r="603" ht="14.25" customHeight="1">
      <c r="A603" s="1"/>
      <c r="B603" s="1"/>
      <c r="C603" s="1"/>
      <c r="D603" s="468"/>
      <c r="E603" s="468"/>
      <c r="F603" s="468"/>
      <c r="G603" s="468"/>
      <c r="H603" s="468"/>
      <c r="I603" s="468"/>
      <c r="J603" s="469"/>
      <c r="K603" s="468"/>
      <c r="L603" s="468"/>
      <c r="M603" s="468"/>
      <c r="N603" s="468"/>
      <c r="O603" s="468"/>
      <c r="P603" s="468"/>
      <c r="Q603" s="468"/>
      <c r="R603" s="375"/>
      <c r="S603" s="415"/>
      <c r="T603" s="415"/>
      <c r="U603" s="377"/>
      <c r="V603" s="377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</row>
    <row r="604" ht="14.25" customHeight="1">
      <c r="A604" s="1"/>
      <c r="B604" s="1"/>
      <c r="C604" s="1"/>
      <c r="D604" s="468"/>
      <c r="E604" s="468"/>
      <c r="F604" s="468"/>
      <c r="G604" s="468"/>
      <c r="H604" s="468"/>
      <c r="I604" s="468"/>
      <c r="J604" s="469"/>
      <c r="K604" s="468"/>
      <c r="L604" s="468"/>
      <c r="M604" s="468"/>
      <c r="N604" s="468"/>
      <c r="O604" s="468"/>
      <c r="P604" s="468"/>
      <c r="Q604" s="468"/>
      <c r="R604" s="375"/>
      <c r="S604" s="415"/>
      <c r="T604" s="415"/>
      <c r="U604" s="377"/>
      <c r="V604" s="377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</row>
    <row r="605" ht="14.25" customHeight="1">
      <c r="A605" s="1"/>
      <c r="B605" s="1"/>
      <c r="C605" s="1"/>
      <c r="D605" s="468"/>
      <c r="E605" s="468"/>
      <c r="F605" s="468"/>
      <c r="G605" s="468"/>
      <c r="H605" s="468"/>
      <c r="I605" s="468"/>
      <c r="J605" s="469"/>
      <c r="K605" s="468"/>
      <c r="L605" s="468"/>
      <c r="M605" s="468"/>
      <c r="N605" s="468"/>
      <c r="O605" s="468"/>
      <c r="P605" s="468"/>
      <c r="Q605" s="468"/>
      <c r="R605" s="375"/>
      <c r="S605" s="415"/>
      <c r="T605" s="415"/>
      <c r="U605" s="377"/>
      <c r="V605" s="377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</row>
    <row r="606" ht="14.25" customHeight="1">
      <c r="A606" s="1"/>
      <c r="B606" s="1"/>
      <c r="C606" s="1"/>
      <c r="D606" s="468"/>
      <c r="E606" s="468"/>
      <c r="F606" s="468"/>
      <c r="G606" s="468"/>
      <c r="H606" s="468"/>
      <c r="I606" s="468"/>
      <c r="J606" s="469"/>
      <c r="K606" s="468"/>
      <c r="L606" s="468"/>
      <c r="M606" s="468"/>
      <c r="N606" s="468"/>
      <c r="O606" s="468"/>
      <c r="P606" s="468"/>
      <c r="Q606" s="468"/>
      <c r="R606" s="375"/>
      <c r="S606" s="415"/>
      <c r="T606" s="415"/>
      <c r="U606" s="377"/>
      <c r="V606" s="377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</row>
    <row r="607" ht="14.25" customHeight="1">
      <c r="A607" s="1"/>
      <c r="B607" s="1"/>
      <c r="C607" s="1"/>
      <c r="D607" s="468"/>
      <c r="E607" s="468"/>
      <c r="F607" s="468"/>
      <c r="G607" s="468"/>
      <c r="H607" s="468"/>
      <c r="I607" s="468"/>
      <c r="J607" s="469"/>
      <c r="K607" s="468"/>
      <c r="L607" s="468"/>
      <c r="M607" s="468"/>
      <c r="N607" s="468"/>
      <c r="O607" s="468"/>
      <c r="P607" s="468"/>
      <c r="Q607" s="468"/>
      <c r="R607" s="375"/>
      <c r="S607" s="415"/>
      <c r="T607" s="415"/>
      <c r="U607" s="377"/>
      <c r="V607" s="377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</row>
    <row r="608" ht="14.25" customHeight="1">
      <c r="A608" s="1"/>
      <c r="B608" s="1"/>
      <c r="C608" s="1"/>
      <c r="D608" s="468"/>
      <c r="E608" s="468"/>
      <c r="F608" s="468"/>
      <c r="G608" s="468"/>
      <c r="H608" s="468"/>
      <c r="I608" s="468"/>
      <c r="J608" s="469"/>
      <c r="K608" s="468"/>
      <c r="L608" s="468"/>
      <c r="M608" s="468"/>
      <c r="N608" s="468"/>
      <c r="O608" s="468"/>
      <c r="P608" s="468"/>
      <c r="Q608" s="468"/>
      <c r="R608" s="375"/>
      <c r="S608" s="415"/>
      <c r="T608" s="415"/>
      <c r="U608" s="377"/>
      <c r="V608" s="377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</row>
    <row r="609" ht="14.25" customHeight="1">
      <c r="A609" s="1"/>
      <c r="B609" s="1"/>
      <c r="C609" s="1"/>
      <c r="D609" s="468"/>
      <c r="E609" s="468"/>
      <c r="F609" s="468"/>
      <c r="G609" s="468"/>
      <c r="H609" s="468"/>
      <c r="I609" s="468"/>
      <c r="J609" s="469"/>
      <c r="K609" s="468"/>
      <c r="L609" s="468"/>
      <c r="M609" s="468"/>
      <c r="N609" s="468"/>
      <c r="O609" s="468"/>
      <c r="P609" s="468"/>
      <c r="Q609" s="468"/>
      <c r="R609" s="375"/>
      <c r="S609" s="415"/>
      <c r="T609" s="415"/>
      <c r="U609" s="377"/>
      <c r="V609" s="377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</row>
    <row r="610" ht="14.25" customHeight="1">
      <c r="A610" s="1"/>
      <c r="B610" s="1"/>
      <c r="C610" s="1"/>
      <c r="D610" s="468"/>
      <c r="E610" s="468"/>
      <c r="F610" s="468"/>
      <c r="G610" s="468"/>
      <c r="H610" s="468"/>
      <c r="I610" s="468"/>
      <c r="J610" s="469"/>
      <c r="K610" s="468"/>
      <c r="L610" s="468"/>
      <c r="M610" s="468"/>
      <c r="N610" s="468"/>
      <c r="O610" s="468"/>
      <c r="P610" s="468"/>
      <c r="Q610" s="468"/>
      <c r="R610" s="375"/>
      <c r="S610" s="415"/>
      <c r="T610" s="415"/>
      <c r="U610" s="377"/>
      <c r="V610" s="377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</row>
    <row r="611" ht="14.25" customHeight="1">
      <c r="A611" s="1"/>
      <c r="B611" s="1"/>
      <c r="C611" s="1"/>
      <c r="D611" s="468"/>
      <c r="E611" s="468"/>
      <c r="F611" s="468"/>
      <c r="G611" s="468"/>
      <c r="H611" s="468"/>
      <c r="I611" s="468"/>
      <c r="J611" s="469"/>
      <c r="K611" s="468"/>
      <c r="L611" s="468"/>
      <c r="M611" s="468"/>
      <c r="N611" s="468"/>
      <c r="O611" s="468"/>
      <c r="P611" s="468"/>
      <c r="Q611" s="468"/>
      <c r="R611" s="375"/>
      <c r="S611" s="415"/>
      <c r="T611" s="415"/>
      <c r="U611" s="377"/>
      <c r="V611" s="377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</row>
    <row r="612" ht="14.25" customHeight="1">
      <c r="A612" s="1"/>
      <c r="B612" s="1"/>
      <c r="C612" s="1"/>
      <c r="D612" s="468"/>
      <c r="E612" s="468"/>
      <c r="F612" s="468"/>
      <c r="G612" s="468"/>
      <c r="H612" s="468"/>
      <c r="I612" s="468"/>
      <c r="J612" s="469"/>
      <c r="K612" s="468"/>
      <c r="L612" s="468"/>
      <c r="M612" s="468"/>
      <c r="N612" s="468"/>
      <c r="O612" s="468"/>
      <c r="P612" s="468"/>
      <c r="Q612" s="468"/>
      <c r="R612" s="375"/>
      <c r="S612" s="415"/>
      <c r="T612" s="415"/>
      <c r="U612" s="377"/>
      <c r="V612" s="377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</row>
    <row r="613" ht="14.25" customHeight="1">
      <c r="A613" s="1"/>
      <c r="B613" s="1"/>
      <c r="C613" s="1"/>
      <c r="D613" s="468"/>
      <c r="E613" s="468"/>
      <c r="F613" s="468"/>
      <c r="G613" s="468"/>
      <c r="H613" s="468"/>
      <c r="I613" s="468"/>
      <c r="J613" s="469"/>
      <c r="K613" s="468"/>
      <c r="L613" s="468"/>
      <c r="M613" s="468"/>
      <c r="N613" s="468"/>
      <c r="O613" s="468"/>
      <c r="P613" s="468"/>
      <c r="Q613" s="468"/>
      <c r="R613" s="375"/>
      <c r="S613" s="415"/>
      <c r="T613" s="415"/>
      <c r="U613" s="377"/>
      <c r="V613" s="377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</row>
    <row r="614" ht="14.25" customHeight="1">
      <c r="A614" s="1"/>
      <c r="B614" s="1"/>
      <c r="C614" s="1"/>
      <c r="D614" s="468"/>
      <c r="E614" s="468"/>
      <c r="F614" s="468"/>
      <c r="G614" s="468"/>
      <c r="H614" s="468"/>
      <c r="I614" s="468"/>
      <c r="J614" s="469"/>
      <c r="K614" s="468"/>
      <c r="L614" s="468"/>
      <c r="M614" s="468"/>
      <c r="N614" s="468"/>
      <c r="O614" s="468"/>
      <c r="P614" s="468"/>
      <c r="Q614" s="468"/>
      <c r="R614" s="375"/>
      <c r="S614" s="415"/>
      <c r="T614" s="415"/>
      <c r="U614" s="377"/>
      <c r="V614" s="377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</row>
    <row r="615" ht="14.25" customHeight="1">
      <c r="A615" s="1"/>
      <c r="B615" s="1"/>
      <c r="C615" s="1"/>
      <c r="D615" s="468"/>
      <c r="E615" s="468"/>
      <c r="F615" s="468"/>
      <c r="G615" s="468"/>
      <c r="H615" s="468"/>
      <c r="I615" s="468"/>
      <c r="J615" s="469"/>
      <c r="K615" s="468"/>
      <c r="L615" s="468"/>
      <c r="M615" s="468"/>
      <c r="N615" s="468"/>
      <c r="O615" s="468"/>
      <c r="P615" s="468"/>
      <c r="Q615" s="468"/>
      <c r="R615" s="375"/>
      <c r="S615" s="415"/>
      <c r="T615" s="415"/>
      <c r="U615" s="377"/>
      <c r="V615" s="377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</row>
    <row r="616" ht="14.25" customHeight="1">
      <c r="A616" s="1"/>
      <c r="B616" s="1"/>
      <c r="C616" s="1"/>
      <c r="D616" s="468"/>
      <c r="E616" s="468"/>
      <c r="F616" s="468"/>
      <c r="G616" s="468"/>
      <c r="H616" s="468"/>
      <c r="I616" s="468"/>
      <c r="J616" s="469"/>
      <c r="K616" s="468"/>
      <c r="L616" s="468"/>
      <c r="M616" s="468"/>
      <c r="N616" s="468"/>
      <c r="O616" s="468"/>
      <c r="P616" s="468"/>
      <c r="Q616" s="468"/>
      <c r="R616" s="375"/>
      <c r="S616" s="415"/>
      <c r="T616" s="415"/>
      <c r="U616" s="377"/>
      <c r="V616" s="377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</row>
    <row r="617" ht="14.25" customHeight="1">
      <c r="A617" s="1"/>
      <c r="B617" s="1"/>
      <c r="C617" s="1"/>
      <c r="D617" s="468"/>
      <c r="E617" s="468"/>
      <c r="F617" s="468"/>
      <c r="G617" s="468"/>
      <c r="H617" s="468"/>
      <c r="I617" s="468"/>
      <c r="J617" s="469"/>
      <c r="K617" s="468"/>
      <c r="L617" s="468"/>
      <c r="M617" s="468"/>
      <c r="N617" s="468"/>
      <c r="O617" s="468"/>
      <c r="P617" s="468"/>
      <c r="Q617" s="468"/>
      <c r="R617" s="375"/>
      <c r="S617" s="415"/>
      <c r="T617" s="415"/>
      <c r="U617" s="377"/>
      <c r="V617" s="377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</row>
    <row r="618" ht="14.25" customHeight="1">
      <c r="A618" s="1"/>
      <c r="B618" s="1"/>
      <c r="C618" s="1"/>
      <c r="D618" s="468"/>
      <c r="E618" s="468"/>
      <c r="F618" s="468"/>
      <c r="G618" s="468"/>
      <c r="H618" s="468"/>
      <c r="I618" s="468"/>
      <c r="J618" s="469"/>
      <c r="K618" s="468"/>
      <c r="L618" s="468"/>
      <c r="M618" s="468"/>
      <c r="N618" s="468"/>
      <c r="O618" s="468"/>
      <c r="P618" s="468"/>
      <c r="Q618" s="468"/>
      <c r="R618" s="375"/>
      <c r="S618" s="415"/>
      <c r="T618" s="415"/>
      <c r="U618" s="377"/>
      <c r="V618" s="377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</row>
    <row r="619" ht="14.25" customHeight="1">
      <c r="A619" s="1"/>
      <c r="B619" s="1"/>
      <c r="C619" s="1"/>
      <c r="D619" s="468"/>
      <c r="E619" s="468"/>
      <c r="F619" s="468"/>
      <c r="G619" s="468"/>
      <c r="H619" s="468"/>
      <c r="I619" s="468"/>
      <c r="J619" s="469"/>
      <c r="K619" s="468"/>
      <c r="L619" s="468"/>
      <c r="M619" s="468"/>
      <c r="N619" s="468"/>
      <c r="O619" s="468"/>
      <c r="P619" s="468"/>
      <c r="Q619" s="468"/>
      <c r="R619" s="375"/>
      <c r="S619" s="415"/>
      <c r="T619" s="415"/>
      <c r="U619" s="377"/>
      <c r="V619" s="377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</row>
    <row r="620" ht="14.25" customHeight="1">
      <c r="A620" s="1"/>
      <c r="B620" s="1"/>
      <c r="C620" s="1"/>
      <c r="D620" s="468"/>
      <c r="E620" s="468"/>
      <c r="F620" s="468"/>
      <c r="G620" s="468"/>
      <c r="H620" s="468"/>
      <c r="I620" s="468"/>
      <c r="J620" s="469"/>
      <c r="K620" s="468"/>
      <c r="L620" s="468"/>
      <c r="M620" s="468"/>
      <c r="N620" s="468"/>
      <c r="O620" s="468"/>
      <c r="P620" s="468"/>
      <c r="Q620" s="468"/>
      <c r="R620" s="375"/>
      <c r="S620" s="415"/>
      <c r="T620" s="415"/>
      <c r="U620" s="377"/>
      <c r="V620" s="377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</row>
    <row r="621" ht="14.25" customHeight="1">
      <c r="A621" s="1"/>
      <c r="B621" s="1"/>
      <c r="C621" s="1"/>
      <c r="D621" s="468"/>
      <c r="E621" s="468"/>
      <c r="F621" s="468"/>
      <c r="G621" s="468"/>
      <c r="H621" s="468"/>
      <c r="I621" s="468"/>
      <c r="J621" s="469"/>
      <c r="K621" s="468"/>
      <c r="L621" s="468"/>
      <c r="M621" s="468"/>
      <c r="N621" s="468"/>
      <c r="O621" s="468"/>
      <c r="P621" s="468"/>
      <c r="Q621" s="468"/>
      <c r="R621" s="375"/>
      <c r="S621" s="415"/>
      <c r="T621" s="415"/>
      <c r="U621" s="377"/>
      <c r="V621" s="377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</row>
    <row r="622" ht="14.25" customHeight="1">
      <c r="A622" s="1"/>
      <c r="B622" s="1"/>
      <c r="C622" s="1"/>
      <c r="D622" s="468"/>
      <c r="E622" s="468"/>
      <c r="F622" s="468"/>
      <c r="G622" s="468"/>
      <c r="H622" s="468"/>
      <c r="I622" s="468"/>
      <c r="J622" s="469"/>
      <c r="K622" s="468"/>
      <c r="L622" s="468"/>
      <c r="M622" s="468"/>
      <c r="N622" s="468"/>
      <c r="O622" s="468"/>
      <c r="P622" s="468"/>
      <c r="Q622" s="468"/>
      <c r="R622" s="375"/>
      <c r="S622" s="415"/>
      <c r="T622" s="415"/>
      <c r="U622" s="377"/>
      <c r="V622" s="377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</row>
    <row r="623" ht="14.25" customHeight="1">
      <c r="A623" s="1"/>
      <c r="B623" s="1"/>
      <c r="C623" s="1"/>
      <c r="D623" s="468"/>
      <c r="E623" s="468"/>
      <c r="F623" s="468"/>
      <c r="G623" s="468"/>
      <c r="H623" s="468"/>
      <c r="I623" s="468"/>
      <c r="J623" s="469"/>
      <c r="K623" s="468"/>
      <c r="L623" s="468"/>
      <c r="M623" s="468"/>
      <c r="N623" s="468"/>
      <c r="O623" s="468"/>
      <c r="P623" s="468"/>
      <c r="Q623" s="468"/>
      <c r="R623" s="375"/>
      <c r="S623" s="415"/>
      <c r="T623" s="415"/>
      <c r="U623" s="377"/>
      <c r="V623" s="377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</row>
    <row r="624" ht="14.25" customHeight="1">
      <c r="A624" s="1"/>
      <c r="B624" s="1"/>
      <c r="C624" s="1"/>
      <c r="D624" s="468"/>
      <c r="E624" s="468"/>
      <c r="F624" s="468"/>
      <c r="G624" s="468"/>
      <c r="H624" s="468"/>
      <c r="I624" s="468"/>
      <c r="J624" s="469"/>
      <c r="K624" s="468"/>
      <c r="L624" s="468"/>
      <c r="M624" s="468"/>
      <c r="N624" s="468"/>
      <c r="O624" s="468"/>
      <c r="P624" s="468"/>
      <c r="Q624" s="468"/>
      <c r="R624" s="375"/>
      <c r="S624" s="415"/>
      <c r="T624" s="415"/>
      <c r="U624" s="377"/>
      <c r="V624" s="377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</row>
    <row r="625" ht="14.25" customHeight="1">
      <c r="A625" s="1"/>
      <c r="B625" s="1"/>
      <c r="C625" s="1"/>
      <c r="D625" s="468"/>
      <c r="E625" s="468"/>
      <c r="F625" s="468"/>
      <c r="G625" s="468"/>
      <c r="H625" s="468"/>
      <c r="I625" s="468"/>
      <c r="J625" s="469"/>
      <c r="K625" s="468"/>
      <c r="L625" s="468"/>
      <c r="M625" s="468"/>
      <c r="N625" s="468"/>
      <c r="O625" s="468"/>
      <c r="P625" s="468"/>
      <c r="Q625" s="468"/>
      <c r="R625" s="375"/>
      <c r="S625" s="415"/>
      <c r="T625" s="415"/>
      <c r="U625" s="377"/>
      <c r="V625" s="377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</row>
    <row r="626" ht="14.25" customHeight="1">
      <c r="A626" s="1"/>
      <c r="B626" s="1"/>
      <c r="C626" s="1"/>
      <c r="D626" s="468"/>
      <c r="E626" s="468"/>
      <c r="F626" s="468"/>
      <c r="G626" s="468"/>
      <c r="H626" s="468"/>
      <c r="I626" s="468"/>
      <c r="J626" s="469"/>
      <c r="K626" s="468"/>
      <c r="L626" s="468"/>
      <c r="M626" s="468"/>
      <c r="N626" s="468"/>
      <c r="O626" s="468"/>
      <c r="P626" s="468"/>
      <c r="Q626" s="468"/>
      <c r="R626" s="375"/>
      <c r="S626" s="415"/>
      <c r="T626" s="415"/>
      <c r="U626" s="377"/>
      <c r="V626" s="377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</row>
    <row r="627" ht="14.25" customHeight="1">
      <c r="A627" s="1"/>
      <c r="B627" s="1"/>
      <c r="C627" s="1"/>
      <c r="D627" s="468"/>
      <c r="E627" s="468"/>
      <c r="F627" s="468"/>
      <c r="G627" s="468"/>
      <c r="H627" s="468"/>
      <c r="I627" s="468"/>
      <c r="J627" s="469"/>
      <c r="K627" s="468"/>
      <c r="L627" s="468"/>
      <c r="M627" s="468"/>
      <c r="N627" s="468"/>
      <c r="O627" s="468"/>
      <c r="P627" s="468"/>
      <c r="Q627" s="468"/>
      <c r="R627" s="375"/>
      <c r="S627" s="415"/>
      <c r="T627" s="415"/>
      <c r="U627" s="377"/>
      <c r="V627" s="377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</row>
    <row r="628" ht="14.25" customHeight="1">
      <c r="A628" s="1"/>
      <c r="B628" s="1"/>
      <c r="C628" s="1"/>
      <c r="D628" s="468"/>
      <c r="E628" s="468"/>
      <c r="F628" s="468"/>
      <c r="G628" s="468"/>
      <c r="H628" s="468"/>
      <c r="I628" s="468"/>
      <c r="J628" s="469"/>
      <c r="K628" s="468"/>
      <c r="L628" s="468"/>
      <c r="M628" s="468"/>
      <c r="N628" s="468"/>
      <c r="O628" s="468"/>
      <c r="P628" s="468"/>
      <c r="Q628" s="468"/>
      <c r="R628" s="375"/>
      <c r="S628" s="415"/>
      <c r="T628" s="415"/>
      <c r="U628" s="377"/>
      <c r="V628" s="377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</row>
    <row r="629" ht="14.25" customHeight="1">
      <c r="A629" s="1"/>
      <c r="B629" s="1"/>
      <c r="C629" s="1"/>
      <c r="D629" s="468"/>
      <c r="E629" s="468"/>
      <c r="F629" s="468"/>
      <c r="G629" s="468"/>
      <c r="H629" s="468"/>
      <c r="I629" s="468"/>
      <c r="J629" s="469"/>
      <c r="K629" s="468"/>
      <c r="L629" s="468"/>
      <c r="M629" s="468"/>
      <c r="N629" s="468"/>
      <c r="O629" s="468"/>
      <c r="P629" s="468"/>
      <c r="Q629" s="468"/>
      <c r="R629" s="375"/>
      <c r="S629" s="415"/>
      <c r="T629" s="415"/>
      <c r="U629" s="377"/>
      <c r="V629" s="377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</row>
    <row r="630" ht="14.25" customHeight="1">
      <c r="A630" s="1"/>
      <c r="B630" s="1"/>
      <c r="C630" s="1"/>
      <c r="D630" s="468"/>
      <c r="E630" s="468"/>
      <c r="F630" s="468"/>
      <c r="G630" s="468"/>
      <c r="H630" s="468"/>
      <c r="I630" s="468"/>
      <c r="J630" s="469"/>
      <c r="K630" s="468"/>
      <c r="L630" s="468"/>
      <c r="M630" s="468"/>
      <c r="N630" s="468"/>
      <c r="O630" s="468"/>
      <c r="P630" s="468"/>
      <c r="Q630" s="468"/>
      <c r="R630" s="375"/>
      <c r="S630" s="415"/>
      <c r="T630" s="415"/>
      <c r="U630" s="377"/>
      <c r="V630" s="377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</row>
    <row r="631" ht="14.25" customHeight="1">
      <c r="A631" s="1"/>
      <c r="B631" s="1"/>
      <c r="C631" s="1"/>
      <c r="D631" s="468"/>
      <c r="E631" s="468"/>
      <c r="F631" s="468"/>
      <c r="G631" s="468"/>
      <c r="H631" s="468"/>
      <c r="I631" s="468"/>
      <c r="J631" s="469"/>
      <c r="K631" s="468"/>
      <c r="L631" s="468"/>
      <c r="M631" s="468"/>
      <c r="N631" s="468"/>
      <c r="O631" s="468"/>
      <c r="P631" s="468"/>
      <c r="Q631" s="468"/>
      <c r="R631" s="375"/>
      <c r="S631" s="415"/>
      <c r="T631" s="415"/>
      <c r="U631" s="377"/>
      <c r="V631" s="377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</row>
    <row r="632" ht="14.25" customHeight="1">
      <c r="A632" s="1"/>
      <c r="B632" s="1"/>
      <c r="C632" s="1"/>
      <c r="D632" s="468"/>
      <c r="E632" s="468"/>
      <c r="F632" s="468"/>
      <c r="G632" s="468"/>
      <c r="H632" s="468"/>
      <c r="I632" s="468"/>
      <c r="J632" s="469"/>
      <c r="K632" s="468"/>
      <c r="L632" s="468"/>
      <c r="M632" s="468"/>
      <c r="N632" s="468"/>
      <c r="O632" s="468"/>
      <c r="P632" s="468"/>
      <c r="Q632" s="468"/>
      <c r="R632" s="375"/>
      <c r="S632" s="415"/>
      <c r="T632" s="415"/>
      <c r="U632" s="377"/>
      <c r="V632" s="377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</row>
    <row r="633" ht="14.25" customHeight="1">
      <c r="A633" s="1"/>
      <c r="B633" s="1"/>
      <c r="C633" s="1"/>
      <c r="D633" s="468"/>
      <c r="E633" s="468"/>
      <c r="F633" s="468"/>
      <c r="G633" s="468"/>
      <c r="H633" s="468"/>
      <c r="I633" s="468"/>
      <c r="J633" s="469"/>
      <c r="K633" s="468"/>
      <c r="L633" s="468"/>
      <c r="M633" s="468"/>
      <c r="N633" s="468"/>
      <c r="O633" s="468"/>
      <c r="P633" s="468"/>
      <c r="Q633" s="468"/>
      <c r="R633" s="375"/>
      <c r="S633" s="415"/>
      <c r="T633" s="415"/>
      <c r="U633" s="377"/>
      <c r="V633" s="377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</row>
    <row r="634" ht="14.25" customHeight="1">
      <c r="A634" s="1"/>
      <c r="B634" s="1"/>
      <c r="C634" s="1"/>
      <c r="D634" s="468"/>
      <c r="E634" s="468"/>
      <c r="F634" s="468"/>
      <c r="G634" s="468"/>
      <c r="H634" s="468"/>
      <c r="I634" s="468"/>
      <c r="J634" s="469"/>
      <c r="K634" s="468"/>
      <c r="L634" s="468"/>
      <c r="M634" s="468"/>
      <c r="N634" s="468"/>
      <c r="O634" s="468"/>
      <c r="P634" s="468"/>
      <c r="Q634" s="468"/>
      <c r="R634" s="375"/>
      <c r="S634" s="415"/>
      <c r="T634" s="415"/>
      <c r="U634" s="377"/>
      <c r="V634" s="377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</row>
    <row r="635" ht="14.25" customHeight="1">
      <c r="A635" s="1"/>
      <c r="B635" s="1"/>
      <c r="C635" s="1"/>
      <c r="D635" s="468"/>
      <c r="E635" s="468"/>
      <c r="F635" s="468"/>
      <c r="G635" s="468"/>
      <c r="H635" s="468"/>
      <c r="I635" s="468"/>
      <c r="J635" s="469"/>
      <c r="K635" s="468"/>
      <c r="L635" s="468"/>
      <c r="M635" s="468"/>
      <c r="N635" s="468"/>
      <c r="O635" s="468"/>
      <c r="P635" s="468"/>
      <c r="Q635" s="468"/>
      <c r="R635" s="375"/>
      <c r="S635" s="415"/>
      <c r="T635" s="415"/>
      <c r="U635" s="377"/>
      <c r="V635" s="377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</row>
    <row r="636" ht="14.25" customHeight="1">
      <c r="A636" s="1"/>
      <c r="B636" s="1"/>
      <c r="C636" s="1"/>
      <c r="D636" s="468"/>
      <c r="E636" s="468"/>
      <c r="F636" s="468"/>
      <c r="G636" s="468"/>
      <c r="H636" s="468"/>
      <c r="I636" s="468"/>
      <c r="J636" s="469"/>
      <c r="K636" s="468"/>
      <c r="L636" s="468"/>
      <c r="M636" s="468"/>
      <c r="N636" s="468"/>
      <c r="O636" s="468"/>
      <c r="P636" s="468"/>
      <c r="Q636" s="468"/>
      <c r="R636" s="375"/>
      <c r="S636" s="415"/>
      <c r="T636" s="415"/>
      <c r="U636" s="377"/>
      <c r="V636" s="377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</row>
    <row r="637" ht="14.25" customHeight="1">
      <c r="A637" s="1"/>
      <c r="B637" s="1"/>
      <c r="C637" s="1"/>
      <c r="D637" s="468"/>
      <c r="E637" s="468"/>
      <c r="F637" s="468"/>
      <c r="G637" s="468"/>
      <c r="H637" s="468"/>
      <c r="I637" s="468"/>
      <c r="J637" s="469"/>
      <c r="K637" s="468"/>
      <c r="L637" s="468"/>
      <c r="M637" s="468"/>
      <c r="N637" s="468"/>
      <c r="O637" s="468"/>
      <c r="P637" s="468"/>
      <c r="Q637" s="468"/>
      <c r="R637" s="375"/>
      <c r="S637" s="415"/>
      <c r="T637" s="415"/>
      <c r="U637" s="377"/>
      <c r="V637" s="377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</row>
    <row r="638" ht="14.25" customHeight="1">
      <c r="A638" s="1"/>
      <c r="B638" s="1"/>
      <c r="C638" s="1"/>
      <c r="D638" s="468"/>
      <c r="E638" s="468"/>
      <c r="F638" s="468"/>
      <c r="G638" s="468"/>
      <c r="H638" s="468"/>
      <c r="I638" s="468"/>
      <c r="J638" s="469"/>
      <c r="K638" s="468"/>
      <c r="L638" s="468"/>
      <c r="M638" s="468"/>
      <c r="N638" s="468"/>
      <c r="O638" s="468"/>
      <c r="P638" s="468"/>
      <c r="Q638" s="468"/>
      <c r="R638" s="375"/>
      <c r="S638" s="415"/>
      <c r="T638" s="415"/>
      <c r="U638" s="377"/>
      <c r="V638" s="377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</row>
    <row r="639" ht="14.25" customHeight="1">
      <c r="A639" s="1"/>
      <c r="B639" s="1"/>
      <c r="C639" s="1"/>
      <c r="D639" s="468"/>
      <c r="E639" s="468"/>
      <c r="F639" s="468"/>
      <c r="G639" s="468"/>
      <c r="H639" s="468"/>
      <c r="I639" s="468"/>
      <c r="J639" s="469"/>
      <c r="K639" s="468"/>
      <c r="L639" s="468"/>
      <c r="M639" s="468"/>
      <c r="N639" s="468"/>
      <c r="O639" s="468"/>
      <c r="P639" s="468"/>
      <c r="Q639" s="468"/>
      <c r="R639" s="375"/>
      <c r="S639" s="415"/>
      <c r="T639" s="415"/>
      <c r="U639" s="377"/>
      <c r="V639" s="377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</row>
    <row r="640" ht="14.25" customHeight="1">
      <c r="A640" s="1"/>
      <c r="B640" s="1"/>
      <c r="C640" s="1"/>
      <c r="D640" s="468"/>
      <c r="E640" s="468"/>
      <c r="F640" s="468"/>
      <c r="G640" s="468"/>
      <c r="H640" s="468"/>
      <c r="I640" s="468"/>
      <c r="J640" s="469"/>
      <c r="K640" s="468"/>
      <c r="L640" s="468"/>
      <c r="M640" s="468"/>
      <c r="N640" s="468"/>
      <c r="O640" s="468"/>
      <c r="P640" s="468"/>
      <c r="Q640" s="468"/>
      <c r="R640" s="375"/>
      <c r="S640" s="415"/>
      <c r="T640" s="415"/>
      <c r="U640" s="377"/>
      <c r="V640" s="377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</row>
    <row r="641" ht="14.25" customHeight="1">
      <c r="A641" s="1"/>
      <c r="B641" s="1"/>
      <c r="C641" s="1"/>
      <c r="D641" s="468"/>
      <c r="E641" s="468"/>
      <c r="F641" s="468"/>
      <c r="G641" s="468"/>
      <c r="H641" s="468"/>
      <c r="I641" s="468"/>
      <c r="J641" s="469"/>
      <c r="K641" s="468"/>
      <c r="L641" s="468"/>
      <c r="M641" s="468"/>
      <c r="N641" s="468"/>
      <c r="O641" s="468"/>
      <c r="P641" s="468"/>
      <c r="Q641" s="468"/>
      <c r="R641" s="375"/>
      <c r="S641" s="415"/>
      <c r="T641" s="415"/>
      <c r="U641" s="377"/>
      <c r="V641" s="377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</row>
    <row r="642" ht="14.25" customHeight="1">
      <c r="A642" s="1"/>
      <c r="B642" s="1"/>
      <c r="C642" s="1"/>
      <c r="D642" s="468"/>
      <c r="E642" s="468"/>
      <c r="F642" s="468"/>
      <c r="G642" s="468"/>
      <c r="H642" s="468"/>
      <c r="I642" s="468"/>
      <c r="J642" s="469"/>
      <c r="K642" s="468"/>
      <c r="L642" s="468"/>
      <c r="M642" s="468"/>
      <c r="N642" s="468"/>
      <c r="O642" s="468"/>
      <c r="P642" s="468"/>
      <c r="Q642" s="468"/>
      <c r="R642" s="375"/>
      <c r="S642" s="415"/>
      <c r="T642" s="415"/>
      <c r="U642" s="377"/>
      <c r="V642" s="377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</row>
    <row r="643" ht="14.25" customHeight="1">
      <c r="A643" s="1"/>
      <c r="B643" s="1"/>
      <c r="C643" s="1"/>
      <c r="D643" s="468"/>
      <c r="E643" s="468"/>
      <c r="F643" s="468"/>
      <c r="G643" s="468"/>
      <c r="H643" s="468"/>
      <c r="I643" s="468"/>
      <c r="J643" s="469"/>
      <c r="K643" s="468"/>
      <c r="L643" s="468"/>
      <c r="M643" s="468"/>
      <c r="N643" s="468"/>
      <c r="O643" s="468"/>
      <c r="P643" s="468"/>
      <c r="Q643" s="468"/>
      <c r="R643" s="375"/>
      <c r="S643" s="415"/>
      <c r="T643" s="415"/>
      <c r="U643" s="377"/>
      <c r="V643" s="377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</row>
    <row r="644" ht="14.25" customHeight="1">
      <c r="A644" s="1"/>
      <c r="B644" s="1"/>
      <c r="C644" s="1"/>
      <c r="D644" s="468"/>
      <c r="E644" s="468"/>
      <c r="F644" s="468"/>
      <c r="G644" s="468"/>
      <c r="H644" s="468"/>
      <c r="I644" s="468"/>
      <c r="J644" s="469"/>
      <c r="K644" s="468"/>
      <c r="L644" s="468"/>
      <c r="M644" s="468"/>
      <c r="N644" s="468"/>
      <c r="O644" s="468"/>
      <c r="P644" s="468"/>
      <c r="Q644" s="468"/>
      <c r="R644" s="375"/>
      <c r="S644" s="415"/>
      <c r="T644" s="415"/>
      <c r="U644" s="377"/>
      <c r="V644" s="377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</row>
    <row r="645" ht="14.25" customHeight="1">
      <c r="A645" s="1"/>
      <c r="B645" s="1"/>
      <c r="C645" s="1"/>
      <c r="D645" s="468"/>
      <c r="E645" s="468"/>
      <c r="F645" s="468"/>
      <c r="G645" s="468"/>
      <c r="H645" s="468"/>
      <c r="I645" s="468"/>
      <c r="J645" s="469"/>
      <c r="K645" s="468"/>
      <c r="L645" s="468"/>
      <c r="M645" s="468"/>
      <c r="N645" s="468"/>
      <c r="O645" s="468"/>
      <c r="P645" s="468"/>
      <c r="Q645" s="468"/>
      <c r="R645" s="375"/>
      <c r="S645" s="415"/>
      <c r="T645" s="415"/>
      <c r="U645" s="377"/>
      <c r="V645" s="377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</row>
    <row r="646" ht="14.25" customHeight="1">
      <c r="A646" s="1"/>
      <c r="B646" s="1"/>
      <c r="C646" s="1"/>
      <c r="D646" s="468"/>
      <c r="E646" s="468"/>
      <c r="F646" s="468"/>
      <c r="G646" s="468"/>
      <c r="H646" s="468"/>
      <c r="I646" s="468"/>
      <c r="J646" s="469"/>
      <c r="K646" s="468"/>
      <c r="L646" s="468"/>
      <c r="M646" s="468"/>
      <c r="N646" s="468"/>
      <c r="O646" s="468"/>
      <c r="P646" s="468"/>
      <c r="Q646" s="468"/>
      <c r="R646" s="375"/>
      <c r="S646" s="415"/>
      <c r="T646" s="415"/>
      <c r="U646" s="377"/>
      <c r="V646" s="377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</row>
    <row r="647" ht="14.25" customHeight="1">
      <c r="A647" s="1"/>
      <c r="B647" s="1"/>
      <c r="C647" s="1"/>
      <c r="D647" s="468"/>
      <c r="E647" s="468"/>
      <c r="F647" s="468"/>
      <c r="G647" s="468"/>
      <c r="H647" s="468"/>
      <c r="I647" s="468"/>
      <c r="J647" s="469"/>
      <c r="K647" s="468"/>
      <c r="L647" s="468"/>
      <c r="M647" s="468"/>
      <c r="N647" s="468"/>
      <c r="O647" s="468"/>
      <c r="P647" s="468"/>
      <c r="Q647" s="468"/>
      <c r="R647" s="375"/>
      <c r="S647" s="415"/>
      <c r="T647" s="415"/>
      <c r="U647" s="377"/>
      <c r="V647" s="377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</row>
    <row r="648" ht="14.25" customHeight="1">
      <c r="A648" s="1"/>
      <c r="B648" s="1"/>
      <c r="C648" s="1"/>
      <c r="D648" s="468"/>
      <c r="E648" s="468"/>
      <c r="F648" s="468"/>
      <c r="G648" s="468"/>
      <c r="H648" s="468"/>
      <c r="I648" s="468"/>
      <c r="J648" s="469"/>
      <c r="K648" s="468"/>
      <c r="L648" s="468"/>
      <c r="M648" s="468"/>
      <c r="N648" s="468"/>
      <c r="O648" s="468"/>
      <c r="P648" s="468"/>
      <c r="Q648" s="468"/>
      <c r="R648" s="375"/>
      <c r="S648" s="415"/>
      <c r="T648" s="415"/>
      <c r="U648" s="377"/>
      <c r="V648" s="377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</row>
    <row r="649" ht="14.25" customHeight="1">
      <c r="A649" s="1"/>
      <c r="B649" s="1"/>
      <c r="C649" s="1"/>
      <c r="D649" s="468"/>
      <c r="E649" s="468"/>
      <c r="F649" s="468"/>
      <c r="G649" s="468"/>
      <c r="H649" s="468"/>
      <c r="I649" s="468"/>
      <c r="J649" s="469"/>
      <c r="K649" s="468"/>
      <c r="L649" s="468"/>
      <c r="M649" s="468"/>
      <c r="N649" s="468"/>
      <c r="O649" s="468"/>
      <c r="P649" s="468"/>
      <c r="Q649" s="468"/>
      <c r="R649" s="375"/>
      <c r="S649" s="415"/>
      <c r="T649" s="415"/>
      <c r="U649" s="377"/>
      <c r="V649" s="377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</row>
    <row r="650" ht="14.25" customHeight="1">
      <c r="A650" s="1"/>
      <c r="B650" s="1"/>
      <c r="C650" s="1"/>
      <c r="D650" s="468"/>
      <c r="E650" s="468"/>
      <c r="F650" s="468"/>
      <c r="G650" s="468"/>
      <c r="H650" s="468"/>
      <c r="I650" s="468"/>
      <c r="J650" s="469"/>
      <c r="K650" s="468"/>
      <c r="L650" s="468"/>
      <c r="M650" s="468"/>
      <c r="N650" s="468"/>
      <c r="O650" s="468"/>
      <c r="P650" s="468"/>
      <c r="Q650" s="468"/>
      <c r="R650" s="375"/>
      <c r="S650" s="415"/>
      <c r="T650" s="415"/>
      <c r="U650" s="377"/>
      <c r="V650" s="377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</row>
    <row r="651" ht="14.25" customHeight="1">
      <c r="A651" s="1"/>
      <c r="B651" s="1"/>
      <c r="C651" s="1"/>
      <c r="D651" s="468"/>
      <c r="E651" s="468"/>
      <c r="F651" s="468"/>
      <c r="G651" s="468"/>
      <c r="H651" s="468"/>
      <c r="I651" s="468"/>
      <c r="J651" s="469"/>
      <c r="K651" s="468"/>
      <c r="L651" s="468"/>
      <c r="M651" s="468"/>
      <c r="N651" s="468"/>
      <c r="O651" s="468"/>
      <c r="P651" s="468"/>
      <c r="Q651" s="468"/>
      <c r="R651" s="375"/>
      <c r="S651" s="415"/>
      <c r="T651" s="415"/>
      <c r="U651" s="377"/>
      <c r="V651" s="377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</row>
    <row r="652" ht="14.25" customHeight="1">
      <c r="A652" s="1"/>
      <c r="B652" s="1"/>
      <c r="C652" s="1"/>
      <c r="D652" s="468"/>
      <c r="E652" s="468"/>
      <c r="F652" s="468"/>
      <c r="G652" s="468"/>
      <c r="H652" s="468"/>
      <c r="I652" s="468"/>
      <c r="J652" s="469"/>
      <c r="K652" s="468"/>
      <c r="L652" s="468"/>
      <c r="M652" s="468"/>
      <c r="N652" s="468"/>
      <c r="O652" s="468"/>
      <c r="P652" s="468"/>
      <c r="Q652" s="468"/>
      <c r="R652" s="375"/>
      <c r="S652" s="415"/>
      <c r="T652" s="415"/>
      <c r="U652" s="377"/>
      <c r="V652" s="377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</row>
    <row r="653" ht="14.25" customHeight="1">
      <c r="A653" s="1"/>
      <c r="B653" s="1"/>
      <c r="C653" s="1"/>
      <c r="D653" s="468"/>
      <c r="E653" s="468"/>
      <c r="F653" s="468"/>
      <c r="G653" s="468"/>
      <c r="H653" s="468"/>
      <c r="I653" s="468"/>
      <c r="J653" s="469"/>
      <c r="K653" s="468"/>
      <c r="L653" s="468"/>
      <c r="M653" s="468"/>
      <c r="N653" s="468"/>
      <c r="O653" s="468"/>
      <c r="P653" s="468"/>
      <c r="Q653" s="468"/>
      <c r="R653" s="375"/>
      <c r="S653" s="415"/>
      <c r="T653" s="415"/>
      <c r="U653" s="377"/>
      <c r="V653" s="377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</row>
    <row r="654" ht="14.25" customHeight="1">
      <c r="A654" s="1"/>
      <c r="B654" s="1"/>
      <c r="C654" s="1"/>
      <c r="D654" s="468"/>
      <c r="E654" s="468"/>
      <c r="F654" s="468"/>
      <c r="G654" s="468"/>
      <c r="H654" s="468"/>
      <c r="I654" s="468"/>
      <c r="J654" s="469"/>
      <c r="K654" s="468"/>
      <c r="L654" s="468"/>
      <c r="M654" s="468"/>
      <c r="N654" s="468"/>
      <c r="O654" s="468"/>
      <c r="P654" s="468"/>
      <c r="Q654" s="468"/>
      <c r="R654" s="375"/>
      <c r="S654" s="415"/>
      <c r="T654" s="415"/>
      <c r="U654" s="377"/>
      <c r="V654" s="377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</row>
    <row r="655" ht="14.25" customHeight="1">
      <c r="A655" s="1"/>
      <c r="B655" s="1"/>
      <c r="C655" s="1"/>
      <c r="D655" s="468"/>
      <c r="E655" s="468"/>
      <c r="F655" s="468"/>
      <c r="G655" s="468"/>
      <c r="H655" s="468"/>
      <c r="I655" s="468"/>
      <c r="J655" s="469"/>
      <c r="K655" s="468"/>
      <c r="L655" s="468"/>
      <c r="M655" s="468"/>
      <c r="N655" s="468"/>
      <c r="O655" s="468"/>
      <c r="P655" s="468"/>
      <c r="Q655" s="468"/>
      <c r="R655" s="375"/>
      <c r="S655" s="415"/>
      <c r="T655" s="415"/>
      <c r="U655" s="377"/>
      <c r="V655" s="377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</row>
    <row r="656" ht="14.25" customHeight="1">
      <c r="A656" s="1"/>
      <c r="B656" s="1"/>
      <c r="C656" s="1"/>
      <c r="D656" s="468"/>
      <c r="E656" s="468"/>
      <c r="F656" s="468"/>
      <c r="G656" s="468"/>
      <c r="H656" s="468"/>
      <c r="I656" s="468"/>
      <c r="J656" s="469"/>
      <c r="K656" s="468"/>
      <c r="L656" s="468"/>
      <c r="M656" s="468"/>
      <c r="N656" s="468"/>
      <c r="O656" s="468"/>
      <c r="P656" s="468"/>
      <c r="Q656" s="468"/>
      <c r="R656" s="375"/>
      <c r="S656" s="415"/>
      <c r="T656" s="415"/>
      <c r="U656" s="377"/>
      <c r="V656" s="377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</row>
    <row r="657" ht="14.25" customHeight="1">
      <c r="A657" s="1"/>
      <c r="B657" s="1"/>
      <c r="C657" s="1"/>
      <c r="D657" s="468"/>
      <c r="E657" s="468"/>
      <c r="F657" s="468"/>
      <c r="G657" s="468"/>
      <c r="H657" s="468"/>
      <c r="I657" s="468"/>
      <c r="J657" s="469"/>
      <c r="K657" s="468"/>
      <c r="L657" s="468"/>
      <c r="M657" s="468"/>
      <c r="N657" s="468"/>
      <c r="O657" s="468"/>
      <c r="P657" s="468"/>
      <c r="Q657" s="468"/>
      <c r="R657" s="375"/>
      <c r="S657" s="415"/>
      <c r="T657" s="415"/>
      <c r="U657" s="377"/>
      <c r="V657" s="377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</row>
    <row r="658" ht="14.25" customHeight="1">
      <c r="A658" s="1"/>
      <c r="B658" s="1"/>
      <c r="C658" s="1"/>
      <c r="D658" s="468"/>
      <c r="E658" s="468"/>
      <c r="F658" s="468"/>
      <c r="G658" s="468"/>
      <c r="H658" s="468"/>
      <c r="I658" s="468"/>
      <c r="J658" s="469"/>
      <c r="K658" s="468"/>
      <c r="L658" s="468"/>
      <c r="M658" s="468"/>
      <c r="N658" s="468"/>
      <c r="O658" s="468"/>
      <c r="P658" s="468"/>
      <c r="Q658" s="468"/>
      <c r="R658" s="375"/>
      <c r="S658" s="415"/>
      <c r="T658" s="415"/>
      <c r="U658" s="377"/>
      <c r="V658" s="377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</row>
    <row r="659" ht="14.25" customHeight="1">
      <c r="A659" s="1"/>
      <c r="B659" s="1"/>
      <c r="C659" s="1"/>
      <c r="D659" s="468"/>
      <c r="E659" s="468"/>
      <c r="F659" s="468"/>
      <c r="G659" s="468"/>
      <c r="H659" s="468"/>
      <c r="I659" s="468"/>
      <c r="J659" s="469"/>
      <c r="K659" s="468"/>
      <c r="L659" s="468"/>
      <c r="M659" s="468"/>
      <c r="N659" s="468"/>
      <c r="O659" s="468"/>
      <c r="P659" s="468"/>
      <c r="Q659" s="468"/>
      <c r="R659" s="375"/>
      <c r="S659" s="415"/>
      <c r="T659" s="415"/>
      <c r="U659" s="377"/>
      <c r="V659" s="377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</row>
    <row r="660" ht="14.25" customHeight="1">
      <c r="A660" s="1"/>
      <c r="B660" s="1"/>
      <c r="C660" s="1"/>
      <c r="D660" s="468"/>
      <c r="E660" s="468"/>
      <c r="F660" s="468"/>
      <c r="G660" s="468"/>
      <c r="H660" s="468"/>
      <c r="I660" s="468"/>
      <c r="J660" s="469"/>
      <c r="K660" s="468"/>
      <c r="L660" s="468"/>
      <c r="M660" s="468"/>
      <c r="N660" s="468"/>
      <c r="O660" s="468"/>
      <c r="P660" s="468"/>
      <c r="Q660" s="468"/>
      <c r="R660" s="375"/>
      <c r="S660" s="415"/>
      <c r="T660" s="415"/>
      <c r="U660" s="377"/>
      <c r="V660" s="377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</row>
    <row r="661" ht="14.25" customHeight="1">
      <c r="A661" s="1"/>
      <c r="B661" s="1"/>
      <c r="C661" s="1"/>
      <c r="D661" s="468"/>
      <c r="E661" s="468"/>
      <c r="F661" s="468"/>
      <c r="G661" s="468"/>
      <c r="H661" s="468"/>
      <c r="I661" s="468"/>
      <c r="J661" s="469"/>
      <c r="K661" s="468"/>
      <c r="L661" s="468"/>
      <c r="M661" s="468"/>
      <c r="N661" s="468"/>
      <c r="O661" s="468"/>
      <c r="P661" s="468"/>
      <c r="Q661" s="468"/>
      <c r="R661" s="375"/>
      <c r="S661" s="415"/>
      <c r="T661" s="415"/>
      <c r="U661" s="377"/>
      <c r="V661" s="377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</row>
    <row r="662" ht="14.25" customHeight="1">
      <c r="A662" s="1"/>
      <c r="B662" s="1"/>
      <c r="C662" s="1"/>
      <c r="D662" s="468"/>
      <c r="E662" s="468"/>
      <c r="F662" s="468"/>
      <c r="G662" s="468"/>
      <c r="H662" s="468"/>
      <c r="I662" s="468"/>
      <c r="J662" s="469"/>
      <c r="K662" s="468"/>
      <c r="L662" s="468"/>
      <c r="M662" s="468"/>
      <c r="N662" s="468"/>
      <c r="O662" s="468"/>
      <c r="P662" s="468"/>
      <c r="Q662" s="468"/>
      <c r="R662" s="375"/>
      <c r="S662" s="415"/>
      <c r="T662" s="415"/>
      <c r="U662" s="377"/>
      <c r="V662" s="377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</row>
    <row r="663" ht="14.25" customHeight="1">
      <c r="A663" s="1"/>
      <c r="B663" s="1"/>
      <c r="C663" s="1"/>
      <c r="D663" s="468"/>
      <c r="E663" s="468"/>
      <c r="F663" s="468"/>
      <c r="G663" s="468"/>
      <c r="H663" s="468"/>
      <c r="I663" s="468"/>
      <c r="J663" s="469"/>
      <c r="K663" s="468"/>
      <c r="L663" s="468"/>
      <c r="M663" s="468"/>
      <c r="N663" s="468"/>
      <c r="O663" s="468"/>
      <c r="P663" s="468"/>
      <c r="Q663" s="468"/>
      <c r="R663" s="375"/>
      <c r="S663" s="415"/>
      <c r="T663" s="415"/>
      <c r="U663" s="377"/>
      <c r="V663" s="377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</row>
    <row r="664" ht="14.25" customHeight="1">
      <c r="A664" s="1"/>
      <c r="B664" s="1"/>
      <c r="C664" s="1"/>
      <c r="D664" s="468"/>
      <c r="E664" s="468"/>
      <c r="F664" s="468"/>
      <c r="G664" s="468"/>
      <c r="H664" s="468"/>
      <c r="I664" s="468"/>
      <c r="J664" s="469"/>
      <c r="K664" s="468"/>
      <c r="L664" s="468"/>
      <c r="M664" s="468"/>
      <c r="N664" s="468"/>
      <c r="O664" s="468"/>
      <c r="P664" s="468"/>
      <c r="Q664" s="468"/>
      <c r="R664" s="375"/>
      <c r="S664" s="415"/>
      <c r="T664" s="415"/>
      <c r="U664" s="377"/>
      <c r="V664" s="377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</row>
    <row r="665" ht="14.25" customHeight="1">
      <c r="A665" s="1"/>
      <c r="B665" s="1"/>
      <c r="C665" s="1"/>
      <c r="D665" s="468"/>
      <c r="E665" s="468"/>
      <c r="F665" s="468"/>
      <c r="G665" s="468"/>
      <c r="H665" s="468"/>
      <c r="I665" s="468"/>
      <c r="J665" s="469"/>
      <c r="K665" s="468"/>
      <c r="L665" s="468"/>
      <c r="M665" s="468"/>
      <c r="N665" s="468"/>
      <c r="O665" s="468"/>
      <c r="P665" s="468"/>
      <c r="Q665" s="468"/>
      <c r="R665" s="375"/>
      <c r="S665" s="415"/>
      <c r="T665" s="415"/>
      <c r="U665" s="377"/>
      <c r="V665" s="377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</row>
    <row r="666" ht="14.25" customHeight="1">
      <c r="A666" s="1"/>
      <c r="B666" s="1"/>
      <c r="C666" s="1"/>
      <c r="D666" s="468"/>
      <c r="E666" s="468"/>
      <c r="F666" s="468"/>
      <c r="G666" s="468"/>
      <c r="H666" s="468"/>
      <c r="I666" s="468"/>
      <c r="J666" s="469"/>
      <c r="K666" s="468"/>
      <c r="L666" s="468"/>
      <c r="M666" s="468"/>
      <c r="N666" s="468"/>
      <c r="O666" s="468"/>
      <c r="P666" s="468"/>
      <c r="Q666" s="468"/>
      <c r="R666" s="375"/>
      <c r="S666" s="415"/>
      <c r="T666" s="415"/>
      <c r="U666" s="377"/>
      <c r="V666" s="377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</row>
    <row r="667" ht="14.25" customHeight="1">
      <c r="A667" s="1"/>
      <c r="B667" s="1"/>
      <c r="C667" s="1"/>
      <c r="D667" s="468"/>
      <c r="E667" s="468"/>
      <c r="F667" s="468"/>
      <c r="G667" s="468"/>
      <c r="H667" s="468"/>
      <c r="I667" s="468"/>
      <c r="J667" s="469"/>
      <c r="K667" s="468"/>
      <c r="L667" s="468"/>
      <c r="M667" s="468"/>
      <c r="N667" s="468"/>
      <c r="O667" s="468"/>
      <c r="P667" s="468"/>
      <c r="Q667" s="468"/>
      <c r="R667" s="375"/>
      <c r="S667" s="415"/>
      <c r="T667" s="415"/>
      <c r="U667" s="377"/>
      <c r="V667" s="377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</row>
    <row r="668" ht="14.25" customHeight="1">
      <c r="A668" s="1"/>
      <c r="B668" s="1"/>
      <c r="C668" s="1"/>
      <c r="D668" s="468"/>
      <c r="E668" s="468"/>
      <c r="F668" s="468"/>
      <c r="G668" s="468"/>
      <c r="H668" s="468"/>
      <c r="I668" s="468"/>
      <c r="J668" s="469"/>
      <c r="K668" s="468"/>
      <c r="L668" s="468"/>
      <c r="M668" s="468"/>
      <c r="N668" s="468"/>
      <c r="O668" s="468"/>
      <c r="P668" s="468"/>
      <c r="Q668" s="468"/>
      <c r="R668" s="375"/>
      <c r="S668" s="415"/>
      <c r="T668" s="415"/>
      <c r="U668" s="377"/>
      <c r="V668" s="377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</row>
    <row r="669" ht="14.25" customHeight="1">
      <c r="A669" s="1"/>
      <c r="B669" s="1"/>
      <c r="C669" s="1"/>
      <c r="D669" s="468"/>
      <c r="E669" s="468"/>
      <c r="F669" s="468"/>
      <c r="G669" s="468"/>
      <c r="H669" s="468"/>
      <c r="I669" s="468"/>
      <c r="J669" s="469"/>
      <c r="K669" s="468"/>
      <c r="L669" s="468"/>
      <c r="M669" s="468"/>
      <c r="N669" s="468"/>
      <c r="O669" s="468"/>
      <c r="P669" s="468"/>
      <c r="Q669" s="468"/>
      <c r="R669" s="375"/>
      <c r="S669" s="415"/>
      <c r="T669" s="415"/>
      <c r="U669" s="377"/>
      <c r="V669" s="377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</row>
    <row r="670" ht="14.25" customHeight="1">
      <c r="A670" s="1"/>
      <c r="B670" s="1"/>
      <c r="C670" s="1"/>
      <c r="D670" s="468"/>
      <c r="E670" s="468"/>
      <c r="F670" s="468"/>
      <c r="G670" s="468"/>
      <c r="H670" s="468"/>
      <c r="I670" s="468"/>
      <c r="J670" s="469"/>
      <c r="K670" s="468"/>
      <c r="L670" s="468"/>
      <c r="M670" s="468"/>
      <c r="N670" s="468"/>
      <c r="O670" s="468"/>
      <c r="P670" s="468"/>
      <c r="Q670" s="468"/>
      <c r="R670" s="375"/>
      <c r="S670" s="415"/>
      <c r="T670" s="415"/>
      <c r="U670" s="377"/>
      <c r="V670" s="377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</row>
    <row r="671" ht="14.25" customHeight="1">
      <c r="A671" s="1"/>
      <c r="B671" s="1"/>
      <c r="C671" s="1"/>
      <c r="D671" s="468"/>
      <c r="E671" s="468"/>
      <c r="F671" s="468"/>
      <c r="G671" s="468"/>
      <c r="H671" s="468"/>
      <c r="I671" s="468"/>
      <c r="J671" s="469"/>
      <c r="K671" s="468"/>
      <c r="L671" s="468"/>
      <c r="M671" s="468"/>
      <c r="N671" s="468"/>
      <c r="O671" s="468"/>
      <c r="P671" s="468"/>
      <c r="Q671" s="468"/>
      <c r="R671" s="375"/>
      <c r="S671" s="415"/>
      <c r="T671" s="415"/>
      <c r="U671" s="377"/>
      <c r="V671" s="377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</row>
    <row r="672" ht="14.25" customHeight="1">
      <c r="A672" s="1"/>
      <c r="B672" s="1"/>
      <c r="C672" s="1"/>
      <c r="D672" s="468"/>
      <c r="E672" s="468"/>
      <c r="F672" s="468"/>
      <c r="G672" s="468"/>
      <c r="H672" s="468"/>
      <c r="I672" s="468"/>
      <c r="J672" s="469"/>
      <c r="K672" s="468"/>
      <c r="L672" s="468"/>
      <c r="M672" s="468"/>
      <c r="N672" s="468"/>
      <c r="O672" s="468"/>
      <c r="P672" s="468"/>
      <c r="Q672" s="468"/>
      <c r="R672" s="375"/>
      <c r="S672" s="415"/>
      <c r="T672" s="415"/>
      <c r="U672" s="377"/>
      <c r="V672" s="377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</row>
    <row r="673" ht="14.25" customHeight="1">
      <c r="A673" s="1"/>
      <c r="B673" s="1"/>
      <c r="C673" s="1"/>
      <c r="D673" s="468"/>
      <c r="E673" s="468"/>
      <c r="F673" s="468"/>
      <c r="G673" s="468"/>
      <c r="H673" s="468"/>
      <c r="I673" s="468"/>
      <c r="J673" s="469"/>
      <c r="K673" s="468"/>
      <c r="L673" s="468"/>
      <c r="M673" s="468"/>
      <c r="N673" s="468"/>
      <c r="O673" s="468"/>
      <c r="P673" s="468"/>
      <c r="Q673" s="468"/>
      <c r="R673" s="375"/>
      <c r="S673" s="415"/>
      <c r="T673" s="415"/>
      <c r="U673" s="377"/>
      <c r="V673" s="377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</row>
    <row r="674" ht="14.25" customHeight="1">
      <c r="A674" s="1"/>
      <c r="B674" s="1"/>
      <c r="C674" s="1"/>
      <c r="D674" s="468"/>
      <c r="E674" s="468"/>
      <c r="F674" s="468"/>
      <c r="G674" s="468"/>
      <c r="H674" s="468"/>
      <c r="I674" s="468"/>
      <c r="J674" s="469"/>
      <c r="K674" s="468"/>
      <c r="L674" s="468"/>
      <c r="M674" s="468"/>
      <c r="N674" s="468"/>
      <c r="O674" s="468"/>
      <c r="P674" s="468"/>
      <c r="Q674" s="468"/>
      <c r="R674" s="375"/>
      <c r="S674" s="415"/>
      <c r="T674" s="415"/>
      <c r="U674" s="377"/>
      <c r="V674" s="377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</row>
    <row r="675" ht="14.25" customHeight="1">
      <c r="A675" s="1"/>
      <c r="B675" s="1"/>
      <c r="C675" s="1"/>
      <c r="D675" s="468"/>
      <c r="E675" s="468"/>
      <c r="F675" s="468"/>
      <c r="G675" s="468"/>
      <c r="H675" s="468"/>
      <c r="I675" s="468"/>
      <c r="J675" s="469"/>
      <c r="K675" s="468"/>
      <c r="L675" s="468"/>
      <c r="M675" s="468"/>
      <c r="N675" s="468"/>
      <c r="O675" s="468"/>
      <c r="P675" s="468"/>
      <c r="Q675" s="468"/>
      <c r="R675" s="375"/>
      <c r="S675" s="415"/>
      <c r="T675" s="415"/>
      <c r="U675" s="377"/>
      <c r="V675" s="377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</row>
    <row r="676" ht="14.25" customHeight="1">
      <c r="A676" s="1"/>
      <c r="B676" s="1"/>
      <c r="C676" s="1"/>
      <c r="D676" s="468"/>
      <c r="E676" s="468"/>
      <c r="F676" s="468"/>
      <c r="G676" s="468"/>
      <c r="H676" s="468"/>
      <c r="I676" s="468"/>
      <c r="J676" s="469"/>
      <c r="K676" s="468"/>
      <c r="L676" s="468"/>
      <c r="M676" s="468"/>
      <c r="N676" s="468"/>
      <c r="O676" s="468"/>
      <c r="P676" s="468"/>
      <c r="Q676" s="468"/>
      <c r="R676" s="375"/>
      <c r="S676" s="415"/>
      <c r="T676" s="415"/>
      <c r="U676" s="377"/>
      <c r="V676" s="377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</row>
    <row r="677" ht="14.25" customHeight="1">
      <c r="A677" s="1"/>
      <c r="B677" s="1"/>
      <c r="C677" s="1"/>
      <c r="D677" s="468"/>
      <c r="E677" s="468"/>
      <c r="F677" s="468"/>
      <c r="G677" s="468"/>
      <c r="H677" s="468"/>
      <c r="I677" s="468"/>
      <c r="J677" s="469"/>
      <c r="K677" s="468"/>
      <c r="L677" s="468"/>
      <c r="M677" s="468"/>
      <c r="N677" s="468"/>
      <c r="O677" s="468"/>
      <c r="P677" s="468"/>
      <c r="Q677" s="468"/>
      <c r="R677" s="375"/>
      <c r="S677" s="415"/>
      <c r="T677" s="415"/>
      <c r="U677" s="377"/>
      <c r="V677" s="377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</row>
    <row r="678" ht="14.25" customHeight="1">
      <c r="A678" s="1"/>
      <c r="B678" s="1"/>
      <c r="C678" s="1"/>
      <c r="D678" s="468"/>
      <c r="E678" s="468"/>
      <c r="F678" s="468"/>
      <c r="G678" s="468"/>
      <c r="H678" s="468"/>
      <c r="I678" s="468"/>
      <c r="J678" s="469"/>
      <c r="K678" s="468"/>
      <c r="L678" s="468"/>
      <c r="M678" s="468"/>
      <c r="N678" s="468"/>
      <c r="O678" s="468"/>
      <c r="P678" s="468"/>
      <c r="Q678" s="468"/>
      <c r="R678" s="375"/>
      <c r="S678" s="415"/>
      <c r="T678" s="415"/>
      <c r="U678" s="377"/>
      <c r="V678" s="377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</row>
    <row r="679" ht="14.25" customHeight="1">
      <c r="A679" s="1"/>
      <c r="B679" s="1"/>
      <c r="C679" s="1"/>
      <c r="D679" s="468"/>
      <c r="E679" s="468"/>
      <c r="F679" s="468"/>
      <c r="G679" s="468"/>
      <c r="H679" s="468"/>
      <c r="I679" s="468"/>
      <c r="J679" s="469"/>
      <c r="K679" s="468"/>
      <c r="L679" s="468"/>
      <c r="M679" s="468"/>
      <c r="N679" s="468"/>
      <c r="O679" s="468"/>
      <c r="P679" s="468"/>
      <c r="Q679" s="468"/>
      <c r="R679" s="375"/>
      <c r="S679" s="415"/>
      <c r="T679" s="415"/>
      <c r="U679" s="377"/>
      <c r="V679" s="377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</row>
    <row r="680" ht="14.25" customHeight="1">
      <c r="A680" s="1"/>
      <c r="B680" s="1"/>
      <c r="C680" s="1"/>
      <c r="D680" s="468"/>
      <c r="E680" s="468"/>
      <c r="F680" s="468"/>
      <c r="G680" s="468"/>
      <c r="H680" s="468"/>
      <c r="I680" s="468"/>
      <c r="J680" s="469"/>
      <c r="K680" s="468"/>
      <c r="L680" s="468"/>
      <c r="M680" s="468"/>
      <c r="N680" s="468"/>
      <c r="O680" s="468"/>
      <c r="P680" s="468"/>
      <c r="Q680" s="468"/>
      <c r="R680" s="375"/>
      <c r="S680" s="415"/>
      <c r="T680" s="415"/>
      <c r="U680" s="377"/>
      <c r="V680" s="377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</row>
    <row r="681" ht="14.25" customHeight="1">
      <c r="A681" s="1"/>
      <c r="B681" s="1"/>
      <c r="C681" s="1"/>
      <c r="D681" s="468"/>
      <c r="E681" s="468"/>
      <c r="F681" s="468"/>
      <c r="G681" s="468"/>
      <c r="H681" s="468"/>
      <c r="I681" s="468"/>
      <c r="J681" s="469"/>
      <c r="K681" s="468"/>
      <c r="L681" s="468"/>
      <c r="M681" s="468"/>
      <c r="N681" s="468"/>
      <c r="O681" s="468"/>
      <c r="P681" s="468"/>
      <c r="Q681" s="468"/>
      <c r="R681" s="375"/>
      <c r="S681" s="415"/>
      <c r="T681" s="415"/>
      <c r="U681" s="377"/>
      <c r="V681" s="377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</row>
    <row r="682" ht="14.25" customHeight="1">
      <c r="A682" s="1"/>
      <c r="B682" s="1"/>
      <c r="C682" s="1"/>
      <c r="D682" s="468"/>
      <c r="E682" s="468"/>
      <c r="F682" s="468"/>
      <c r="G682" s="468"/>
      <c r="H682" s="468"/>
      <c r="I682" s="468"/>
      <c r="J682" s="469"/>
      <c r="K682" s="468"/>
      <c r="L682" s="468"/>
      <c r="M682" s="468"/>
      <c r="N682" s="468"/>
      <c r="O682" s="468"/>
      <c r="P682" s="468"/>
      <c r="Q682" s="468"/>
      <c r="R682" s="375"/>
      <c r="S682" s="415"/>
      <c r="T682" s="415"/>
      <c r="U682" s="377"/>
      <c r="V682" s="377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</row>
    <row r="683" ht="14.25" customHeight="1">
      <c r="A683" s="1"/>
      <c r="B683" s="1"/>
      <c r="C683" s="1"/>
      <c r="D683" s="468"/>
      <c r="E683" s="468"/>
      <c r="F683" s="468"/>
      <c r="G683" s="468"/>
      <c r="H683" s="468"/>
      <c r="I683" s="468"/>
      <c r="J683" s="469"/>
      <c r="K683" s="468"/>
      <c r="L683" s="468"/>
      <c r="M683" s="468"/>
      <c r="N683" s="468"/>
      <c r="O683" s="468"/>
      <c r="P683" s="468"/>
      <c r="Q683" s="468"/>
      <c r="R683" s="375"/>
      <c r="S683" s="415"/>
      <c r="T683" s="415"/>
      <c r="U683" s="377"/>
      <c r="V683" s="377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</row>
    <row r="684" ht="14.25" customHeight="1">
      <c r="A684" s="1"/>
      <c r="B684" s="1"/>
      <c r="C684" s="1"/>
      <c r="D684" s="468"/>
      <c r="E684" s="468"/>
      <c r="F684" s="468"/>
      <c r="G684" s="468"/>
      <c r="H684" s="468"/>
      <c r="I684" s="468"/>
      <c r="J684" s="469"/>
      <c r="K684" s="468"/>
      <c r="L684" s="468"/>
      <c r="M684" s="468"/>
      <c r="N684" s="468"/>
      <c r="O684" s="468"/>
      <c r="P684" s="468"/>
      <c r="Q684" s="468"/>
      <c r="R684" s="375"/>
      <c r="S684" s="415"/>
      <c r="T684" s="415"/>
      <c r="U684" s="377"/>
      <c r="V684" s="377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</row>
    <row r="685" ht="14.25" customHeight="1">
      <c r="A685" s="1"/>
      <c r="B685" s="1"/>
      <c r="C685" s="1"/>
      <c r="D685" s="468"/>
      <c r="E685" s="468"/>
      <c r="F685" s="468"/>
      <c r="G685" s="468"/>
      <c r="H685" s="468"/>
      <c r="I685" s="468"/>
      <c r="J685" s="469"/>
      <c r="K685" s="468"/>
      <c r="L685" s="468"/>
      <c r="M685" s="468"/>
      <c r="N685" s="468"/>
      <c r="O685" s="468"/>
      <c r="P685" s="468"/>
      <c r="Q685" s="468"/>
      <c r="R685" s="375"/>
      <c r="S685" s="415"/>
      <c r="T685" s="415"/>
      <c r="U685" s="377"/>
      <c r="V685" s="377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</row>
    <row r="686" ht="14.25" customHeight="1">
      <c r="A686" s="1"/>
      <c r="B686" s="1"/>
      <c r="C686" s="1"/>
      <c r="D686" s="468"/>
      <c r="E686" s="468"/>
      <c r="F686" s="468"/>
      <c r="G686" s="468"/>
      <c r="H686" s="468"/>
      <c r="I686" s="468"/>
      <c r="J686" s="469"/>
      <c r="K686" s="468"/>
      <c r="L686" s="468"/>
      <c r="M686" s="468"/>
      <c r="N686" s="468"/>
      <c r="O686" s="468"/>
      <c r="P686" s="468"/>
      <c r="Q686" s="468"/>
      <c r="R686" s="375"/>
      <c r="S686" s="415"/>
      <c r="T686" s="415"/>
      <c r="U686" s="377"/>
      <c r="V686" s="377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</row>
    <row r="687" ht="14.25" customHeight="1">
      <c r="A687" s="1"/>
      <c r="B687" s="1"/>
      <c r="C687" s="1"/>
      <c r="D687" s="468"/>
      <c r="E687" s="468"/>
      <c r="F687" s="468"/>
      <c r="G687" s="468"/>
      <c r="H687" s="468"/>
      <c r="I687" s="468"/>
      <c r="J687" s="469"/>
      <c r="K687" s="468"/>
      <c r="L687" s="468"/>
      <c r="M687" s="468"/>
      <c r="N687" s="468"/>
      <c r="O687" s="468"/>
      <c r="P687" s="468"/>
      <c r="Q687" s="468"/>
      <c r="R687" s="375"/>
      <c r="S687" s="415"/>
      <c r="T687" s="415"/>
      <c r="U687" s="377"/>
      <c r="V687" s="377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</row>
    <row r="688" ht="14.25" customHeight="1">
      <c r="A688" s="1"/>
      <c r="B688" s="1"/>
      <c r="C688" s="1"/>
      <c r="D688" s="468"/>
      <c r="E688" s="468"/>
      <c r="F688" s="468"/>
      <c r="G688" s="468"/>
      <c r="H688" s="468"/>
      <c r="I688" s="468"/>
      <c r="J688" s="469"/>
      <c r="K688" s="468"/>
      <c r="L688" s="468"/>
      <c r="M688" s="468"/>
      <c r="N688" s="468"/>
      <c r="O688" s="468"/>
      <c r="P688" s="468"/>
      <c r="Q688" s="468"/>
      <c r="R688" s="375"/>
      <c r="S688" s="415"/>
      <c r="T688" s="415"/>
      <c r="U688" s="377"/>
      <c r="V688" s="377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</row>
    <row r="689" ht="14.25" customHeight="1">
      <c r="A689" s="1"/>
      <c r="B689" s="1"/>
      <c r="C689" s="1"/>
      <c r="D689" s="468"/>
      <c r="E689" s="468"/>
      <c r="F689" s="468"/>
      <c r="G689" s="468"/>
      <c r="H689" s="468"/>
      <c r="I689" s="468"/>
      <c r="J689" s="469"/>
      <c r="K689" s="468"/>
      <c r="L689" s="468"/>
      <c r="M689" s="468"/>
      <c r="N689" s="468"/>
      <c r="O689" s="468"/>
      <c r="P689" s="468"/>
      <c r="Q689" s="468"/>
      <c r="R689" s="375"/>
      <c r="S689" s="415"/>
      <c r="T689" s="415"/>
      <c r="U689" s="377"/>
      <c r="V689" s="377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</row>
    <row r="690" ht="14.25" customHeight="1">
      <c r="A690" s="1"/>
      <c r="B690" s="1"/>
      <c r="C690" s="1"/>
      <c r="D690" s="468"/>
      <c r="E690" s="468"/>
      <c r="F690" s="468"/>
      <c r="G690" s="468"/>
      <c r="H690" s="468"/>
      <c r="I690" s="468"/>
      <c r="J690" s="469"/>
      <c r="K690" s="468"/>
      <c r="L690" s="468"/>
      <c r="M690" s="468"/>
      <c r="N690" s="468"/>
      <c r="O690" s="468"/>
      <c r="P690" s="468"/>
      <c r="Q690" s="468"/>
      <c r="R690" s="375"/>
      <c r="S690" s="415"/>
      <c r="T690" s="415"/>
      <c r="U690" s="377"/>
      <c r="V690" s="377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</row>
    <row r="691" ht="14.25" customHeight="1">
      <c r="A691" s="1"/>
      <c r="B691" s="1"/>
      <c r="C691" s="1"/>
      <c r="D691" s="468"/>
      <c r="E691" s="468"/>
      <c r="F691" s="468"/>
      <c r="G691" s="468"/>
      <c r="H691" s="468"/>
      <c r="I691" s="468"/>
      <c r="J691" s="469"/>
      <c r="K691" s="468"/>
      <c r="L691" s="468"/>
      <c r="M691" s="468"/>
      <c r="N691" s="468"/>
      <c r="O691" s="468"/>
      <c r="P691" s="468"/>
      <c r="Q691" s="468"/>
      <c r="R691" s="375"/>
      <c r="S691" s="415"/>
      <c r="T691" s="415"/>
      <c r="U691" s="377"/>
      <c r="V691" s="377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</row>
    <row r="692" ht="14.25" customHeight="1">
      <c r="A692" s="1"/>
      <c r="B692" s="1"/>
      <c r="C692" s="1"/>
      <c r="D692" s="468"/>
      <c r="E692" s="468"/>
      <c r="F692" s="468"/>
      <c r="G692" s="468"/>
      <c r="H692" s="468"/>
      <c r="I692" s="468"/>
      <c r="J692" s="469"/>
      <c r="K692" s="468"/>
      <c r="L692" s="468"/>
      <c r="M692" s="468"/>
      <c r="N692" s="468"/>
      <c r="O692" s="468"/>
      <c r="P692" s="468"/>
      <c r="Q692" s="468"/>
      <c r="R692" s="375"/>
      <c r="S692" s="415"/>
      <c r="T692" s="415"/>
      <c r="U692" s="377"/>
      <c r="V692" s="377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</row>
    <row r="693" ht="14.25" customHeight="1">
      <c r="A693" s="1"/>
      <c r="B693" s="1"/>
      <c r="C693" s="1"/>
      <c r="D693" s="468"/>
      <c r="E693" s="468"/>
      <c r="F693" s="468"/>
      <c r="G693" s="468"/>
      <c r="H693" s="468"/>
      <c r="I693" s="468"/>
      <c r="J693" s="469"/>
      <c r="K693" s="468"/>
      <c r="L693" s="468"/>
      <c r="M693" s="468"/>
      <c r="N693" s="468"/>
      <c r="O693" s="468"/>
      <c r="P693" s="468"/>
      <c r="Q693" s="468"/>
      <c r="R693" s="375"/>
      <c r="S693" s="415"/>
      <c r="T693" s="415"/>
      <c r="U693" s="377"/>
      <c r="V693" s="377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</row>
    <row r="694" ht="14.25" customHeight="1">
      <c r="A694" s="1"/>
      <c r="B694" s="1"/>
      <c r="C694" s="1"/>
      <c r="D694" s="468"/>
      <c r="E694" s="468"/>
      <c r="F694" s="468"/>
      <c r="G694" s="468"/>
      <c r="H694" s="468"/>
      <c r="I694" s="468"/>
      <c r="J694" s="469"/>
      <c r="K694" s="468"/>
      <c r="L694" s="468"/>
      <c r="M694" s="468"/>
      <c r="N694" s="468"/>
      <c r="O694" s="468"/>
      <c r="P694" s="468"/>
      <c r="Q694" s="468"/>
      <c r="R694" s="375"/>
      <c r="S694" s="415"/>
      <c r="T694" s="415"/>
      <c r="U694" s="377"/>
      <c r="V694" s="377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</row>
    <row r="695" ht="14.25" customHeight="1">
      <c r="A695" s="1"/>
      <c r="B695" s="1"/>
      <c r="C695" s="1"/>
      <c r="D695" s="468"/>
      <c r="E695" s="468"/>
      <c r="F695" s="468"/>
      <c r="G695" s="468"/>
      <c r="H695" s="468"/>
      <c r="I695" s="468"/>
      <c r="J695" s="469"/>
      <c r="K695" s="468"/>
      <c r="L695" s="468"/>
      <c r="M695" s="468"/>
      <c r="N695" s="468"/>
      <c r="O695" s="468"/>
      <c r="P695" s="468"/>
      <c r="Q695" s="468"/>
      <c r="R695" s="375"/>
      <c r="S695" s="415"/>
      <c r="T695" s="415"/>
      <c r="U695" s="377"/>
      <c r="V695" s="377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</row>
    <row r="696" ht="14.25" customHeight="1">
      <c r="A696" s="1"/>
      <c r="B696" s="1"/>
      <c r="C696" s="1"/>
      <c r="D696" s="468"/>
      <c r="E696" s="468"/>
      <c r="F696" s="468"/>
      <c r="G696" s="468"/>
      <c r="H696" s="468"/>
      <c r="I696" s="468"/>
      <c r="J696" s="469"/>
      <c r="K696" s="468"/>
      <c r="L696" s="468"/>
      <c r="M696" s="468"/>
      <c r="N696" s="468"/>
      <c r="O696" s="468"/>
      <c r="P696" s="468"/>
      <c r="Q696" s="468"/>
      <c r="R696" s="375"/>
      <c r="S696" s="415"/>
      <c r="T696" s="415"/>
      <c r="U696" s="377"/>
      <c r="V696" s="377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</row>
    <row r="697" ht="14.25" customHeight="1">
      <c r="A697" s="1"/>
      <c r="B697" s="1"/>
      <c r="C697" s="1"/>
      <c r="D697" s="468"/>
      <c r="E697" s="468"/>
      <c r="F697" s="468"/>
      <c r="G697" s="468"/>
      <c r="H697" s="468"/>
      <c r="I697" s="468"/>
      <c r="J697" s="469"/>
      <c r="K697" s="468"/>
      <c r="L697" s="468"/>
      <c r="M697" s="468"/>
      <c r="N697" s="468"/>
      <c r="O697" s="468"/>
      <c r="P697" s="468"/>
      <c r="Q697" s="468"/>
      <c r="R697" s="375"/>
      <c r="S697" s="415"/>
      <c r="T697" s="415"/>
      <c r="U697" s="377"/>
      <c r="V697" s="377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</row>
    <row r="698" ht="14.25" customHeight="1">
      <c r="A698" s="1"/>
      <c r="B698" s="1"/>
      <c r="C698" s="1"/>
      <c r="D698" s="468"/>
      <c r="E698" s="468"/>
      <c r="F698" s="468"/>
      <c r="G698" s="468"/>
      <c r="H698" s="468"/>
      <c r="I698" s="468"/>
      <c r="J698" s="469"/>
      <c r="K698" s="468"/>
      <c r="L698" s="468"/>
      <c r="M698" s="468"/>
      <c r="N698" s="468"/>
      <c r="O698" s="468"/>
      <c r="P698" s="468"/>
      <c r="Q698" s="468"/>
      <c r="R698" s="375"/>
      <c r="S698" s="415"/>
      <c r="T698" s="415"/>
      <c r="U698" s="377"/>
      <c r="V698" s="377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</row>
    <row r="699" ht="14.25" customHeight="1">
      <c r="A699" s="1"/>
      <c r="B699" s="1"/>
      <c r="C699" s="1"/>
      <c r="D699" s="468"/>
      <c r="E699" s="468"/>
      <c r="F699" s="468"/>
      <c r="G699" s="468"/>
      <c r="H699" s="468"/>
      <c r="I699" s="468"/>
      <c r="J699" s="469"/>
      <c r="K699" s="468"/>
      <c r="L699" s="468"/>
      <c r="M699" s="468"/>
      <c r="N699" s="468"/>
      <c r="O699" s="468"/>
      <c r="P699" s="468"/>
      <c r="Q699" s="468"/>
      <c r="R699" s="375"/>
      <c r="S699" s="415"/>
      <c r="T699" s="415"/>
      <c r="U699" s="377"/>
      <c r="V699" s="377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</row>
    <row r="700" ht="14.25" customHeight="1">
      <c r="A700" s="1"/>
      <c r="B700" s="1"/>
      <c r="C700" s="1"/>
      <c r="D700" s="468"/>
      <c r="E700" s="468"/>
      <c r="F700" s="468"/>
      <c r="G700" s="468"/>
      <c r="H700" s="468"/>
      <c r="I700" s="468"/>
      <c r="J700" s="469"/>
      <c r="K700" s="468"/>
      <c r="L700" s="468"/>
      <c r="M700" s="468"/>
      <c r="N700" s="468"/>
      <c r="O700" s="468"/>
      <c r="P700" s="468"/>
      <c r="Q700" s="468"/>
      <c r="R700" s="375"/>
      <c r="S700" s="415"/>
      <c r="T700" s="415"/>
      <c r="U700" s="377"/>
      <c r="V700" s="377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</row>
    <row r="701" ht="14.25" customHeight="1">
      <c r="A701" s="1"/>
      <c r="B701" s="1"/>
      <c r="C701" s="1"/>
      <c r="D701" s="468"/>
      <c r="E701" s="468"/>
      <c r="F701" s="468"/>
      <c r="G701" s="468"/>
      <c r="H701" s="468"/>
      <c r="I701" s="468"/>
      <c r="J701" s="469"/>
      <c r="K701" s="468"/>
      <c r="L701" s="468"/>
      <c r="M701" s="468"/>
      <c r="N701" s="468"/>
      <c r="O701" s="468"/>
      <c r="P701" s="468"/>
      <c r="Q701" s="468"/>
      <c r="R701" s="375"/>
      <c r="S701" s="415"/>
      <c r="T701" s="415"/>
      <c r="U701" s="377"/>
      <c r="V701" s="377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</row>
    <row r="702" ht="14.25" customHeight="1">
      <c r="A702" s="1"/>
      <c r="B702" s="1"/>
      <c r="C702" s="1"/>
      <c r="D702" s="468"/>
      <c r="E702" s="468"/>
      <c r="F702" s="468"/>
      <c r="G702" s="468"/>
      <c r="H702" s="468"/>
      <c r="I702" s="468"/>
      <c r="J702" s="469"/>
      <c r="K702" s="468"/>
      <c r="L702" s="468"/>
      <c r="M702" s="468"/>
      <c r="N702" s="468"/>
      <c r="O702" s="468"/>
      <c r="P702" s="468"/>
      <c r="Q702" s="468"/>
      <c r="R702" s="375"/>
      <c r="S702" s="415"/>
      <c r="T702" s="415"/>
      <c r="U702" s="377"/>
      <c r="V702" s="377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</row>
    <row r="703" ht="14.25" customHeight="1">
      <c r="A703" s="1"/>
      <c r="B703" s="1"/>
      <c r="C703" s="1"/>
      <c r="D703" s="468"/>
      <c r="E703" s="468"/>
      <c r="F703" s="468"/>
      <c r="G703" s="468"/>
      <c r="H703" s="468"/>
      <c r="I703" s="468"/>
      <c r="J703" s="469"/>
      <c r="K703" s="468"/>
      <c r="L703" s="468"/>
      <c r="M703" s="468"/>
      <c r="N703" s="468"/>
      <c r="O703" s="468"/>
      <c r="P703" s="468"/>
      <c r="Q703" s="468"/>
      <c r="R703" s="375"/>
      <c r="S703" s="415"/>
      <c r="T703" s="415"/>
      <c r="U703" s="377"/>
      <c r="V703" s="377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</row>
    <row r="704" ht="14.25" customHeight="1">
      <c r="A704" s="1"/>
      <c r="B704" s="1"/>
      <c r="C704" s="1"/>
      <c r="D704" s="468"/>
      <c r="E704" s="468"/>
      <c r="F704" s="468"/>
      <c r="G704" s="468"/>
      <c r="H704" s="468"/>
      <c r="I704" s="468"/>
      <c r="J704" s="469"/>
      <c r="K704" s="468"/>
      <c r="L704" s="468"/>
      <c r="M704" s="468"/>
      <c r="N704" s="468"/>
      <c r="O704" s="468"/>
      <c r="P704" s="468"/>
      <c r="Q704" s="468"/>
      <c r="R704" s="375"/>
      <c r="S704" s="415"/>
      <c r="T704" s="415"/>
      <c r="U704" s="377"/>
      <c r="V704" s="377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</row>
    <row r="705" ht="14.25" customHeight="1">
      <c r="A705" s="1"/>
      <c r="B705" s="1"/>
      <c r="C705" s="1"/>
      <c r="D705" s="468"/>
      <c r="E705" s="468"/>
      <c r="F705" s="468"/>
      <c r="G705" s="468"/>
      <c r="H705" s="468"/>
      <c r="I705" s="468"/>
      <c r="J705" s="469"/>
      <c r="K705" s="468"/>
      <c r="L705" s="468"/>
      <c r="M705" s="468"/>
      <c r="N705" s="468"/>
      <c r="O705" s="468"/>
      <c r="P705" s="468"/>
      <c r="Q705" s="468"/>
      <c r="R705" s="375"/>
      <c r="S705" s="415"/>
      <c r="T705" s="415"/>
      <c r="U705" s="377"/>
      <c r="V705" s="377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</row>
    <row r="706" ht="14.25" customHeight="1">
      <c r="A706" s="1"/>
      <c r="B706" s="1"/>
      <c r="C706" s="1"/>
      <c r="D706" s="468"/>
      <c r="E706" s="468"/>
      <c r="F706" s="468"/>
      <c r="G706" s="468"/>
      <c r="H706" s="468"/>
      <c r="I706" s="468"/>
      <c r="J706" s="469"/>
      <c r="K706" s="468"/>
      <c r="L706" s="468"/>
      <c r="M706" s="468"/>
      <c r="N706" s="468"/>
      <c r="O706" s="468"/>
      <c r="P706" s="468"/>
      <c r="Q706" s="468"/>
      <c r="R706" s="375"/>
      <c r="S706" s="415"/>
      <c r="T706" s="415"/>
      <c r="U706" s="377"/>
      <c r="V706" s="377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</row>
    <row r="707" ht="14.25" customHeight="1">
      <c r="A707" s="1"/>
      <c r="B707" s="1"/>
      <c r="C707" s="1"/>
      <c r="D707" s="468"/>
      <c r="E707" s="468"/>
      <c r="F707" s="468"/>
      <c r="G707" s="468"/>
      <c r="H707" s="468"/>
      <c r="I707" s="468"/>
      <c r="J707" s="469"/>
      <c r="K707" s="468"/>
      <c r="L707" s="468"/>
      <c r="M707" s="468"/>
      <c r="N707" s="468"/>
      <c r="O707" s="468"/>
      <c r="P707" s="468"/>
      <c r="Q707" s="468"/>
      <c r="R707" s="375"/>
      <c r="S707" s="415"/>
      <c r="T707" s="415"/>
      <c r="U707" s="377"/>
      <c r="V707" s="377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</row>
    <row r="708" ht="14.25" customHeight="1">
      <c r="A708" s="1"/>
      <c r="B708" s="1"/>
      <c r="C708" s="1"/>
      <c r="D708" s="468"/>
      <c r="E708" s="468"/>
      <c r="F708" s="468"/>
      <c r="G708" s="468"/>
      <c r="H708" s="468"/>
      <c r="I708" s="468"/>
      <c r="J708" s="469"/>
      <c r="K708" s="468"/>
      <c r="L708" s="468"/>
      <c r="M708" s="468"/>
      <c r="N708" s="468"/>
      <c r="O708" s="468"/>
      <c r="P708" s="468"/>
      <c r="Q708" s="468"/>
      <c r="R708" s="375"/>
      <c r="S708" s="415"/>
      <c r="T708" s="415"/>
      <c r="U708" s="377"/>
      <c r="V708" s="377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</row>
    <row r="709" ht="14.25" customHeight="1">
      <c r="A709" s="1"/>
      <c r="B709" s="1"/>
      <c r="C709" s="1"/>
      <c r="D709" s="468"/>
      <c r="E709" s="468"/>
      <c r="F709" s="468"/>
      <c r="G709" s="468"/>
      <c r="H709" s="468"/>
      <c r="I709" s="468"/>
      <c r="J709" s="469"/>
      <c r="K709" s="468"/>
      <c r="L709" s="468"/>
      <c r="M709" s="468"/>
      <c r="N709" s="468"/>
      <c r="O709" s="468"/>
      <c r="P709" s="468"/>
      <c r="Q709" s="468"/>
      <c r="R709" s="375"/>
      <c r="S709" s="415"/>
      <c r="T709" s="415"/>
      <c r="U709" s="377"/>
      <c r="V709" s="377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</row>
    <row r="710" ht="14.25" customHeight="1">
      <c r="A710" s="1"/>
      <c r="B710" s="1"/>
      <c r="C710" s="1"/>
      <c r="D710" s="468"/>
      <c r="E710" s="468"/>
      <c r="F710" s="468"/>
      <c r="G710" s="468"/>
      <c r="H710" s="468"/>
      <c r="I710" s="468"/>
      <c r="J710" s="469"/>
      <c r="K710" s="468"/>
      <c r="L710" s="468"/>
      <c r="M710" s="468"/>
      <c r="N710" s="468"/>
      <c r="O710" s="468"/>
      <c r="P710" s="468"/>
      <c r="Q710" s="468"/>
      <c r="R710" s="375"/>
      <c r="S710" s="415"/>
      <c r="T710" s="415"/>
      <c r="U710" s="377"/>
      <c r="V710" s="377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</row>
    <row r="711" ht="14.25" customHeight="1">
      <c r="A711" s="1"/>
      <c r="B711" s="1"/>
      <c r="C711" s="1"/>
      <c r="D711" s="468"/>
      <c r="E711" s="468"/>
      <c r="F711" s="468"/>
      <c r="G711" s="468"/>
      <c r="H711" s="468"/>
      <c r="I711" s="468"/>
      <c r="J711" s="469"/>
      <c r="K711" s="468"/>
      <c r="L711" s="468"/>
      <c r="M711" s="468"/>
      <c r="N711" s="468"/>
      <c r="O711" s="468"/>
      <c r="P711" s="468"/>
      <c r="Q711" s="468"/>
      <c r="R711" s="375"/>
      <c r="S711" s="415"/>
      <c r="T711" s="415"/>
      <c r="U711" s="377"/>
      <c r="V711" s="377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</row>
    <row r="712" ht="14.25" customHeight="1">
      <c r="A712" s="1"/>
      <c r="B712" s="1"/>
      <c r="C712" s="1"/>
      <c r="D712" s="468"/>
      <c r="E712" s="468"/>
      <c r="F712" s="468"/>
      <c r="G712" s="468"/>
      <c r="H712" s="468"/>
      <c r="I712" s="468"/>
      <c r="J712" s="469"/>
      <c r="K712" s="468"/>
      <c r="L712" s="468"/>
      <c r="M712" s="468"/>
      <c r="N712" s="468"/>
      <c r="O712" s="468"/>
      <c r="P712" s="468"/>
      <c r="Q712" s="468"/>
      <c r="R712" s="375"/>
      <c r="S712" s="415"/>
      <c r="T712" s="415"/>
      <c r="U712" s="377"/>
      <c r="V712" s="377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</row>
    <row r="713" ht="14.25" customHeight="1">
      <c r="A713" s="1"/>
      <c r="B713" s="1"/>
      <c r="C713" s="1"/>
      <c r="D713" s="468"/>
      <c r="E713" s="468"/>
      <c r="F713" s="468"/>
      <c r="G713" s="468"/>
      <c r="H713" s="468"/>
      <c r="I713" s="468"/>
      <c r="J713" s="469"/>
      <c r="K713" s="468"/>
      <c r="L713" s="468"/>
      <c r="M713" s="468"/>
      <c r="N713" s="468"/>
      <c r="O713" s="468"/>
      <c r="P713" s="468"/>
      <c r="Q713" s="468"/>
      <c r="R713" s="375"/>
      <c r="S713" s="415"/>
      <c r="T713" s="415"/>
      <c r="U713" s="377"/>
      <c r="V713" s="377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</row>
    <row r="714" ht="14.25" customHeight="1">
      <c r="A714" s="1"/>
      <c r="B714" s="1"/>
      <c r="C714" s="1"/>
      <c r="D714" s="468"/>
      <c r="E714" s="468"/>
      <c r="F714" s="468"/>
      <c r="G714" s="468"/>
      <c r="H714" s="468"/>
      <c r="I714" s="468"/>
      <c r="J714" s="469"/>
      <c r="K714" s="468"/>
      <c r="L714" s="468"/>
      <c r="M714" s="468"/>
      <c r="N714" s="468"/>
      <c r="O714" s="468"/>
      <c r="P714" s="468"/>
      <c r="Q714" s="468"/>
      <c r="R714" s="375"/>
      <c r="S714" s="415"/>
      <c r="T714" s="415"/>
      <c r="U714" s="377"/>
      <c r="V714" s="377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</row>
    <row r="715" ht="14.25" customHeight="1">
      <c r="A715" s="1"/>
      <c r="B715" s="1"/>
      <c r="C715" s="1"/>
      <c r="D715" s="468"/>
      <c r="E715" s="468"/>
      <c r="F715" s="468"/>
      <c r="G715" s="468"/>
      <c r="H715" s="468"/>
      <c r="I715" s="468"/>
      <c r="J715" s="469"/>
      <c r="K715" s="468"/>
      <c r="L715" s="468"/>
      <c r="M715" s="468"/>
      <c r="N715" s="468"/>
      <c r="O715" s="468"/>
      <c r="P715" s="468"/>
      <c r="Q715" s="468"/>
      <c r="R715" s="375"/>
      <c r="S715" s="415"/>
      <c r="T715" s="415"/>
      <c r="U715" s="377"/>
      <c r="V715" s="377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</row>
    <row r="716" ht="14.25" customHeight="1">
      <c r="A716" s="1"/>
      <c r="B716" s="1"/>
      <c r="C716" s="1"/>
      <c r="D716" s="468"/>
      <c r="E716" s="468"/>
      <c r="F716" s="468"/>
      <c r="G716" s="468"/>
      <c r="H716" s="468"/>
      <c r="I716" s="468"/>
      <c r="J716" s="469"/>
      <c r="K716" s="468"/>
      <c r="L716" s="468"/>
      <c r="M716" s="468"/>
      <c r="N716" s="468"/>
      <c r="O716" s="468"/>
      <c r="P716" s="468"/>
      <c r="Q716" s="468"/>
      <c r="R716" s="375"/>
      <c r="S716" s="415"/>
      <c r="T716" s="415"/>
      <c r="U716" s="377"/>
      <c r="V716" s="377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</row>
    <row r="717" ht="14.25" customHeight="1">
      <c r="A717" s="1"/>
      <c r="B717" s="1"/>
      <c r="C717" s="1"/>
      <c r="D717" s="468"/>
      <c r="E717" s="468"/>
      <c r="F717" s="468"/>
      <c r="G717" s="468"/>
      <c r="H717" s="468"/>
      <c r="I717" s="468"/>
      <c r="J717" s="469"/>
      <c r="K717" s="468"/>
      <c r="L717" s="468"/>
      <c r="M717" s="468"/>
      <c r="N717" s="468"/>
      <c r="O717" s="468"/>
      <c r="P717" s="468"/>
      <c r="Q717" s="468"/>
      <c r="R717" s="375"/>
      <c r="S717" s="415"/>
      <c r="T717" s="415"/>
      <c r="U717" s="377"/>
      <c r="V717" s="377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</row>
    <row r="718" ht="14.25" customHeight="1">
      <c r="A718" s="1"/>
      <c r="B718" s="1"/>
      <c r="C718" s="1"/>
      <c r="D718" s="468"/>
      <c r="E718" s="468"/>
      <c r="F718" s="468"/>
      <c r="G718" s="468"/>
      <c r="H718" s="468"/>
      <c r="I718" s="468"/>
      <c r="J718" s="469"/>
      <c r="K718" s="468"/>
      <c r="L718" s="468"/>
      <c r="M718" s="468"/>
      <c r="N718" s="468"/>
      <c r="O718" s="468"/>
      <c r="P718" s="468"/>
      <c r="Q718" s="468"/>
      <c r="R718" s="375"/>
      <c r="S718" s="415"/>
      <c r="T718" s="415"/>
      <c r="U718" s="377"/>
      <c r="V718" s="377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</row>
    <row r="719" ht="14.25" customHeight="1">
      <c r="A719" s="1"/>
      <c r="B719" s="1"/>
      <c r="C719" s="1"/>
      <c r="D719" s="468"/>
      <c r="E719" s="468"/>
      <c r="F719" s="468"/>
      <c r="G719" s="468"/>
      <c r="H719" s="468"/>
      <c r="I719" s="468"/>
      <c r="J719" s="469"/>
      <c r="K719" s="468"/>
      <c r="L719" s="468"/>
      <c r="M719" s="468"/>
      <c r="N719" s="468"/>
      <c r="O719" s="468"/>
      <c r="P719" s="468"/>
      <c r="Q719" s="468"/>
      <c r="R719" s="375"/>
      <c r="S719" s="415"/>
      <c r="T719" s="415"/>
      <c r="U719" s="377"/>
      <c r="V719" s="377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</row>
    <row r="720" ht="14.25" customHeight="1">
      <c r="A720" s="1"/>
      <c r="B720" s="1"/>
      <c r="C720" s="1"/>
      <c r="D720" s="468"/>
      <c r="E720" s="468"/>
      <c r="F720" s="468"/>
      <c r="G720" s="468"/>
      <c r="H720" s="468"/>
      <c r="I720" s="468"/>
      <c r="J720" s="469"/>
      <c r="K720" s="468"/>
      <c r="L720" s="468"/>
      <c r="M720" s="468"/>
      <c r="N720" s="468"/>
      <c r="O720" s="468"/>
      <c r="P720" s="468"/>
      <c r="Q720" s="468"/>
      <c r="R720" s="375"/>
      <c r="S720" s="415"/>
      <c r="T720" s="415"/>
      <c r="U720" s="377"/>
      <c r="V720" s="377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</row>
    <row r="721" ht="14.25" customHeight="1">
      <c r="A721" s="1"/>
      <c r="B721" s="1"/>
      <c r="C721" s="1"/>
      <c r="D721" s="468"/>
      <c r="E721" s="468"/>
      <c r="F721" s="468"/>
      <c r="G721" s="468"/>
      <c r="H721" s="468"/>
      <c r="I721" s="468"/>
      <c r="J721" s="469"/>
      <c r="K721" s="468"/>
      <c r="L721" s="468"/>
      <c r="M721" s="468"/>
      <c r="N721" s="468"/>
      <c r="O721" s="468"/>
      <c r="P721" s="468"/>
      <c r="Q721" s="468"/>
      <c r="R721" s="375"/>
      <c r="S721" s="415"/>
      <c r="T721" s="415"/>
      <c r="U721" s="377"/>
      <c r="V721" s="377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</row>
    <row r="722" ht="14.25" customHeight="1">
      <c r="A722" s="1"/>
      <c r="B722" s="1"/>
      <c r="C722" s="1"/>
      <c r="D722" s="468"/>
      <c r="E722" s="468"/>
      <c r="F722" s="468"/>
      <c r="G722" s="468"/>
      <c r="H722" s="468"/>
      <c r="I722" s="468"/>
      <c r="J722" s="469"/>
      <c r="K722" s="468"/>
      <c r="L722" s="468"/>
      <c r="M722" s="468"/>
      <c r="N722" s="468"/>
      <c r="O722" s="468"/>
      <c r="P722" s="468"/>
      <c r="Q722" s="468"/>
      <c r="R722" s="375"/>
      <c r="S722" s="415"/>
      <c r="T722" s="415"/>
      <c r="U722" s="377"/>
      <c r="V722" s="377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</row>
    <row r="723" ht="14.25" customHeight="1">
      <c r="A723" s="1"/>
      <c r="B723" s="1"/>
      <c r="C723" s="1"/>
      <c r="D723" s="468"/>
      <c r="E723" s="468"/>
      <c r="F723" s="468"/>
      <c r="G723" s="468"/>
      <c r="H723" s="468"/>
      <c r="I723" s="468"/>
      <c r="J723" s="469"/>
      <c r="K723" s="468"/>
      <c r="L723" s="468"/>
      <c r="M723" s="468"/>
      <c r="N723" s="468"/>
      <c r="O723" s="468"/>
      <c r="P723" s="468"/>
      <c r="Q723" s="468"/>
      <c r="R723" s="375"/>
      <c r="S723" s="415"/>
      <c r="T723" s="415"/>
      <c r="U723" s="377"/>
      <c r="V723" s="377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</row>
    <row r="724" ht="14.25" customHeight="1">
      <c r="A724" s="1"/>
      <c r="B724" s="1"/>
      <c r="C724" s="1"/>
      <c r="D724" s="468"/>
      <c r="E724" s="468"/>
      <c r="F724" s="468"/>
      <c r="G724" s="468"/>
      <c r="H724" s="468"/>
      <c r="I724" s="468"/>
      <c r="J724" s="469"/>
      <c r="K724" s="468"/>
      <c r="L724" s="468"/>
      <c r="M724" s="468"/>
      <c r="N724" s="468"/>
      <c r="O724" s="468"/>
      <c r="P724" s="468"/>
      <c r="Q724" s="468"/>
      <c r="R724" s="375"/>
      <c r="S724" s="415"/>
      <c r="T724" s="415"/>
      <c r="U724" s="377"/>
      <c r="V724" s="377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</row>
    <row r="725" ht="14.25" customHeight="1">
      <c r="A725" s="1"/>
      <c r="B725" s="1"/>
      <c r="C725" s="1"/>
      <c r="D725" s="468"/>
      <c r="E725" s="468"/>
      <c r="F725" s="468"/>
      <c r="G725" s="468"/>
      <c r="H725" s="468"/>
      <c r="I725" s="468"/>
      <c r="J725" s="469"/>
      <c r="K725" s="468"/>
      <c r="L725" s="468"/>
      <c r="M725" s="468"/>
      <c r="N725" s="468"/>
      <c r="O725" s="468"/>
      <c r="P725" s="468"/>
      <c r="Q725" s="468"/>
      <c r="R725" s="375"/>
      <c r="S725" s="415"/>
      <c r="T725" s="415"/>
      <c r="U725" s="377"/>
      <c r="V725" s="377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</row>
    <row r="726" ht="14.25" customHeight="1">
      <c r="A726" s="1"/>
      <c r="B726" s="1"/>
      <c r="C726" s="1"/>
      <c r="D726" s="468"/>
      <c r="E726" s="468"/>
      <c r="F726" s="468"/>
      <c r="G726" s="468"/>
      <c r="H726" s="468"/>
      <c r="I726" s="468"/>
      <c r="J726" s="469"/>
      <c r="K726" s="468"/>
      <c r="L726" s="468"/>
      <c r="M726" s="468"/>
      <c r="N726" s="468"/>
      <c r="O726" s="468"/>
      <c r="P726" s="468"/>
      <c r="Q726" s="468"/>
      <c r="R726" s="375"/>
      <c r="S726" s="415"/>
      <c r="T726" s="415"/>
      <c r="U726" s="377"/>
      <c r="V726" s="377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</row>
    <row r="727" ht="14.25" customHeight="1">
      <c r="A727" s="1"/>
      <c r="B727" s="1"/>
      <c r="C727" s="1"/>
      <c r="D727" s="468"/>
      <c r="E727" s="468"/>
      <c r="F727" s="468"/>
      <c r="G727" s="468"/>
      <c r="H727" s="468"/>
      <c r="I727" s="468"/>
      <c r="J727" s="469"/>
      <c r="K727" s="468"/>
      <c r="L727" s="468"/>
      <c r="M727" s="468"/>
      <c r="N727" s="468"/>
      <c r="O727" s="468"/>
      <c r="P727" s="468"/>
      <c r="Q727" s="468"/>
      <c r="R727" s="375"/>
      <c r="S727" s="415"/>
      <c r="T727" s="415"/>
      <c r="U727" s="377"/>
      <c r="V727" s="377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</row>
    <row r="728" ht="14.25" customHeight="1">
      <c r="A728" s="1"/>
      <c r="B728" s="1"/>
      <c r="C728" s="1"/>
      <c r="D728" s="468"/>
      <c r="E728" s="468"/>
      <c r="F728" s="468"/>
      <c r="G728" s="468"/>
      <c r="H728" s="468"/>
      <c r="I728" s="468"/>
      <c r="J728" s="469"/>
      <c r="K728" s="468"/>
      <c r="L728" s="468"/>
      <c r="M728" s="468"/>
      <c r="N728" s="468"/>
      <c r="O728" s="468"/>
      <c r="P728" s="468"/>
      <c r="Q728" s="468"/>
      <c r="R728" s="375"/>
      <c r="S728" s="415"/>
      <c r="T728" s="415"/>
      <c r="U728" s="377"/>
      <c r="V728" s="377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</row>
    <row r="729" ht="14.25" customHeight="1">
      <c r="A729" s="1"/>
      <c r="B729" s="1"/>
      <c r="C729" s="1"/>
      <c r="D729" s="468"/>
      <c r="E729" s="468"/>
      <c r="F729" s="468"/>
      <c r="G729" s="468"/>
      <c r="H729" s="468"/>
      <c r="I729" s="468"/>
      <c r="J729" s="469"/>
      <c r="K729" s="468"/>
      <c r="L729" s="468"/>
      <c r="M729" s="468"/>
      <c r="N729" s="468"/>
      <c r="O729" s="468"/>
      <c r="P729" s="468"/>
      <c r="Q729" s="468"/>
      <c r="R729" s="375"/>
      <c r="S729" s="415"/>
      <c r="T729" s="415"/>
      <c r="U729" s="377"/>
      <c r="V729" s="377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</row>
    <row r="730" ht="14.25" customHeight="1">
      <c r="A730" s="1"/>
      <c r="B730" s="1"/>
      <c r="C730" s="1"/>
      <c r="D730" s="468"/>
      <c r="E730" s="468"/>
      <c r="F730" s="468"/>
      <c r="G730" s="468"/>
      <c r="H730" s="468"/>
      <c r="I730" s="468"/>
      <c r="J730" s="469"/>
      <c r="K730" s="468"/>
      <c r="L730" s="468"/>
      <c r="M730" s="468"/>
      <c r="N730" s="468"/>
      <c r="O730" s="468"/>
      <c r="P730" s="468"/>
      <c r="Q730" s="468"/>
      <c r="R730" s="375"/>
      <c r="S730" s="415"/>
      <c r="T730" s="415"/>
      <c r="U730" s="377"/>
      <c r="V730" s="377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</row>
    <row r="731" ht="14.25" customHeight="1">
      <c r="A731" s="1"/>
      <c r="B731" s="1"/>
      <c r="C731" s="1"/>
      <c r="D731" s="468"/>
      <c r="E731" s="468"/>
      <c r="F731" s="468"/>
      <c r="G731" s="468"/>
      <c r="H731" s="468"/>
      <c r="I731" s="468"/>
      <c r="J731" s="469"/>
      <c r="K731" s="468"/>
      <c r="L731" s="468"/>
      <c r="M731" s="468"/>
      <c r="N731" s="468"/>
      <c r="O731" s="468"/>
      <c r="P731" s="468"/>
      <c r="Q731" s="468"/>
      <c r="R731" s="375"/>
      <c r="S731" s="415"/>
      <c r="T731" s="415"/>
      <c r="U731" s="377"/>
      <c r="V731" s="377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</row>
    <row r="732" ht="14.25" customHeight="1">
      <c r="A732" s="1"/>
      <c r="B732" s="1"/>
      <c r="C732" s="1"/>
      <c r="D732" s="468"/>
      <c r="E732" s="468"/>
      <c r="F732" s="468"/>
      <c r="G732" s="468"/>
      <c r="H732" s="468"/>
      <c r="I732" s="468"/>
      <c r="J732" s="469"/>
      <c r="K732" s="468"/>
      <c r="L732" s="468"/>
      <c r="M732" s="468"/>
      <c r="N732" s="468"/>
      <c r="O732" s="468"/>
      <c r="P732" s="468"/>
      <c r="Q732" s="468"/>
      <c r="R732" s="375"/>
      <c r="S732" s="415"/>
      <c r="T732" s="415"/>
      <c r="U732" s="377"/>
      <c r="V732" s="377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</row>
    <row r="733" ht="14.25" customHeight="1">
      <c r="A733" s="1"/>
      <c r="B733" s="1"/>
      <c r="C733" s="1"/>
      <c r="D733" s="468"/>
      <c r="E733" s="468"/>
      <c r="F733" s="468"/>
      <c r="G733" s="468"/>
      <c r="H733" s="468"/>
      <c r="I733" s="468"/>
      <c r="J733" s="469"/>
      <c r="K733" s="468"/>
      <c r="L733" s="468"/>
      <c r="M733" s="468"/>
      <c r="N733" s="468"/>
      <c r="O733" s="468"/>
      <c r="P733" s="468"/>
      <c r="Q733" s="468"/>
      <c r="R733" s="375"/>
      <c r="S733" s="415"/>
      <c r="T733" s="415"/>
      <c r="U733" s="377"/>
      <c r="V733" s="377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</row>
    <row r="734" ht="14.25" customHeight="1">
      <c r="A734" s="1"/>
      <c r="B734" s="1"/>
      <c r="C734" s="1"/>
      <c r="D734" s="468"/>
      <c r="E734" s="468"/>
      <c r="F734" s="468"/>
      <c r="G734" s="468"/>
      <c r="H734" s="468"/>
      <c r="I734" s="468"/>
      <c r="J734" s="469"/>
      <c r="K734" s="468"/>
      <c r="L734" s="468"/>
      <c r="M734" s="468"/>
      <c r="N734" s="468"/>
      <c r="O734" s="468"/>
      <c r="P734" s="468"/>
      <c r="Q734" s="468"/>
      <c r="R734" s="375"/>
      <c r="S734" s="415"/>
      <c r="T734" s="415"/>
      <c r="U734" s="377"/>
      <c r="V734" s="377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</row>
    <row r="735" ht="14.25" customHeight="1">
      <c r="A735" s="1"/>
      <c r="B735" s="1"/>
      <c r="C735" s="1"/>
      <c r="D735" s="468"/>
      <c r="E735" s="468"/>
      <c r="F735" s="468"/>
      <c r="G735" s="468"/>
      <c r="H735" s="468"/>
      <c r="I735" s="468"/>
      <c r="J735" s="469"/>
      <c r="K735" s="468"/>
      <c r="L735" s="468"/>
      <c r="M735" s="468"/>
      <c r="N735" s="468"/>
      <c r="O735" s="468"/>
      <c r="P735" s="468"/>
      <c r="Q735" s="468"/>
      <c r="R735" s="375"/>
      <c r="S735" s="415"/>
      <c r="T735" s="415"/>
      <c r="U735" s="377"/>
      <c r="V735" s="377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</row>
    <row r="736" ht="14.25" customHeight="1">
      <c r="A736" s="1"/>
      <c r="B736" s="1"/>
      <c r="C736" s="1"/>
      <c r="D736" s="468"/>
      <c r="E736" s="468"/>
      <c r="F736" s="468"/>
      <c r="G736" s="468"/>
      <c r="H736" s="468"/>
      <c r="I736" s="468"/>
      <c r="J736" s="469"/>
      <c r="K736" s="468"/>
      <c r="L736" s="468"/>
      <c r="M736" s="468"/>
      <c r="N736" s="468"/>
      <c r="O736" s="468"/>
      <c r="P736" s="468"/>
      <c r="Q736" s="468"/>
      <c r="R736" s="375"/>
      <c r="S736" s="415"/>
      <c r="T736" s="415"/>
      <c r="U736" s="377"/>
      <c r="V736" s="377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</row>
    <row r="737" ht="14.25" customHeight="1">
      <c r="A737" s="1"/>
      <c r="B737" s="1"/>
      <c r="C737" s="1"/>
      <c r="D737" s="468"/>
      <c r="E737" s="468"/>
      <c r="F737" s="468"/>
      <c r="G737" s="468"/>
      <c r="H737" s="468"/>
      <c r="I737" s="468"/>
      <c r="J737" s="469"/>
      <c r="K737" s="468"/>
      <c r="L737" s="468"/>
      <c r="M737" s="468"/>
      <c r="N737" s="468"/>
      <c r="O737" s="468"/>
      <c r="P737" s="468"/>
      <c r="Q737" s="468"/>
      <c r="R737" s="375"/>
      <c r="S737" s="415"/>
      <c r="T737" s="415"/>
      <c r="U737" s="377"/>
      <c r="V737" s="377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</row>
    <row r="738" ht="14.25" customHeight="1">
      <c r="A738" s="1"/>
      <c r="B738" s="1"/>
      <c r="C738" s="1"/>
      <c r="D738" s="468"/>
      <c r="E738" s="468"/>
      <c r="F738" s="468"/>
      <c r="G738" s="468"/>
      <c r="H738" s="468"/>
      <c r="I738" s="468"/>
      <c r="J738" s="469"/>
      <c r="K738" s="468"/>
      <c r="L738" s="468"/>
      <c r="M738" s="468"/>
      <c r="N738" s="468"/>
      <c r="O738" s="468"/>
      <c r="P738" s="468"/>
      <c r="Q738" s="468"/>
      <c r="R738" s="375"/>
      <c r="S738" s="415"/>
      <c r="T738" s="415"/>
      <c r="U738" s="377"/>
      <c r="V738" s="377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</row>
    <row r="739" ht="14.25" customHeight="1">
      <c r="A739" s="1"/>
      <c r="B739" s="1"/>
      <c r="C739" s="1"/>
      <c r="D739" s="468"/>
      <c r="E739" s="468"/>
      <c r="F739" s="468"/>
      <c r="G739" s="468"/>
      <c r="H739" s="468"/>
      <c r="I739" s="468"/>
      <c r="J739" s="469"/>
      <c r="K739" s="468"/>
      <c r="L739" s="468"/>
      <c r="M739" s="468"/>
      <c r="N739" s="468"/>
      <c r="O739" s="468"/>
      <c r="P739" s="468"/>
      <c r="Q739" s="468"/>
      <c r="R739" s="375"/>
      <c r="S739" s="415"/>
      <c r="T739" s="415"/>
      <c r="U739" s="377"/>
      <c r="V739" s="377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</row>
    <row r="740" ht="14.25" customHeight="1">
      <c r="A740" s="1"/>
      <c r="B740" s="1"/>
      <c r="C740" s="1"/>
      <c r="D740" s="468"/>
      <c r="E740" s="468"/>
      <c r="F740" s="468"/>
      <c r="G740" s="468"/>
      <c r="H740" s="468"/>
      <c r="I740" s="468"/>
      <c r="J740" s="469"/>
      <c r="K740" s="468"/>
      <c r="L740" s="468"/>
      <c r="M740" s="468"/>
      <c r="N740" s="468"/>
      <c r="O740" s="468"/>
      <c r="P740" s="468"/>
      <c r="Q740" s="468"/>
      <c r="R740" s="375"/>
      <c r="S740" s="415"/>
      <c r="T740" s="415"/>
      <c r="U740" s="377"/>
      <c r="V740" s="377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</row>
    <row r="741" ht="14.25" customHeight="1">
      <c r="A741" s="1"/>
      <c r="B741" s="1"/>
      <c r="C741" s="1"/>
      <c r="D741" s="468"/>
      <c r="E741" s="468"/>
      <c r="F741" s="468"/>
      <c r="G741" s="468"/>
      <c r="H741" s="468"/>
      <c r="I741" s="468"/>
      <c r="J741" s="469"/>
      <c r="K741" s="468"/>
      <c r="L741" s="468"/>
      <c r="M741" s="468"/>
      <c r="N741" s="468"/>
      <c r="O741" s="468"/>
      <c r="P741" s="468"/>
      <c r="Q741" s="468"/>
      <c r="R741" s="375"/>
      <c r="S741" s="415"/>
      <c r="T741" s="415"/>
      <c r="U741" s="377"/>
      <c r="V741" s="377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</row>
    <row r="742" ht="14.25" customHeight="1">
      <c r="A742" s="1"/>
      <c r="B742" s="1"/>
      <c r="C742" s="1"/>
      <c r="D742" s="468"/>
      <c r="E742" s="468"/>
      <c r="F742" s="468"/>
      <c r="G742" s="468"/>
      <c r="H742" s="468"/>
      <c r="I742" s="468"/>
      <c r="J742" s="469"/>
      <c r="K742" s="468"/>
      <c r="L742" s="468"/>
      <c r="M742" s="468"/>
      <c r="N742" s="468"/>
      <c r="O742" s="468"/>
      <c r="P742" s="468"/>
      <c r="Q742" s="468"/>
      <c r="R742" s="375"/>
      <c r="S742" s="415"/>
      <c r="T742" s="415"/>
      <c r="U742" s="377"/>
      <c r="V742" s="377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</row>
    <row r="743" ht="14.25" customHeight="1">
      <c r="A743" s="1"/>
      <c r="B743" s="1"/>
      <c r="C743" s="1"/>
      <c r="D743" s="468"/>
      <c r="E743" s="468"/>
      <c r="F743" s="468"/>
      <c r="G743" s="468"/>
      <c r="H743" s="468"/>
      <c r="I743" s="468"/>
      <c r="J743" s="469"/>
      <c r="K743" s="468"/>
      <c r="L743" s="468"/>
      <c r="M743" s="468"/>
      <c r="N743" s="468"/>
      <c r="O743" s="468"/>
      <c r="P743" s="468"/>
      <c r="Q743" s="468"/>
      <c r="R743" s="375"/>
      <c r="S743" s="415"/>
      <c r="T743" s="415"/>
      <c r="U743" s="377"/>
      <c r="V743" s="377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</row>
    <row r="744" ht="14.25" customHeight="1">
      <c r="A744" s="1"/>
      <c r="B744" s="1"/>
      <c r="C744" s="1"/>
      <c r="D744" s="468"/>
      <c r="E744" s="468"/>
      <c r="F744" s="468"/>
      <c r="G744" s="468"/>
      <c r="H744" s="468"/>
      <c r="I744" s="468"/>
      <c r="J744" s="469"/>
      <c r="K744" s="468"/>
      <c r="L744" s="468"/>
      <c r="M744" s="468"/>
      <c r="N744" s="468"/>
      <c r="O744" s="468"/>
      <c r="P744" s="468"/>
      <c r="Q744" s="468"/>
      <c r="R744" s="375"/>
      <c r="S744" s="415"/>
      <c r="T744" s="415"/>
      <c r="U744" s="377"/>
      <c r="V744" s="377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</row>
    <row r="745" ht="14.25" customHeight="1">
      <c r="A745" s="1"/>
      <c r="B745" s="1"/>
      <c r="C745" s="1"/>
      <c r="D745" s="468"/>
      <c r="E745" s="468"/>
      <c r="F745" s="468"/>
      <c r="G745" s="468"/>
      <c r="H745" s="468"/>
      <c r="I745" s="468"/>
      <c r="J745" s="469"/>
      <c r="K745" s="468"/>
      <c r="L745" s="468"/>
      <c r="M745" s="468"/>
      <c r="N745" s="468"/>
      <c r="O745" s="468"/>
      <c r="P745" s="468"/>
      <c r="Q745" s="468"/>
      <c r="R745" s="375"/>
      <c r="S745" s="415"/>
      <c r="T745" s="415"/>
      <c r="U745" s="377"/>
      <c r="V745" s="377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</row>
    <row r="746" ht="14.25" customHeight="1">
      <c r="A746" s="1"/>
      <c r="B746" s="1"/>
      <c r="C746" s="1"/>
      <c r="D746" s="468"/>
      <c r="E746" s="468"/>
      <c r="F746" s="468"/>
      <c r="G746" s="468"/>
      <c r="H746" s="468"/>
      <c r="I746" s="468"/>
      <c r="J746" s="469"/>
      <c r="K746" s="468"/>
      <c r="L746" s="468"/>
      <c r="M746" s="468"/>
      <c r="N746" s="468"/>
      <c r="O746" s="468"/>
      <c r="P746" s="468"/>
      <c r="Q746" s="468"/>
      <c r="R746" s="375"/>
      <c r="S746" s="415"/>
      <c r="T746" s="415"/>
      <c r="U746" s="377"/>
      <c r="V746" s="377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</row>
    <row r="747" ht="14.25" customHeight="1">
      <c r="A747" s="1"/>
      <c r="B747" s="1"/>
      <c r="C747" s="1"/>
      <c r="D747" s="468"/>
      <c r="E747" s="468"/>
      <c r="F747" s="468"/>
      <c r="G747" s="468"/>
      <c r="H747" s="468"/>
      <c r="I747" s="468"/>
      <c r="J747" s="469"/>
      <c r="K747" s="468"/>
      <c r="L747" s="468"/>
      <c r="M747" s="468"/>
      <c r="N747" s="468"/>
      <c r="O747" s="468"/>
      <c r="P747" s="468"/>
      <c r="Q747" s="468"/>
      <c r="R747" s="375"/>
      <c r="S747" s="415"/>
      <c r="T747" s="415"/>
      <c r="U747" s="377"/>
      <c r="V747" s="377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</row>
    <row r="748" ht="14.25" customHeight="1">
      <c r="A748" s="1"/>
      <c r="B748" s="1"/>
      <c r="C748" s="1"/>
      <c r="D748" s="468"/>
      <c r="E748" s="468"/>
      <c r="F748" s="468"/>
      <c r="G748" s="468"/>
      <c r="H748" s="468"/>
      <c r="I748" s="468"/>
      <c r="J748" s="469"/>
      <c r="K748" s="468"/>
      <c r="L748" s="468"/>
      <c r="M748" s="468"/>
      <c r="N748" s="468"/>
      <c r="O748" s="468"/>
      <c r="P748" s="468"/>
      <c r="Q748" s="468"/>
      <c r="R748" s="375"/>
      <c r="S748" s="415"/>
      <c r="T748" s="415"/>
      <c r="U748" s="377"/>
      <c r="V748" s="377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</row>
    <row r="749" ht="14.25" customHeight="1">
      <c r="A749" s="1"/>
      <c r="B749" s="1"/>
      <c r="C749" s="1"/>
      <c r="D749" s="468"/>
      <c r="E749" s="468"/>
      <c r="F749" s="468"/>
      <c r="G749" s="468"/>
      <c r="H749" s="468"/>
      <c r="I749" s="468"/>
      <c r="J749" s="469"/>
      <c r="K749" s="468"/>
      <c r="L749" s="468"/>
      <c r="M749" s="468"/>
      <c r="N749" s="468"/>
      <c r="O749" s="468"/>
      <c r="P749" s="468"/>
      <c r="Q749" s="468"/>
      <c r="R749" s="375"/>
      <c r="S749" s="415"/>
      <c r="T749" s="415"/>
      <c r="U749" s="377"/>
      <c r="V749" s="377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</row>
    <row r="750" ht="14.25" customHeight="1">
      <c r="A750" s="1"/>
      <c r="B750" s="1"/>
      <c r="C750" s="1"/>
      <c r="D750" s="468"/>
      <c r="E750" s="468"/>
      <c r="F750" s="468"/>
      <c r="G750" s="468"/>
      <c r="H750" s="468"/>
      <c r="I750" s="468"/>
      <c r="J750" s="469"/>
      <c r="K750" s="468"/>
      <c r="L750" s="468"/>
      <c r="M750" s="468"/>
      <c r="N750" s="468"/>
      <c r="O750" s="468"/>
      <c r="P750" s="468"/>
      <c r="Q750" s="468"/>
      <c r="R750" s="375"/>
      <c r="S750" s="415"/>
      <c r="T750" s="415"/>
      <c r="U750" s="377"/>
      <c r="V750" s="377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</row>
    <row r="751" ht="14.25" customHeight="1">
      <c r="A751" s="1"/>
      <c r="B751" s="1"/>
      <c r="C751" s="1"/>
      <c r="D751" s="468"/>
      <c r="E751" s="468"/>
      <c r="F751" s="468"/>
      <c r="G751" s="468"/>
      <c r="H751" s="468"/>
      <c r="I751" s="468"/>
      <c r="J751" s="469"/>
      <c r="K751" s="468"/>
      <c r="L751" s="468"/>
      <c r="M751" s="468"/>
      <c r="N751" s="468"/>
      <c r="O751" s="468"/>
      <c r="P751" s="468"/>
      <c r="Q751" s="468"/>
      <c r="R751" s="375"/>
      <c r="S751" s="415"/>
      <c r="T751" s="415"/>
      <c r="U751" s="377"/>
      <c r="V751" s="377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</row>
    <row r="752" ht="14.25" customHeight="1">
      <c r="A752" s="1"/>
      <c r="B752" s="1"/>
      <c r="C752" s="1"/>
      <c r="D752" s="468"/>
      <c r="E752" s="468"/>
      <c r="F752" s="468"/>
      <c r="G752" s="468"/>
      <c r="H752" s="468"/>
      <c r="I752" s="468"/>
      <c r="J752" s="469"/>
      <c r="K752" s="468"/>
      <c r="L752" s="468"/>
      <c r="M752" s="468"/>
      <c r="N752" s="468"/>
      <c r="O752" s="468"/>
      <c r="P752" s="468"/>
      <c r="Q752" s="468"/>
      <c r="R752" s="375"/>
      <c r="S752" s="415"/>
      <c r="T752" s="415"/>
      <c r="U752" s="377"/>
      <c r="V752" s="377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</row>
    <row r="753" ht="14.25" customHeight="1">
      <c r="A753" s="1"/>
      <c r="B753" s="1"/>
      <c r="C753" s="1"/>
      <c r="D753" s="468"/>
      <c r="E753" s="468"/>
      <c r="F753" s="468"/>
      <c r="G753" s="468"/>
      <c r="H753" s="468"/>
      <c r="I753" s="468"/>
      <c r="J753" s="469"/>
      <c r="K753" s="468"/>
      <c r="L753" s="468"/>
      <c r="M753" s="468"/>
      <c r="N753" s="468"/>
      <c r="O753" s="468"/>
      <c r="P753" s="468"/>
      <c r="Q753" s="468"/>
      <c r="R753" s="375"/>
      <c r="S753" s="415"/>
      <c r="T753" s="415"/>
      <c r="U753" s="377"/>
      <c r="V753" s="377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</row>
    <row r="754" ht="14.25" customHeight="1">
      <c r="A754" s="1"/>
      <c r="B754" s="1"/>
      <c r="C754" s="1"/>
      <c r="D754" s="468"/>
      <c r="E754" s="468"/>
      <c r="F754" s="468"/>
      <c r="G754" s="468"/>
      <c r="H754" s="468"/>
      <c r="I754" s="468"/>
      <c r="J754" s="469"/>
      <c r="K754" s="468"/>
      <c r="L754" s="468"/>
      <c r="M754" s="468"/>
      <c r="N754" s="468"/>
      <c r="O754" s="468"/>
      <c r="P754" s="468"/>
      <c r="Q754" s="468"/>
      <c r="R754" s="375"/>
      <c r="S754" s="415"/>
      <c r="T754" s="415"/>
      <c r="U754" s="377"/>
      <c r="V754" s="377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</row>
    <row r="755" ht="14.25" customHeight="1">
      <c r="A755" s="1"/>
      <c r="B755" s="1"/>
      <c r="C755" s="1"/>
      <c r="D755" s="468"/>
      <c r="E755" s="468"/>
      <c r="F755" s="468"/>
      <c r="G755" s="468"/>
      <c r="H755" s="468"/>
      <c r="I755" s="468"/>
      <c r="J755" s="469"/>
      <c r="K755" s="468"/>
      <c r="L755" s="468"/>
      <c r="M755" s="468"/>
      <c r="N755" s="468"/>
      <c r="O755" s="468"/>
      <c r="P755" s="468"/>
      <c r="Q755" s="468"/>
      <c r="R755" s="375"/>
      <c r="S755" s="415"/>
      <c r="T755" s="415"/>
      <c r="U755" s="377"/>
      <c r="V755" s="377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</row>
    <row r="756" ht="14.25" customHeight="1">
      <c r="A756" s="1"/>
      <c r="B756" s="1"/>
      <c r="C756" s="1"/>
      <c r="D756" s="468"/>
      <c r="E756" s="468"/>
      <c r="F756" s="468"/>
      <c r="G756" s="468"/>
      <c r="H756" s="468"/>
      <c r="I756" s="468"/>
      <c r="J756" s="469"/>
      <c r="K756" s="468"/>
      <c r="L756" s="468"/>
      <c r="M756" s="468"/>
      <c r="N756" s="468"/>
      <c r="O756" s="468"/>
      <c r="P756" s="468"/>
      <c r="Q756" s="468"/>
      <c r="R756" s="375"/>
      <c r="S756" s="415"/>
      <c r="T756" s="415"/>
      <c r="U756" s="377"/>
      <c r="V756" s="377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</row>
    <row r="757" ht="14.25" customHeight="1">
      <c r="A757" s="1"/>
      <c r="B757" s="1"/>
      <c r="C757" s="1"/>
      <c r="D757" s="468"/>
      <c r="E757" s="468"/>
      <c r="F757" s="468"/>
      <c r="G757" s="468"/>
      <c r="H757" s="468"/>
      <c r="I757" s="468"/>
      <c r="J757" s="469"/>
      <c r="K757" s="468"/>
      <c r="L757" s="468"/>
      <c r="M757" s="468"/>
      <c r="N757" s="468"/>
      <c r="O757" s="468"/>
      <c r="P757" s="468"/>
      <c r="Q757" s="468"/>
      <c r="R757" s="375"/>
      <c r="S757" s="415"/>
      <c r="T757" s="415"/>
      <c r="U757" s="377"/>
      <c r="V757" s="377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</row>
    <row r="758" ht="14.25" customHeight="1">
      <c r="A758" s="1"/>
      <c r="B758" s="1"/>
      <c r="C758" s="1"/>
      <c r="D758" s="468"/>
      <c r="E758" s="468"/>
      <c r="F758" s="468"/>
      <c r="G758" s="468"/>
      <c r="H758" s="468"/>
      <c r="I758" s="468"/>
      <c r="J758" s="469"/>
      <c r="K758" s="468"/>
      <c r="L758" s="468"/>
      <c r="M758" s="468"/>
      <c r="N758" s="468"/>
      <c r="O758" s="468"/>
      <c r="P758" s="468"/>
      <c r="Q758" s="468"/>
      <c r="R758" s="375"/>
      <c r="S758" s="415"/>
      <c r="T758" s="415"/>
      <c r="U758" s="377"/>
      <c r="V758" s="377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</row>
    <row r="759" ht="14.25" customHeight="1">
      <c r="A759" s="1"/>
      <c r="B759" s="1"/>
      <c r="C759" s="1"/>
      <c r="D759" s="468"/>
      <c r="E759" s="468"/>
      <c r="F759" s="468"/>
      <c r="G759" s="468"/>
      <c r="H759" s="468"/>
      <c r="I759" s="468"/>
      <c r="J759" s="469"/>
      <c r="K759" s="468"/>
      <c r="L759" s="468"/>
      <c r="M759" s="468"/>
      <c r="N759" s="468"/>
      <c r="O759" s="468"/>
      <c r="P759" s="468"/>
      <c r="Q759" s="468"/>
      <c r="R759" s="375"/>
      <c r="S759" s="415"/>
      <c r="T759" s="415"/>
      <c r="U759" s="377"/>
      <c r="V759" s="377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</row>
    <row r="760" ht="14.25" customHeight="1">
      <c r="A760" s="1"/>
      <c r="B760" s="1"/>
      <c r="C760" s="1"/>
      <c r="D760" s="468"/>
      <c r="E760" s="468"/>
      <c r="F760" s="468"/>
      <c r="G760" s="468"/>
      <c r="H760" s="468"/>
      <c r="I760" s="468"/>
      <c r="J760" s="469"/>
      <c r="K760" s="468"/>
      <c r="L760" s="468"/>
      <c r="M760" s="468"/>
      <c r="N760" s="468"/>
      <c r="O760" s="468"/>
      <c r="P760" s="468"/>
      <c r="Q760" s="468"/>
      <c r="R760" s="375"/>
      <c r="S760" s="415"/>
      <c r="T760" s="415"/>
      <c r="U760" s="377"/>
      <c r="V760" s="377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</row>
    <row r="761" ht="14.25" customHeight="1">
      <c r="A761" s="1"/>
      <c r="B761" s="1"/>
      <c r="C761" s="1"/>
      <c r="D761" s="468"/>
      <c r="E761" s="468"/>
      <c r="F761" s="468"/>
      <c r="G761" s="468"/>
      <c r="H761" s="468"/>
      <c r="I761" s="468"/>
      <c r="J761" s="469"/>
      <c r="K761" s="468"/>
      <c r="L761" s="468"/>
      <c r="M761" s="468"/>
      <c r="N761" s="468"/>
      <c r="O761" s="468"/>
      <c r="P761" s="468"/>
      <c r="Q761" s="468"/>
      <c r="R761" s="375"/>
      <c r="S761" s="415"/>
      <c r="T761" s="415"/>
      <c r="U761" s="377"/>
      <c r="V761" s="377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</row>
    <row r="762" ht="14.25" customHeight="1">
      <c r="A762" s="1"/>
      <c r="B762" s="1"/>
      <c r="C762" s="1"/>
      <c r="D762" s="468"/>
      <c r="E762" s="468"/>
      <c r="F762" s="468"/>
      <c r="G762" s="468"/>
      <c r="H762" s="468"/>
      <c r="I762" s="468"/>
      <c r="J762" s="469"/>
      <c r="K762" s="468"/>
      <c r="L762" s="468"/>
      <c r="M762" s="468"/>
      <c r="N762" s="468"/>
      <c r="O762" s="468"/>
      <c r="P762" s="468"/>
      <c r="Q762" s="468"/>
      <c r="R762" s="375"/>
      <c r="S762" s="415"/>
      <c r="T762" s="415"/>
      <c r="U762" s="377"/>
      <c r="V762" s="377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</row>
    <row r="763" ht="14.25" customHeight="1">
      <c r="A763" s="1"/>
      <c r="B763" s="1"/>
      <c r="C763" s="1"/>
      <c r="D763" s="468"/>
      <c r="E763" s="468"/>
      <c r="F763" s="468"/>
      <c r="G763" s="468"/>
      <c r="H763" s="468"/>
      <c r="I763" s="468"/>
      <c r="J763" s="469"/>
      <c r="K763" s="468"/>
      <c r="L763" s="468"/>
      <c r="M763" s="468"/>
      <c r="N763" s="468"/>
      <c r="O763" s="468"/>
      <c r="P763" s="468"/>
      <c r="Q763" s="468"/>
      <c r="R763" s="375"/>
      <c r="S763" s="415"/>
      <c r="T763" s="415"/>
      <c r="U763" s="377"/>
      <c r="V763" s="377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</row>
    <row r="764" ht="14.25" customHeight="1">
      <c r="A764" s="1"/>
      <c r="B764" s="1"/>
      <c r="C764" s="1"/>
      <c r="D764" s="468"/>
      <c r="E764" s="468"/>
      <c r="F764" s="468"/>
      <c r="G764" s="468"/>
      <c r="H764" s="468"/>
      <c r="I764" s="468"/>
      <c r="J764" s="469"/>
      <c r="K764" s="468"/>
      <c r="L764" s="468"/>
      <c r="M764" s="468"/>
      <c r="N764" s="468"/>
      <c r="O764" s="468"/>
      <c r="P764" s="468"/>
      <c r="Q764" s="468"/>
      <c r="R764" s="375"/>
      <c r="S764" s="415"/>
      <c r="T764" s="415"/>
      <c r="U764" s="377"/>
      <c r="V764" s="377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</row>
    <row r="765" ht="14.25" customHeight="1">
      <c r="A765" s="1"/>
      <c r="B765" s="1"/>
      <c r="C765" s="1"/>
      <c r="D765" s="468"/>
      <c r="E765" s="468"/>
      <c r="F765" s="468"/>
      <c r="G765" s="468"/>
      <c r="H765" s="468"/>
      <c r="I765" s="468"/>
      <c r="J765" s="469"/>
      <c r="K765" s="468"/>
      <c r="L765" s="468"/>
      <c r="M765" s="468"/>
      <c r="N765" s="468"/>
      <c r="O765" s="468"/>
      <c r="P765" s="468"/>
      <c r="Q765" s="468"/>
      <c r="R765" s="375"/>
      <c r="S765" s="415"/>
      <c r="T765" s="415"/>
      <c r="U765" s="377"/>
      <c r="V765" s="377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</row>
    <row r="766" ht="14.25" customHeight="1">
      <c r="A766" s="1"/>
      <c r="B766" s="1"/>
      <c r="C766" s="1"/>
      <c r="D766" s="468"/>
      <c r="E766" s="468"/>
      <c r="F766" s="468"/>
      <c r="G766" s="468"/>
      <c r="H766" s="468"/>
      <c r="I766" s="468"/>
      <c r="J766" s="469"/>
      <c r="K766" s="468"/>
      <c r="L766" s="468"/>
      <c r="M766" s="468"/>
      <c r="N766" s="468"/>
      <c r="O766" s="468"/>
      <c r="P766" s="468"/>
      <c r="Q766" s="468"/>
      <c r="R766" s="375"/>
      <c r="S766" s="415"/>
      <c r="T766" s="415"/>
      <c r="U766" s="377"/>
      <c r="V766" s="377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</row>
    <row r="767" ht="14.25" customHeight="1">
      <c r="A767" s="1"/>
      <c r="B767" s="1"/>
      <c r="C767" s="1"/>
      <c r="D767" s="468"/>
      <c r="E767" s="468"/>
      <c r="F767" s="468"/>
      <c r="G767" s="468"/>
      <c r="H767" s="468"/>
      <c r="I767" s="468"/>
      <c r="J767" s="469"/>
      <c r="K767" s="468"/>
      <c r="L767" s="468"/>
      <c r="M767" s="468"/>
      <c r="N767" s="468"/>
      <c r="O767" s="468"/>
      <c r="P767" s="468"/>
      <c r="Q767" s="468"/>
      <c r="R767" s="375"/>
      <c r="S767" s="415"/>
      <c r="T767" s="415"/>
      <c r="U767" s="377"/>
      <c r="V767" s="377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</row>
    <row r="768" ht="14.25" customHeight="1">
      <c r="A768" s="1"/>
      <c r="B768" s="1"/>
      <c r="C768" s="1"/>
      <c r="D768" s="468"/>
      <c r="E768" s="468"/>
      <c r="F768" s="468"/>
      <c r="G768" s="468"/>
      <c r="H768" s="468"/>
      <c r="I768" s="468"/>
      <c r="J768" s="469"/>
      <c r="K768" s="468"/>
      <c r="L768" s="468"/>
      <c r="M768" s="468"/>
      <c r="N768" s="468"/>
      <c r="O768" s="468"/>
      <c r="P768" s="468"/>
      <c r="Q768" s="468"/>
      <c r="R768" s="375"/>
      <c r="S768" s="415"/>
      <c r="T768" s="415"/>
      <c r="U768" s="377"/>
      <c r="V768" s="377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</row>
    <row r="769" ht="14.25" customHeight="1">
      <c r="A769" s="1"/>
      <c r="B769" s="1"/>
      <c r="C769" s="1"/>
      <c r="D769" s="468"/>
      <c r="E769" s="468"/>
      <c r="F769" s="468"/>
      <c r="G769" s="468"/>
      <c r="H769" s="468"/>
      <c r="I769" s="468"/>
      <c r="J769" s="469"/>
      <c r="K769" s="468"/>
      <c r="L769" s="468"/>
      <c r="M769" s="468"/>
      <c r="N769" s="468"/>
      <c r="O769" s="468"/>
      <c r="P769" s="468"/>
      <c r="Q769" s="468"/>
      <c r="R769" s="375"/>
      <c r="S769" s="415"/>
      <c r="T769" s="415"/>
      <c r="U769" s="377"/>
      <c r="V769" s="377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</row>
    <row r="770" ht="14.25" customHeight="1">
      <c r="A770" s="1"/>
      <c r="B770" s="1"/>
      <c r="C770" s="1"/>
      <c r="D770" s="468"/>
      <c r="E770" s="468"/>
      <c r="F770" s="468"/>
      <c r="G770" s="468"/>
      <c r="H770" s="468"/>
      <c r="I770" s="468"/>
      <c r="J770" s="469"/>
      <c r="K770" s="468"/>
      <c r="L770" s="468"/>
      <c r="M770" s="468"/>
      <c r="N770" s="468"/>
      <c r="O770" s="468"/>
      <c r="P770" s="468"/>
      <c r="Q770" s="468"/>
      <c r="R770" s="375"/>
      <c r="S770" s="415"/>
      <c r="T770" s="415"/>
      <c r="U770" s="377"/>
      <c r="V770" s="377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</row>
    <row r="771" ht="14.25" customHeight="1">
      <c r="A771" s="1"/>
      <c r="B771" s="1"/>
      <c r="C771" s="1"/>
      <c r="D771" s="468"/>
      <c r="E771" s="468"/>
      <c r="F771" s="468"/>
      <c r="G771" s="468"/>
      <c r="H771" s="468"/>
      <c r="I771" s="468"/>
      <c r="J771" s="469"/>
      <c r="K771" s="468"/>
      <c r="L771" s="468"/>
      <c r="M771" s="468"/>
      <c r="N771" s="468"/>
      <c r="O771" s="468"/>
      <c r="P771" s="468"/>
      <c r="Q771" s="468"/>
      <c r="R771" s="375"/>
      <c r="S771" s="415"/>
      <c r="T771" s="415"/>
      <c r="U771" s="377"/>
      <c r="V771" s="377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</row>
    <row r="772" ht="14.25" customHeight="1">
      <c r="A772" s="1"/>
      <c r="B772" s="1"/>
      <c r="C772" s="1"/>
      <c r="D772" s="468"/>
      <c r="E772" s="468"/>
      <c r="F772" s="468"/>
      <c r="G772" s="468"/>
      <c r="H772" s="468"/>
      <c r="I772" s="468"/>
      <c r="J772" s="469"/>
      <c r="K772" s="468"/>
      <c r="L772" s="468"/>
      <c r="M772" s="468"/>
      <c r="N772" s="468"/>
      <c r="O772" s="468"/>
      <c r="P772" s="468"/>
      <c r="Q772" s="468"/>
      <c r="R772" s="375"/>
      <c r="S772" s="415"/>
      <c r="T772" s="415"/>
      <c r="U772" s="377"/>
      <c r="V772" s="377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</row>
    <row r="773" ht="14.25" customHeight="1">
      <c r="A773" s="1"/>
      <c r="B773" s="1"/>
      <c r="C773" s="1"/>
      <c r="D773" s="468"/>
      <c r="E773" s="468"/>
      <c r="F773" s="468"/>
      <c r="G773" s="468"/>
      <c r="H773" s="468"/>
      <c r="I773" s="468"/>
      <c r="J773" s="469"/>
      <c r="K773" s="468"/>
      <c r="L773" s="468"/>
      <c r="M773" s="468"/>
      <c r="N773" s="468"/>
      <c r="O773" s="468"/>
      <c r="P773" s="468"/>
      <c r="Q773" s="468"/>
      <c r="R773" s="375"/>
      <c r="S773" s="415"/>
      <c r="T773" s="415"/>
      <c r="U773" s="377"/>
      <c r="V773" s="377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</row>
    <row r="774" ht="14.25" customHeight="1">
      <c r="A774" s="1"/>
      <c r="B774" s="1"/>
      <c r="C774" s="1"/>
      <c r="D774" s="468"/>
      <c r="E774" s="468"/>
      <c r="F774" s="468"/>
      <c r="G774" s="468"/>
      <c r="H774" s="468"/>
      <c r="I774" s="468"/>
      <c r="J774" s="469"/>
      <c r="K774" s="468"/>
      <c r="L774" s="468"/>
      <c r="M774" s="468"/>
      <c r="N774" s="468"/>
      <c r="O774" s="468"/>
      <c r="P774" s="468"/>
      <c r="Q774" s="468"/>
      <c r="R774" s="375"/>
      <c r="S774" s="415"/>
      <c r="T774" s="415"/>
      <c r="U774" s="377"/>
      <c r="V774" s="377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</row>
    <row r="775" ht="14.25" customHeight="1">
      <c r="A775" s="1"/>
      <c r="B775" s="1"/>
      <c r="C775" s="1"/>
      <c r="D775" s="468"/>
      <c r="E775" s="468"/>
      <c r="F775" s="468"/>
      <c r="G775" s="468"/>
      <c r="H775" s="468"/>
      <c r="I775" s="468"/>
      <c r="J775" s="469"/>
      <c r="K775" s="468"/>
      <c r="L775" s="468"/>
      <c r="M775" s="468"/>
      <c r="N775" s="468"/>
      <c r="O775" s="468"/>
      <c r="P775" s="468"/>
      <c r="Q775" s="468"/>
      <c r="R775" s="375"/>
      <c r="S775" s="415"/>
      <c r="T775" s="415"/>
      <c r="U775" s="377"/>
      <c r="V775" s="377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</row>
    <row r="776" ht="14.25" customHeight="1">
      <c r="A776" s="1"/>
      <c r="B776" s="1"/>
      <c r="C776" s="1"/>
      <c r="D776" s="468"/>
      <c r="E776" s="468"/>
      <c r="F776" s="468"/>
      <c r="G776" s="468"/>
      <c r="H776" s="468"/>
      <c r="I776" s="468"/>
      <c r="J776" s="469"/>
      <c r="K776" s="468"/>
      <c r="L776" s="468"/>
      <c r="M776" s="468"/>
      <c r="N776" s="468"/>
      <c r="O776" s="468"/>
      <c r="P776" s="468"/>
      <c r="Q776" s="468"/>
      <c r="R776" s="375"/>
      <c r="S776" s="415"/>
      <c r="T776" s="415"/>
      <c r="U776" s="377"/>
      <c r="V776" s="377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</row>
    <row r="777" ht="14.25" customHeight="1">
      <c r="A777" s="1"/>
      <c r="B777" s="1"/>
      <c r="C777" s="1"/>
      <c r="D777" s="468"/>
      <c r="E777" s="468"/>
      <c r="F777" s="468"/>
      <c r="G777" s="468"/>
      <c r="H777" s="468"/>
      <c r="I777" s="468"/>
      <c r="J777" s="469"/>
      <c r="K777" s="468"/>
      <c r="L777" s="468"/>
      <c r="M777" s="468"/>
      <c r="N777" s="468"/>
      <c r="O777" s="468"/>
      <c r="P777" s="468"/>
      <c r="Q777" s="468"/>
      <c r="R777" s="375"/>
      <c r="S777" s="415"/>
      <c r="T777" s="415"/>
      <c r="U777" s="377"/>
      <c r="V777" s="377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</row>
    <row r="778" ht="14.25" customHeight="1">
      <c r="A778" s="1"/>
      <c r="B778" s="1"/>
      <c r="C778" s="1"/>
      <c r="D778" s="468"/>
      <c r="E778" s="468"/>
      <c r="F778" s="468"/>
      <c r="G778" s="468"/>
      <c r="H778" s="468"/>
      <c r="I778" s="468"/>
      <c r="J778" s="469"/>
      <c r="K778" s="468"/>
      <c r="L778" s="468"/>
      <c r="M778" s="468"/>
      <c r="N778" s="468"/>
      <c r="O778" s="468"/>
      <c r="P778" s="468"/>
      <c r="Q778" s="468"/>
      <c r="R778" s="375"/>
      <c r="S778" s="415"/>
      <c r="T778" s="415"/>
      <c r="U778" s="377"/>
      <c r="V778" s="377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</row>
    <row r="779" ht="14.25" customHeight="1">
      <c r="A779" s="1"/>
      <c r="B779" s="1"/>
      <c r="C779" s="1"/>
      <c r="D779" s="468"/>
      <c r="E779" s="468"/>
      <c r="F779" s="468"/>
      <c r="G779" s="468"/>
      <c r="H779" s="468"/>
      <c r="I779" s="468"/>
      <c r="J779" s="469"/>
      <c r="K779" s="468"/>
      <c r="L779" s="468"/>
      <c r="M779" s="468"/>
      <c r="N779" s="468"/>
      <c r="O779" s="468"/>
      <c r="P779" s="468"/>
      <c r="Q779" s="468"/>
      <c r="R779" s="375"/>
      <c r="S779" s="415"/>
      <c r="T779" s="415"/>
      <c r="U779" s="377"/>
      <c r="V779" s="377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</row>
    <row r="780" ht="14.25" customHeight="1">
      <c r="A780" s="1"/>
      <c r="B780" s="1"/>
      <c r="C780" s="1"/>
      <c r="D780" s="468"/>
      <c r="E780" s="468"/>
      <c r="F780" s="468"/>
      <c r="G780" s="468"/>
      <c r="H780" s="468"/>
      <c r="I780" s="468"/>
      <c r="J780" s="469"/>
      <c r="K780" s="468"/>
      <c r="L780" s="468"/>
      <c r="M780" s="468"/>
      <c r="N780" s="468"/>
      <c r="O780" s="468"/>
      <c r="P780" s="468"/>
      <c r="Q780" s="468"/>
      <c r="R780" s="375"/>
      <c r="S780" s="415"/>
      <c r="T780" s="415"/>
      <c r="U780" s="377"/>
      <c r="V780" s="377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</row>
    <row r="781" ht="14.25" customHeight="1">
      <c r="A781" s="1"/>
      <c r="B781" s="1"/>
      <c r="C781" s="1"/>
      <c r="D781" s="468"/>
      <c r="E781" s="468"/>
      <c r="F781" s="468"/>
      <c r="G781" s="468"/>
      <c r="H781" s="468"/>
      <c r="I781" s="468"/>
      <c r="J781" s="469"/>
      <c r="K781" s="468"/>
      <c r="L781" s="468"/>
      <c r="M781" s="468"/>
      <c r="N781" s="468"/>
      <c r="O781" s="468"/>
      <c r="P781" s="468"/>
      <c r="Q781" s="468"/>
      <c r="R781" s="375"/>
      <c r="S781" s="415"/>
      <c r="T781" s="415"/>
      <c r="U781" s="377"/>
      <c r="V781" s="377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</row>
    <row r="782" ht="14.25" customHeight="1">
      <c r="A782" s="1"/>
      <c r="B782" s="1"/>
      <c r="C782" s="1"/>
      <c r="D782" s="468"/>
      <c r="E782" s="468"/>
      <c r="F782" s="468"/>
      <c r="G782" s="468"/>
      <c r="H782" s="468"/>
      <c r="I782" s="468"/>
      <c r="J782" s="469"/>
      <c r="K782" s="468"/>
      <c r="L782" s="468"/>
      <c r="M782" s="468"/>
      <c r="N782" s="468"/>
      <c r="O782" s="468"/>
      <c r="P782" s="468"/>
      <c r="Q782" s="468"/>
      <c r="R782" s="375"/>
      <c r="S782" s="415"/>
      <c r="T782" s="415"/>
      <c r="U782" s="377"/>
      <c r="V782" s="377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</row>
    <row r="783" ht="14.25" customHeight="1">
      <c r="A783" s="1"/>
      <c r="B783" s="1"/>
      <c r="C783" s="1"/>
      <c r="D783" s="468"/>
      <c r="E783" s="468"/>
      <c r="F783" s="468"/>
      <c r="G783" s="468"/>
      <c r="H783" s="468"/>
      <c r="I783" s="468"/>
      <c r="J783" s="469"/>
      <c r="K783" s="468"/>
      <c r="L783" s="468"/>
      <c r="M783" s="468"/>
      <c r="N783" s="468"/>
      <c r="O783" s="468"/>
      <c r="P783" s="468"/>
      <c r="Q783" s="468"/>
      <c r="R783" s="375"/>
      <c r="S783" s="415"/>
      <c r="T783" s="415"/>
      <c r="U783" s="377"/>
      <c r="V783" s="377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</row>
    <row r="784" ht="14.25" customHeight="1">
      <c r="A784" s="1"/>
      <c r="B784" s="1"/>
      <c r="C784" s="1"/>
      <c r="D784" s="468"/>
      <c r="E784" s="468"/>
      <c r="F784" s="468"/>
      <c r="G784" s="468"/>
      <c r="H784" s="468"/>
      <c r="I784" s="468"/>
      <c r="J784" s="469"/>
      <c r="K784" s="468"/>
      <c r="L784" s="468"/>
      <c r="M784" s="468"/>
      <c r="N784" s="468"/>
      <c r="O784" s="468"/>
      <c r="P784" s="468"/>
      <c r="Q784" s="468"/>
      <c r="R784" s="375"/>
      <c r="S784" s="415"/>
      <c r="T784" s="415"/>
      <c r="U784" s="377"/>
      <c r="V784" s="377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</row>
    <row r="785" ht="14.25" customHeight="1">
      <c r="A785" s="1"/>
      <c r="B785" s="1"/>
      <c r="C785" s="1"/>
      <c r="D785" s="468"/>
      <c r="E785" s="468"/>
      <c r="F785" s="468"/>
      <c r="G785" s="468"/>
      <c r="H785" s="468"/>
      <c r="I785" s="468"/>
      <c r="J785" s="469"/>
      <c r="K785" s="468"/>
      <c r="L785" s="468"/>
      <c r="M785" s="468"/>
      <c r="N785" s="468"/>
      <c r="O785" s="468"/>
      <c r="P785" s="468"/>
      <c r="Q785" s="468"/>
      <c r="R785" s="375"/>
      <c r="S785" s="415"/>
      <c r="T785" s="415"/>
      <c r="U785" s="377"/>
      <c r="V785" s="377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</row>
    <row r="786" ht="14.25" customHeight="1">
      <c r="A786" s="1"/>
      <c r="B786" s="1"/>
      <c r="C786" s="1"/>
      <c r="D786" s="468"/>
      <c r="E786" s="468"/>
      <c r="F786" s="468"/>
      <c r="G786" s="468"/>
      <c r="H786" s="468"/>
      <c r="I786" s="468"/>
      <c r="J786" s="469"/>
      <c r="K786" s="468"/>
      <c r="L786" s="468"/>
      <c r="M786" s="468"/>
      <c r="N786" s="468"/>
      <c r="O786" s="468"/>
      <c r="P786" s="468"/>
      <c r="Q786" s="468"/>
      <c r="R786" s="375"/>
      <c r="S786" s="415"/>
      <c r="T786" s="415"/>
      <c r="U786" s="377"/>
      <c r="V786" s="377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</row>
    <row r="787" ht="14.25" customHeight="1">
      <c r="A787" s="1"/>
      <c r="B787" s="1"/>
      <c r="C787" s="1"/>
      <c r="D787" s="468"/>
      <c r="E787" s="468"/>
      <c r="F787" s="468"/>
      <c r="G787" s="468"/>
      <c r="H787" s="468"/>
      <c r="I787" s="468"/>
      <c r="J787" s="469"/>
      <c r="K787" s="468"/>
      <c r="L787" s="468"/>
      <c r="M787" s="468"/>
      <c r="N787" s="468"/>
      <c r="O787" s="468"/>
      <c r="P787" s="468"/>
      <c r="Q787" s="468"/>
      <c r="R787" s="375"/>
      <c r="S787" s="415"/>
      <c r="T787" s="415"/>
      <c r="U787" s="377"/>
      <c r="V787" s="377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</row>
    <row r="788" ht="14.25" customHeight="1">
      <c r="A788" s="1"/>
      <c r="B788" s="1"/>
      <c r="C788" s="1"/>
      <c r="D788" s="468"/>
      <c r="E788" s="468"/>
      <c r="F788" s="468"/>
      <c r="G788" s="468"/>
      <c r="H788" s="468"/>
      <c r="I788" s="468"/>
      <c r="J788" s="469"/>
      <c r="K788" s="468"/>
      <c r="L788" s="468"/>
      <c r="M788" s="468"/>
      <c r="N788" s="468"/>
      <c r="O788" s="468"/>
      <c r="P788" s="468"/>
      <c r="Q788" s="468"/>
      <c r="R788" s="375"/>
      <c r="S788" s="415"/>
      <c r="T788" s="415"/>
      <c r="U788" s="377"/>
      <c r="V788" s="377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</row>
    <row r="789" ht="14.25" customHeight="1">
      <c r="A789" s="1"/>
      <c r="B789" s="1"/>
      <c r="C789" s="1"/>
      <c r="D789" s="468"/>
      <c r="E789" s="468"/>
      <c r="F789" s="468"/>
      <c r="G789" s="468"/>
      <c r="H789" s="468"/>
      <c r="I789" s="468"/>
      <c r="J789" s="469"/>
      <c r="K789" s="468"/>
      <c r="L789" s="468"/>
      <c r="M789" s="468"/>
      <c r="N789" s="468"/>
      <c r="O789" s="468"/>
      <c r="P789" s="468"/>
      <c r="Q789" s="468"/>
      <c r="R789" s="375"/>
      <c r="S789" s="415"/>
      <c r="T789" s="415"/>
      <c r="U789" s="377"/>
      <c r="V789" s="377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</row>
    <row r="790" ht="14.25" customHeight="1">
      <c r="A790" s="1"/>
      <c r="B790" s="1"/>
      <c r="C790" s="1"/>
      <c r="D790" s="468"/>
      <c r="E790" s="468"/>
      <c r="F790" s="468"/>
      <c r="G790" s="468"/>
      <c r="H790" s="468"/>
      <c r="I790" s="468"/>
      <c r="J790" s="469"/>
      <c r="K790" s="468"/>
      <c r="L790" s="468"/>
      <c r="M790" s="468"/>
      <c r="N790" s="468"/>
      <c r="O790" s="468"/>
      <c r="P790" s="468"/>
      <c r="Q790" s="468"/>
      <c r="R790" s="375"/>
      <c r="S790" s="415"/>
      <c r="T790" s="415"/>
      <c r="U790" s="377"/>
      <c r="V790" s="377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</row>
    <row r="791" ht="14.25" customHeight="1">
      <c r="A791" s="1"/>
      <c r="B791" s="1"/>
      <c r="C791" s="1"/>
      <c r="D791" s="468"/>
      <c r="E791" s="468"/>
      <c r="F791" s="468"/>
      <c r="G791" s="468"/>
      <c r="H791" s="468"/>
      <c r="I791" s="468"/>
      <c r="J791" s="469"/>
      <c r="K791" s="468"/>
      <c r="L791" s="468"/>
      <c r="M791" s="468"/>
      <c r="N791" s="468"/>
      <c r="O791" s="468"/>
      <c r="P791" s="468"/>
      <c r="Q791" s="468"/>
      <c r="R791" s="375"/>
      <c r="S791" s="415"/>
      <c r="T791" s="415"/>
      <c r="U791" s="377"/>
      <c r="V791" s="377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</row>
    <row r="792" ht="14.25" customHeight="1">
      <c r="A792" s="1"/>
      <c r="B792" s="1"/>
      <c r="C792" s="1"/>
      <c r="D792" s="468"/>
      <c r="E792" s="468"/>
      <c r="F792" s="468"/>
      <c r="G792" s="468"/>
      <c r="H792" s="468"/>
      <c r="I792" s="468"/>
      <c r="J792" s="469"/>
      <c r="K792" s="468"/>
      <c r="L792" s="468"/>
      <c r="M792" s="468"/>
      <c r="N792" s="468"/>
      <c r="O792" s="468"/>
      <c r="P792" s="468"/>
      <c r="Q792" s="468"/>
      <c r="R792" s="375"/>
      <c r="S792" s="415"/>
      <c r="T792" s="415"/>
      <c r="U792" s="377"/>
      <c r="V792" s="377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</row>
    <row r="793" ht="14.25" customHeight="1">
      <c r="A793" s="1"/>
      <c r="B793" s="1"/>
      <c r="C793" s="1"/>
      <c r="D793" s="468"/>
      <c r="E793" s="468"/>
      <c r="F793" s="468"/>
      <c r="G793" s="468"/>
      <c r="H793" s="468"/>
      <c r="I793" s="468"/>
      <c r="J793" s="469"/>
      <c r="K793" s="468"/>
      <c r="L793" s="468"/>
      <c r="M793" s="468"/>
      <c r="N793" s="468"/>
      <c r="O793" s="468"/>
      <c r="P793" s="468"/>
      <c r="Q793" s="468"/>
      <c r="R793" s="375"/>
      <c r="S793" s="415"/>
      <c r="T793" s="415"/>
      <c r="U793" s="377"/>
      <c r="V793" s="377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</row>
    <row r="794" ht="14.25" customHeight="1">
      <c r="A794" s="1"/>
      <c r="B794" s="1"/>
      <c r="C794" s="1"/>
      <c r="D794" s="468"/>
      <c r="E794" s="468"/>
      <c r="F794" s="468"/>
      <c r="G794" s="468"/>
      <c r="H794" s="468"/>
      <c r="I794" s="468"/>
      <c r="J794" s="469"/>
      <c r="K794" s="468"/>
      <c r="L794" s="468"/>
      <c r="M794" s="468"/>
      <c r="N794" s="468"/>
      <c r="O794" s="468"/>
      <c r="P794" s="468"/>
      <c r="Q794" s="468"/>
      <c r="R794" s="375"/>
      <c r="S794" s="415"/>
      <c r="T794" s="415"/>
      <c r="U794" s="377"/>
      <c r="V794" s="377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</row>
    <row r="795" ht="14.25" customHeight="1">
      <c r="A795" s="1"/>
      <c r="B795" s="1"/>
      <c r="C795" s="1"/>
      <c r="D795" s="468"/>
      <c r="E795" s="468"/>
      <c r="F795" s="468"/>
      <c r="G795" s="468"/>
      <c r="H795" s="468"/>
      <c r="I795" s="468"/>
      <c r="J795" s="469"/>
      <c r="K795" s="468"/>
      <c r="L795" s="468"/>
      <c r="M795" s="468"/>
      <c r="N795" s="468"/>
      <c r="O795" s="468"/>
      <c r="P795" s="468"/>
      <c r="Q795" s="468"/>
      <c r="R795" s="375"/>
      <c r="S795" s="415"/>
      <c r="T795" s="415"/>
      <c r="U795" s="377"/>
      <c r="V795" s="377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</row>
    <row r="796" ht="14.25" customHeight="1">
      <c r="A796" s="1"/>
      <c r="B796" s="1"/>
      <c r="C796" s="1"/>
      <c r="D796" s="468"/>
      <c r="E796" s="468"/>
      <c r="F796" s="468"/>
      <c r="G796" s="468"/>
      <c r="H796" s="468"/>
      <c r="I796" s="468"/>
      <c r="J796" s="469"/>
      <c r="K796" s="468"/>
      <c r="L796" s="468"/>
      <c r="M796" s="468"/>
      <c r="N796" s="468"/>
      <c r="O796" s="468"/>
      <c r="P796" s="468"/>
      <c r="Q796" s="468"/>
      <c r="R796" s="375"/>
      <c r="S796" s="415"/>
      <c r="T796" s="415"/>
      <c r="U796" s="377"/>
      <c r="V796" s="377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</row>
    <row r="797" ht="14.25" customHeight="1">
      <c r="A797" s="1"/>
      <c r="B797" s="1"/>
      <c r="C797" s="1"/>
      <c r="D797" s="468"/>
      <c r="E797" s="468"/>
      <c r="F797" s="468"/>
      <c r="G797" s="468"/>
      <c r="H797" s="468"/>
      <c r="I797" s="468"/>
      <c r="J797" s="469"/>
      <c r="K797" s="468"/>
      <c r="L797" s="468"/>
      <c r="M797" s="468"/>
      <c r="N797" s="468"/>
      <c r="O797" s="468"/>
      <c r="P797" s="468"/>
      <c r="Q797" s="468"/>
      <c r="R797" s="375"/>
      <c r="S797" s="415"/>
      <c r="T797" s="415"/>
      <c r="U797" s="377"/>
      <c r="V797" s="377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</row>
    <row r="798" ht="14.25" customHeight="1">
      <c r="A798" s="1"/>
      <c r="B798" s="1"/>
      <c r="C798" s="1"/>
      <c r="D798" s="468"/>
      <c r="E798" s="468"/>
      <c r="F798" s="468"/>
      <c r="G798" s="468"/>
      <c r="H798" s="468"/>
      <c r="I798" s="468"/>
      <c r="J798" s="469"/>
      <c r="K798" s="468"/>
      <c r="L798" s="468"/>
      <c r="M798" s="468"/>
      <c r="N798" s="468"/>
      <c r="O798" s="468"/>
      <c r="P798" s="468"/>
      <c r="Q798" s="468"/>
      <c r="R798" s="375"/>
      <c r="S798" s="415"/>
      <c r="T798" s="415"/>
      <c r="U798" s="377"/>
      <c r="V798" s="377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</row>
    <row r="799" ht="14.25" customHeight="1">
      <c r="A799" s="1"/>
      <c r="B799" s="1"/>
      <c r="C799" s="1"/>
      <c r="D799" s="468"/>
      <c r="E799" s="468"/>
      <c r="F799" s="468"/>
      <c r="G799" s="468"/>
      <c r="H799" s="468"/>
      <c r="I799" s="468"/>
      <c r="J799" s="469"/>
      <c r="K799" s="468"/>
      <c r="L799" s="468"/>
      <c r="M799" s="468"/>
      <c r="N799" s="468"/>
      <c r="O799" s="468"/>
      <c r="P799" s="468"/>
      <c r="Q799" s="468"/>
      <c r="R799" s="375"/>
      <c r="S799" s="415"/>
      <c r="T799" s="415"/>
      <c r="U799" s="377"/>
      <c r="V799" s="377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</row>
    <row r="800" ht="14.25" customHeight="1">
      <c r="A800" s="1"/>
      <c r="B800" s="1"/>
      <c r="C800" s="1"/>
      <c r="D800" s="468"/>
      <c r="E800" s="468"/>
      <c r="F800" s="468"/>
      <c r="G800" s="468"/>
      <c r="H800" s="468"/>
      <c r="I800" s="468"/>
      <c r="J800" s="469"/>
      <c r="K800" s="468"/>
      <c r="L800" s="468"/>
      <c r="M800" s="468"/>
      <c r="N800" s="468"/>
      <c r="O800" s="468"/>
      <c r="P800" s="468"/>
      <c r="Q800" s="468"/>
      <c r="R800" s="375"/>
      <c r="S800" s="415"/>
      <c r="T800" s="415"/>
      <c r="U800" s="377"/>
      <c r="V800" s="377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</row>
    <row r="801" ht="14.25" customHeight="1">
      <c r="A801" s="1"/>
      <c r="B801" s="1"/>
      <c r="C801" s="1"/>
      <c r="D801" s="468"/>
      <c r="E801" s="468"/>
      <c r="F801" s="468"/>
      <c r="G801" s="468"/>
      <c r="H801" s="468"/>
      <c r="I801" s="468"/>
      <c r="J801" s="469"/>
      <c r="K801" s="468"/>
      <c r="L801" s="468"/>
      <c r="M801" s="468"/>
      <c r="N801" s="468"/>
      <c r="O801" s="468"/>
      <c r="P801" s="468"/>
      <c r="Q801" s="468"/>
      <c r="R801" s="375"/>
      <c r="S801" s="415"/>
      <c r="T801" s="415"/>
      <c r="U801" s="377"/>
      <c r="V801" s="377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</row>
    <row r="802" ht="14.25" customHeight="1">
      <c r="A802" s="1"/>
      <c r="B802" s="1"/>
      <c r="C802" s="1"/>
      <c r="D802" s="468"/>
      <c r="E802" s="468"/>
      <c r="F802" s="468"/>
      <c r="G802" s="468"/>
      <c r="H802" s="468"/>
      <c r="I802" s="468"/>
      <c r="J802" s="469"/>
      <c r="K802" s="468"/>
      <c r="L802" s="468"/>
      <c r="M802" s="468"/>
      <c r="N802" s="468"/>
      <c r="O802" s="468"/>
      <c r="P802" s="468"/>
      <c r="Q802" s="468"/>
      <c r="R802" s="375"/>
      <c r="S802" s="415"/>
      <c r="T802" s="415"/>
      <c r="U802" s="377"/>
      <c r="V802" s="377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</row>
    <row r="803" ht="14.25" customHeight="1">
      <c r="A803" s="1"/>
      <c r="B803" s="1"/>
      <c r="C803" s="1"/>
      <c r="D803" s="468"/>
      <c r="E803" s="468"/>
      <c r="F803" s="468"/>
      <c r="G803" s="468"/>
      <c r="H803" s="468"/>
      <c r="I803" s="468"/>
      <c r="J803" s="469"/>
      <c r="K803" s="468"/>
      <c r="L803" s="468"/>
      <c r="M803" s="468"/>
      <c r="N803" s="468"/>
      <c r="O803" s="468"/>
      <c r="P803" s="468"/>
      <c r="Q803" s="468"/>
      <c r="R803" s="375"/>
      <c r="S803" s="415"/>
      <c r="T803" s="415"/>
      <c r="U803" s="377"/>
      <c r="V803" s="377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</row>
    <row r="804" ht="14.25" customHeight="1">
      <c r="A804" s="1"/>
      <c r="B804" s="1"/>
      <c r="C804" s="1"/>
      <c r="D804" s="468"/>
      <c r="E804" s="468"/>
      <c r="F804" s="468"/>
      <c r="G804" s="468"/>
      <c r="H804" s="468"/>
      <c r="I804" s="468"/>
      <c r="J804" s="469"/>
      <c r="K804" s="468"/>
      <c r="L804" s="468"/>
      <c r="M804" s="468"/>
      <c r="N804" s="468"/>
      <c r="O804" s="468"/>
      <c r="P804" s="468"/>
      <c r="Q804" s="468"/>
      <c r="R804" s="375"/>
      <c r="S804" s="415"/>
      <c r="T804" s="415"/>
      <c r="U804" s="377"/>
      <c r="V804" s="377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</row>
    <row r="805" ht="14.25" customHeight="1">
      <c r="A805" s="1"/>
      <c r="B805" s="1"/>
      <c r="C805" s="1"/>
      <c r="D805" s="468"/>
      <c r="E805" s="468"/>
      <c r="F805" s="468"/>
      <c r="G805" s="468"/>
      <c r="H805" s="468"/>
      <c r="I805" s="468"/>
      <c r="J805" s="469"/>
      <c r="K805" s="468"/>
      <c r="L805" s="468"/>
      <c r="M805" s="468"/>
      <c r="N805" s="468"/>
      <c r="O805" s="468"/>
      <c r="P805" s="468"/>
      <c r="Q805" s="468"/>
      <c r="R805" s="375"/>
      <c r="S805" s="415"/>
      <c r="T805" s="415"/>
      <c r="U805" s="377"/>
      <c r="V805" s="377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</row>
    <row r="806" ht="14.25" customHeight="1">
      <c r="A806" s="1"/>
      <c r="B806" s="1"/>
      <c r="C806" s="1"/>
      <c r="D806" s="468"/>
      <c r="E806" s="468"/>
      <c r="F806" s="468"/>
      <c r="G806" s="468"/>
      <c r="H806" s="468"/>
      <c r="I806" s="468"/>
      <c r="J806" s="469"/>
      <c r="K806" s="468"/>
      <c r="L806" s="468"/>
      <c r="M806" s="468"/>
      <c r="N806" s="468"/>
      <c r="O806" s="468"/>
      <c r="P806" s="468"/>
      <c r="Q806" s="468"/>
      <c r="R806" s="375"/>
      <c r="S806" s="415"/>
      <c r="T806" s="415"/>
      <c r="U806" s="377"/>
      <c r="V806" s="377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</row>
    <row r="807" ht="14.25" customHeight="1">
      <c r="A807" s="1"/>
      <c r="B807" s="1"/>
      <c r="C807" s="1"/>
      <c r="D807" s="468"/>
      <c r="E807" s="468"/>
      <c r="F807" s="468"/>
      <c r="G807" s="468"/>
      <c r="H807" s="468"/>
      <c r="I807" s="468"/>
      <c r="J807" s="469"/>
      <c r="K807" s="468"/>
      <c r="L807" s="468"/>
      <c r="M807" s="468"/>
      <c r="N807" s="468"/>
      <c r="O807" s="468"/>
      <c r="P807" s="468"/>
      <c r="Q807" s="468"/>
      <c r="R807" s="375"/>
      <c r="S807" s="415"/>
      <c r="T807" s="415"/>
      <c r="U807" s="377"/>
      <c r="V807" s="377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</row>
    <row r="808" ht="14.25" customHeight="1">
      <c r="A808" s="1"/>
      <c r="B808" s="1"/>
      <c r="C808" s="1"/>
      <c r="D808" s="468"/>
      <c r="E808" s="468"/>
      <c r="F808" s="468"/>
      <c r="G808" s="468"/>
      <c r="H808" s="468"/>
      <c r="I808" s="468"/>
      <c r="J808" s="469"/>
      <c r="K808" s="468"/>
      <c r="L808" s="468"/>
      <c r="M808" s="468"/>
      <c r="N808" s="468"/>
      <c r="O808" s="468"/>
      <c r="P808" s="468"/>
      <c r="Q808" s="468"/>
      <c r="R808" s="375"/>
      <c r="S808" s="415"/>
      <c r="T808" s="415"/>
      <c r="U808" s="377"/>
      <c r="V808" s="377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</row>
    <row r="809" ht="14.25" customHeight="1">
      <c r="A809" s="1"/>
      <c r="B809" s="1"/>
      <c r="C809" s="1"/>
      <c r="D809" s="468"/>
      <c r="E809" s="468"/>
      <c r="F809" s="468"/>
      <c r="G809" s="468"/>
      <c r="H809" s="468"/>
      <c r="I809" s="468"/>
      <c r="J809" s="469"/>
      <c r="K809" s="468"/>
      <c r="L809" s="468"/>
      <c r="M809" s="468"/>
      <c r="N809" s="468"/>
      <c r="O809" s="468"/>
      <c r="P809" s="468"/>
      <c r="Q809" s="468"/>
      <c r="R809" s="375"/>
      <c r="S809" s="415"/>
      <c r="T809" s="415"/>
      <c r="U809" s="377"/>
      <c r="V809" s="377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</row>
    <row r="810" ht="14.25" customHeight="1">
      <c r="A810" s="1"/>
      <c r="B810" s="1"/>
      <c r="C810" s="1"/>
      <c r="D810" s="468"/>
      <c r="E810" s="468"/>
      <c r="F810" s="468"/>
      <c r="G810" s="468"/>
      <c r="H810" s="468"/>
      <c r="I810" s="468"/>
      <c r="J810" s="469"/>
      <c r="K810" s="468"/>
      <c r="L810" s="468"/>
      <c r="M810" s="468"/>
      <c r="N810" s="468"/>
      <c r="O810" s="468"/>
      <c r="P810" s="468"/>
      <c r="Q810" s="468"/>
      <c r="R810" s="375"/>
      <c r="S810" s="415"/>
      <c r="T810" s="415"/>
      <c r="U810" s="377"/>
      <c r="V810" s="377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</row>
    <row r="811" ht="14.25" customHeight="1">
      <c r="A811" s="1"/>
      <c r="B811" s="1"/>
      <c r="C811" s="1"/>
      <c r="D811" s="468"/>
      <c r="E811" s="468"/>
      <c r="F811" s="468"/>
      <c r="G811" s="468"/>
      <c r="H811" s="468"/>
      <c r="I811" s="468"/>
      <c r="J811" s="469"/>
      <c r="K811" s="468"/>
      <c r="L811" s="468"/>
      <c r="M811" s="468"/>
      <c r="N811" s="468"/>
      <c r="O811" s="468"/>
      <c r="P811" s="468"/>
      <c r="Q811" s="468"/>
      <c r="R811" s="375"/>
      <c r="S811" s="415"/>
      <c r="T811" s="415"/>
      <c r="U811" s="377"/>
      <c r="V811" s="377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</row>
    <row r="812" ht="14.25" customHeight="1">
      <c r="A812" s="1"/>
      <c r="B812" s="1"/>
      <c r="C812" s="1"/>
      <c r="D812" s="468"/>
      <c r="E812" s="468"/>
      <c r="F812" s="468"/>
      <c r="G812" s="468"/>
      <c r="H812" s="468"/>
      <c r="I812" s="468"/>
      <c r="J812" s="469"/>
      <c r="K812" s="468"/>
      <c r="L812" s="468"/>
      <c r="M812" s="468"/>
      <c r="N812" s="468"/>
      <c r="O812" s="468"/>
      <c r="P812" s="468"/>
      <c r="Q812" s="468"/>
      <c r="R812" s="375"/>
      <c r="S812" s="415"/>
      <c r="T812" s="415"/>
      <c r="U812" s="377"/>
      <c r="V812" s="377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</row>
    <row r="813" ht="14.25" customHeight="1">
      <c r="A813" s="1"/>
      <c r="B813" s="1"/>
      <c r="C813" s="1"/>
      <c r="D813" s="468"/>
      <c r="E813" s="468"/>
      <c r="F813" s="468"/>
      <c r="G813" s="468"/>
      <c r="H813" s="468"/>
      <c r="I813" s="468"/>
      <c r="J813" s="469"/>
      <c r="K813" s="468"/>
      <c r="L813" s="468"/>
      <c r="M813" s="468"/>
      <c r="N813" s="468"/>
      <c r="O813" s="468"/>
      <c r="P813" s="468"/>
      <c r="Q813" s="468"/>
      <c r="R813" s="375"/>
      <c r="S813" s="415"/>
      <c r="T813" s="415"/>
      <c r="U813" s="377"/>
      <c r="V813" s="377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</row>
    <row r="814" ht="14.25" customHeight="1">
      <c r="A814" s="1"/>
      <c r="B814" s="1"/>
      <c r="C814" s="1"/>
      <c r="D814" s="468"/>
      <c r="E814" s="468"/>
      <c r="F814" s="468"/>
      <c r="G814" s="468"/>
      <c r="H814" s="468"/>
      <c r="I814" s="468"/>
      <c r="J814" s="469"/>
      <c r="K814" s="468"/>
      <c r="L814" s="468"/>
      <c r="M814" s="468"/>
      <c r="N814" s="468"/>
      <c r="O814" s="468"/>
      <c r="P814" s="468"/>
      <c r="Q814" s="468"/>
      <c r="R814" s="375"/>
      <c r="S814" s="415"/>
      <c r="T814" s="415"/>
      <c r="U814" s="377"/>
      <c r="V814" s="377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</row>
    <row r="815" ht="14.25" customHeight="1">
      <c r="A815" s="1"/>
      <c r="B815" s="1"/>
      <c r="C815" s="1"/>
      <c r="D815" s="468"/>
      <c r="E815" s="468"/>
      <c r="F815" s="468"/>
      <c r="G815" s="468"/>
      <c r="H815" s="468"/>
      <c r="I815" s="468"/>
      <c r="J815" s="469"/>
      <c r="K815" s="468"/>
      <c r="L815" s="468"/>
      <c r="M815" s="468"/>
      <c r="N815" s="468"/>
      <c r="O815" s="468"/>
      <c r="P815" s="468"/>
      <c r="Q815" s="468"/>
      <c r="R815" s="375"/>
      <c r="S815" s="415"/>
      <c r="T815" s="415"/>
      <c r="U815" s="377"/>
      <c r="V815" s="377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</row>
    <row r="816" ht="14.25" customHeight="1">
      <c r="A816" s="1"/>
      <c r="B816" s="1"/>
      <c r="C816" s="1"/>
      <c r="D816" s="468"/>
      <c r="E816" s="468"/>
      <c r="F816" s="468"/>
      <c r="G816" s="468"/>
      <c r="H816" s="468"/>
      <c r="I816" s="468"/>
      <c r="J816" s="469"/>
      <c r="K816" s="468"/>
      <c r="L816" s="468"/>
      <c r="M816" s="468"/>
      <c r="N816" s="468"/>
      <c r="O816" s="468"/>
      <c r="P816" s="468"/>
      <c r="Q816" s="468"/>
      <c r="R816" s="375"/>
      <c r="S816" s="415"/>
      <c r="T816" s="415"/>
      <c r="U816" s="377"/>
      <c r="V816" s="377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</row>
    <row r="817" ht="14.25" customHeight="1">
      <c r="A817" s="1"/>
      <c r="B817" s="1"/>
      <c r="C817" s="1"/>
      <c r="D817" s="468"/>
      <c r="E817" s="468"/>
      <c r="F817" s="468"/>
      <c r="G817" s="468"/>
      <c r="H817" s="468"/>
      <c r="I817" s="468"/>
      <c r="J817" s="469"/>
      <c r="K817" s="468"/>
      <c r="L817" s="468"/>
      <c r="M817" s="468"/>
      <c r="N817" s="468"/>
      <c r="O817" s="468"/>
      <c r="P817" s="468"/>
      <c r="Q817" s="468"/>
      <c r="R817" s="375"/>
      <c r="S817" s="415"/>
      <c r="T817" s="415"/>
      <c r="U817" s="377"/>
      <c r="V817" s="377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</row>
    <row r="818" ht="14.25" customHeight="1">
      <c r="A818" s="1"/>
      <c r="B818" s="1"/>
      <c r="C818" s="1"/>
      <c r="D818" s="468"/>
      <c r="E818" s="468"/>
      <c r="F818" s="468"/>
      <c r="G818" s="468"/>
      <c r="H818" s="468"/>
      <c r="I818" s="468"/>
      <c r="J818" s="469"/>
      <c r="K818" s="468"/>
      <c r="L818" s="468"/>
      <c r="M818" s="468"/>
      <c r="N818" s="468"/>
      <c r="O818" s="468"/>
      <c r="P818" s="468"/>
      <c r="Q818" s="468"/>
      <c r="R818" s="375"/>
      <c r="S818" s="415"/>
      <c r="T818" s="415"/>
      <c r="U818" s="377"/>
      <c r="V818" s="377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</row>
    <row r="819" ht="14.25" customHeight="1">
      <c r="A819" s="1"/>
      <c r="B819" s="1"/>
      <c r="C819" s="1"/>
      <c r="D819" s="468"/>
      <c r="E819" s="468"/>
      <c r="F819" s="468"/>
      <c r="G819" s="468"/>
      <c r="H819" s="468"/>
      <c r="I819" s="468"/>
      <c r="J819" s="469"/>
      <c r="K819" s="468"/>
      <c r="L819" s="468"/>
      <c r="M819" s="468"/>
      <c r="N819" s="468"/>
      <c r="O819" s="468"/>
      <c r="P819" s="468"/>
      <c r="Q819" s="468"/>
      <c r="R819" s="375"/>
      <c r="S819" s="415"/>
      <c r="T819" s="415"/>
      <c r="U819" s="377"/>
      <c r="V819" s="377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</row>
    <row r="820" ht="14.25" customHeight="1">
      <c r="A820" s="1"/>
      <c r="B820" s="1"/>
      <c r="C820" s="1"/>
      <c r="D820" s="468"/>
      <c r="E820" s="468"/>
      <c r="F820" s="468"/>
      <c r="G820" s="468"/>
      <c r="H820" s="468"/>
      <c r="I820" s="468"/>
      <c r="J820" s="469"/>
      <c r="K820" s="468"/>
      <c r="L820" s="468"/>
      <c r="M820" s="468"/>
      <c r="N820" s="468"/>
      <c r="O820" s="468"/>
      <c r="P820" s="468"/>
      <c r="Q820" s="468"/>
      <c r="R820" s="375"/>
      <c r="S820" s="415"/>
      <c r="T820" s="415"/>
      <c r="U820" s="377"/>
      <c r="V820" s="377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</row>
    <row r="821" ht="14.25" customHeight="1">
      <c r="A821" s="1"/>
      <c r="B821" s="1"/>
      <c r="C821" s="1"/>
      <c r="D821" s="468"/>
      <c r="E821" s="468"/>
      <c r="F821" s="468"/>
      <c r="G821" s="468"/>
      <c r="H821" s="468"/>
      <c r="I821" s="468"/>
      <c r="J821" s="469"/>
      <c r="K821" s="468"/>
      <c r="L821" s="468"/>
      <c r="M821" s="468"/>
      <c r="N821" s="468"/>
      <c r="O821" s="468"/>
      <c r="P821" s="468"/>
      <c r="Q821" s="468"/>
      <c r="R821" s="375"/>
      <c r="S821" s="415"/>
      <c r="T821" s="415"/>
      <c r="U821" s="377"/>
      <c r="V821" s="377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</row>
    <row r="822" ht="14.25" customHeight="1">
      <c r="A822" s="1"/>
      <c r="B822" s="1"/>
      <c r="C822" s="1"/>
      <c r="D822" s="468"/>
      <c r="E822" s="468"/>
      <c r="F822" s="468"/>
      <c r="G822" s="468"/>
      <c r="H822" s="468"/>
      <c r="I822" s="468"/>
      <c r="J822" s="469"/>
      <c r="K822" s="468"/>
      <c r="L822" s="468"/>
      <c r="M822" s="468"/>
      <c r="N822" s="468"/>
      <c r="O822" s="468"/>
      <c r="P822" s="468"/>
      <c r="Q822" s="468"/>
      <c r="R822" s="375"/>
      <c r="S822" s="415"/>
      <c r="T822" s="415"/>
      <c r="U822" s="377"/>
      <c r="V822" s="377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</row>
    <row r="823" ht="14.25" customHeight="1">
      <c r="A823" s="1"/>
      <c r="B823" s="1"/>
      <c r="C823" s="1"/>
      <c r="D823" s="468"/>
      <c r="E823" s="468"/>
      <c r="F823" s="468"/>
      <c r="G823" s="468"/>
      <c r="H823" s="468"/>
      <c r="I823" s="468"/>
      <c r="J823" s="469"/>
      <c r="K823" s="468"/>
      <c r="L823" s="468"/>
      <c r="M823" s="468"/>
      <c r="N823" s="468"/>
      <c r="O823" s="468"/>
      <c r="P823" s="468"/>
      <c r="Q823" s="468"/>
      <c r="R823" s="375"/>
      <c r="S823" s="415"/>
      <c r="T823" s="415"/>
      <c r="U823" s="377"/>
      <c r="V823" s="377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</row>
    <row r="824" ht="14.25" customHeight="1">
      <c r="A824" s="1"/>
      <c r="B824" s="1"/>
      <c r="C824" s="1"/>
      <c r="D824" s="468"/>
      <c r="E824" s="468"/>
      <c r="F824" s="468"/>
      <c r="G824" s="468"/>
      <c r="H824" s="468"/>
      <c r="I824" s="468"/>
      <c r="J824" s="469"/>
      <c r="K824" s="468"/>
      <c r="L824" s="468"/>
      <c r="M824" s="468"/>
      <c r="N824" s="468"/>
      <c r="O824" s="468"/>
      <c r="P824" s="468"/>
      <c r="Q824" s="468"/>
      <c r="R824" s="375"/>
      <c r="S824" s="415"/>
      <c r="T824" s="415"/>
      <c r="U824" s="377"/>
      <c r="V824" s="377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</row>
    <row r="825" ht="14.25" customHeight="1">
      <c r="A825" s="1"/>
      <c r="B825" s="1"/>
      <c r="C825" s="1"/>
      <c r="D825" s="468"/>
      <c r="E825" s="468"/>
      <c r="F825" s="468"/>
      <c r="G825" s="468"/>
      <c r="H825" s="468"/>
      <c r="I825" s="468"/>
      <c r="J825" s="469"/>
      <c r="K825" s="468"/>
      <c r="L825" s="468"/>
      <c r="M825" s="468"/>
      <c r="N825" s="468"/>
      <c r="O825" s="468"/>
      <c r="P825" s="468"/>
      <c r="Q825" s="468"/>
      <c r="R825" s="375"/>
      <c r="S825" s="415"/>
      <c r="T825" s="415"/>
      <c r="U825" s="377"/>
      <c r="V825" s="377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</row>
    <row r="826" ht="14.25" customHeight="1">
      <c r="A826" s="1"/>
      <c r="B826" s="1"/>
      <c r="C826" s="1"/>
      <c r="D826" s="468"/>
      <c r="E826" s="468"/>
      <c r="F826" s="468"/>
      <c r="G826" s="468"/>
      <c r="H826" s="468"/>
      <c r="I826" s="468"/>
      <c r="J826" s="469"/>
      <c r="K826" s="468"/>
      <c r="L826" s="468"/>
      <c r="M826" s="468"/>
      <c r="N826" s="468"/>
      <c r="O826" s="468"/>
      <c r="P826" s="468"/>
      <c r="Q826" s="468"/>
      <c r="R826" s="375"/>
      <c r="S826" s="415"/>
      <c r="T826" s="415"/>
      <c r="U826" s="377"/>
      <c r="V826" s="377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</row>
    <row r="827" ht="14.25" customHeight="1">
      <c r="A827" s="1"/>
      <c r="B827" s="1"/>
      <c r="C827" s="1"/>
      <c r="D827" s="468"/>
      <c r="E827" s="468"/>
      <c r="F827" s="468"/>
      <c r="G827" s="468"/>
      <c r="H827" s="468"/>
      <c r="I827" s="468"/>
      <c r="J827" s="469"/>
      <c r="K827" s="468"/>
      <c r="L827" s="468"/>
      <c r="M827" s="468"/>
      <c r="N827" s="468"/>
      <c r="O827" s="468"/>
      <c r="P827" s="468"/>
      <c r="Q827" s="468"/>
      <c r="R827" s="375"/>
      <c r="S827" s="415"/>
      <c r="T827" s="415"/>
      <c r="U827" s="377"/>
      <c r="V827" s="377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</row>
    <row r="828" ht="14.25" customHeight="1">
      <c r="A828" s="1"/>
      <c r="B828" s="1"/>
      <c r="C828" s="1"/>
      <c r="D828" s="468"/>
      <c r="E828" s="468"/>
      <c r="F828" s="468"/>
      <c r="G828" s="468"/>
      <c r="H828" s="468"/>
      <c r="I828" s="468"/>
      <c r="J828" s="469"/>
      <c r="K828" s="468"/>
      <c r="L828" s="468"/>
      <c r="M828" s="468"/>
      <c r="N828" s="468"/>
      <c r="O828" s="468"/>
      <c r="P828" s="468"/>
      <c r="Q828" s="468"/>
      <c r="R828" s="375"/>
      <c r="S828" s="415"/>
      <c r="T828" s="415"/>
      <c r="U828" s="377"/>
      <c r="V828" s="377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</row>
    <row r="829" ht="14.25" customHeight="1">
      <c r="A829" s="1"/>
      <c r="B829" s="1"/>
      <c r="C829" s="1"/>
      <c r="D829" s="468"/>
      <c r="E829" s="468"/>
      <c r="F829" s="468"/>
      <c r="G829" s="468"/>
      <c r="H829" s="468"/>
      <c r="I829" s="468"/>
      <c r="J829" s="469"/>
      <c r="K829" s="468"/>
      <c r="L829" s="468"/>
      <c r="M829" s="468"/>
      <c r="N829" s="468"/>
      <c r="O829" s="468"/>
      <c r="P829" s="468"/>
      <c r="Q829" s="468"/>
      <c r="R829" s="375"/>
      <c r="S829" s="415"/>
      <c r="T829" s="415"/>
      <c r="U829" s="377"/>
      <c r="V829" s="377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</row>
    <row r="830" ht="14.25" customHeight="1">
      <c r="A830" s="1"/>
      <c r="B830" s="1"/>
      <c r="C830" s="1"/>
      <c r="D830" s="468"/>
      <c r="E830" s="468"/>
      <c r="F830" s="468"/>
      <c r="G830" s="468"/>
      <c r="H830" s="468"/>
      <c r="I830" s="468"/>
      <c r="J830" s="469"/>
      <c r="K830" s="468"/>
      <c r="L830" s="468"/>
      <c r="M830" s="468"/>
      <c r="N830" s="468"/>
      <c r="O830" s="468"/>
      <c r="P830" s="468"/>
      <c r="Q830" s="468"/>
      <c r="R830" s="375"/>
      <c r="S830" s="415"/>
      <c r="T830" s="415"/>
      <c r="U830" s="377"/>
      <c r="V830" s="377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</row>
    <row r="831" ht="14.25" customHeight="1">
      <c r="A831" s="1"/>
      <c r="B831" s="1"/>
      <c r="C831" s="1"/>
      <c r="D831" s="468"/>
      <c r="E831" s="468"/>
      <c r="F831" s="468"/>
      <c r="G831" s="468"/>
      <c r="H831" s="468"/>
      <c r="I831" s="468"/>
      <c r="J831" s="469"/>
      <c r="K831" s="468"/>
      <c r="L831" s="468"/>
      <c r="M831" s="468"/>
      <c r="N831" s="468"/>
      <c r="O831" s="468"/>
      <c r="P831" s="468"/>
      <c r="Q831" s="468"/>
      <c r="R831" s="375"/>
      <c r="S831" s="415"/>
      <c r="T831" s="415"/>
      <c r="U831" s="377"/>
      <c r="V831" s="377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</row>
    <row r="832" ht="14.25" customHeight="1">
      <c r="A832" s="1"/>
      <c r="B832" s="1"/>
      <c r="C832" s="1"/>
      <c r="D832" s="468"/>
      <c r="E832" s="468"/>
      <c r="F832" s="468"/>
      <c r="G832" s="468"/>
      <c r="H832" s="468"/>
      <c r="I832" s="468"/>
      <c r="J832" s="469"/>
      <c r="K832" s="468"/>
      <c r="L832" s="468"/>
      <c r="M832" s="468"/>
      <c r="N832" s="468"/>
      <c r="O832" s="468"/>
      <c r="P832" s="468"/>
      <c r="Q832" s="468"/>
      <c r="R832" s="375"/>
      <c r="S832" s="415"/>
      <c r="T832" s="415"/>
      <c r="U832" s="377"/>
      <c r="V832" s="377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</row>
    <row r="833" ht="14.25" customHeight="1">
      <c r="A833" s="1"/>
      <c r="B833" s="1"/>
      <c r="C833" s="1"/>
      <c r="D833" s="468"/>
      <c r="E833" s="468"/>
      <c r="F833" s="468"/>
      <c r="G833" s="468"/>
      <c r="H833" s="468"/>
      <c r="I833" s="468"/>
      <c r="J833" s="469"/>
      <c r="K833" s="468"/>
      <c r="L833" s="468"/>
      <c r="M833" s="468"/>
      <c r="N833" s="468"/>
      <c r="O833" s="468"/>
      <c r="P833" s="468"/>
      <c r="Q833" s="468"/>
      <c r="R833" s="375"/>
      <c r="S833" s="415"/>
      <c r="T833" s="415"/>
      <c r="U833" s="377"/>
      <c r="V833" s="377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</row>
    <row r="834" ht="14.25" customHeight="1">
      <c r="A834" s="1"/>
      <c r="B834" s="1"/>
      <c r="C834" s="1"/>
      <c r="D834" s="468"/>
      <c r="E834" s="468"/>
      <c r="F834" s="468"/>
      <c r="G834" s="468"/>
      <c r="H834" s="468"/>
      <c r="I834" s="468"/>
      <c r="J834" s="469"/>
      <c r="K834" s="468"/>
      <c r="L834" s="468"/>
      <c r="M834" s="468"/>
      <c r="N834" s="468"/>
      <c r="O834" s="468"/>
      <c r="P834" s="468"/>
      <c r="Q834" s="468"/>
      <c r="R834" s="375"/>
      <c r="S834" s="415"/>
      <c r="T834" s="415"/>
      <c r="U834" s="377"/>
      <c r="V834" s="377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</row>
    <row r="835" ht="14.25" customHeight="1">
      <c r="A835" s="1"/>
      <c r="B835" s="1"/>
      <c r="C835" s="1"/>
      <c r="D835" s="468"/>
      <c r="E835" s="468"/>
      <c r="F835" s="468"/>
      <c r="G835" s="468"/>
      <c r="H835" s="468"/>
      <c r="I835" s="468"/>
      <c r="J835" s="469"/>
      <c r="K835" s="468"/>
      <c r="L835" s="468"/>
      <c r="M835" s="468"/>
      <c r="N835" s="468"/>
      <c r="O835" s="468"/>
      <c r="P835" s="468"/>
      <c r="Q835" s="468"/>
      <c r="R835" s="375"/>
      <c r="S835" s="415"/>
      <c r="T835" s="415"/>
      <c r="U835" s="377"/>
      <c r="V835" s="377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</row>
    <row r="836" ht="14.25" customHeight="1">
      <c r="A836" s="1"/>
      <c r="B836" s="1"/>
      <c r="C836" s="1"/>
      <c r="D836" s="468"/>
      <c r="E836" s="468"/>
      <c r="F836" s="468"/>
      <c r="G836" s="468"/>
      <c r="H836" s="468"/>
      <c r="I836" s="468"/>
      <c r="J836" s="469"/>
      <c r="K836" s="468"/>
      <c r="L836" s="468"/>
      <c r="M836" s="468"/>
      <c r="N836" s="468"/>
      <c r="O836" s="468"/>
      <c r="P836" s="468"/>
      <c r="Q836" s="468"/>
      <c r="R836" s="375"/>
      <c r="S836" s="415"/>
      <c r="T836" s="415"/>
      <c r="U836" s="377"/>
      <c r="V836" s="377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</row>
    <row r="837" ht="14.25" customHeight="1">
      <c r="A837" s="1"/>
      <c r="B837" s="1"/>
      <c r="C837" s="1"/>
      <c r="D837" s="468"/>
      <c r="E837" s="468"/>
      <c r="F837" s="468"/>
      <c r="G837" s="468"/>
      <c r="H837" s="468"/>
      <c r="I837" s="468"/>
      <c r="J837" s="469"/>
      <c r="K837" s="468"/>
      <c r="L837" s="468"/>
      <c r="M837" s="468"/>
      <c r="N837" s="468"/>
      <c r="O837" s="468"/>
      <c r="P837" s="468"/>
      <c r="Q837" s="468"/>
      <c r="R837" s="375"/>
      <c r="S837" s="415"/>
      <c r="T837" s="415"/>
      <c r="U837" s="377"/>
      <c r="V837" s="377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</row>
    <row r="838" ht="14.25" customHeight="1">
      <c r="A838" s="1"/>
      <c r="B838" s="1"/>
      <c r="C838" s="1"/>
      <c r="D838" s="468"/>
      <c r="E838" s="468"/>
      <c r="F838" s="468"/>
      <c r="G838" s="468"/>
      <c r="H838" s="468"/>
      <c r="I838" s="468"/>
      <c r="J838" s="469"/>
      <c r="K838" s="468"/>
      <c r="L838" s="468"/>
      <c r="M838" s="468"/>
      <c r="N838" s="468"/>
      <c r="O838" s="468"/>
      <c r="P838" s="468"/>
      <c r="Q838" s="468"/>
      <c r="R838" s="375"/>
      <c r="S838" s="415"/>
      <c r="T838" s="415"/>
      <c r="U838" s="377"/>
      <c r="V838" s="377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</row>
    <row r="839" ht="14.25" customHeight="1">
      <c r="A839" s="1"/>
      <c r="B839" s="1"/>
      <c r="C839" s="1"/>
      <c r="D839" s="468"/>
      <c r="E839" s="468"/>
      <c r="F839" s="468"/>
      <c r="G839" s="468"/>
      <c r="H839" s="468"/>
      <c r="I839" s="468"/>
      <c r="J839" s="469"/>
      <c r="K839" s="468"/>
      <c r="L839" s="468"/>
      <c r="M839" s="468"/>
      <c r="N839" s="468"/>
      <c r="O839" s="468"/>
      <c r="P839" s="468"/>
      <c r="Q839" s="468"/>
      <c r="R839" s="375"/>
      <c r="S839" s="415"/>
      <c r="T839" s="415"/>
      <c r="U839" s="377"/>
      <c r="V839" s="377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</row>
    <row r="840" ht="14.25" customHeight="1">
      <c r="A840" s="1"/>
      <c r="B840" s="1"/>
      <c r="C840" s="1"/>
      <c r="D840" s="468"/>
      <c r="E840" s="468"/>
      <c r="F840" s="468"/>
      <c r="G840" s="468"/>
      <c r="H840" s="468"/>
      <c r="I840" s="468"/>
      <c r="J840" s="469"/>
      <c r="K840" s="468"/>
      <c r="L840" s="468"/>
      <c r="M840" s="468"/>
      <c r="N840" s="468"/>
      <c r="O840" s="468"/>
      <c r="P840" s="468"/>
      <c r="Q840" s="468"/>
      <c r="R840" s="375"/>
      <c r="S840" s="415"/>
      <c r="T840" s="415"/>
      <c r="U840" s="377"/>
      <c r="V840" s="377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</row>
    <row r="841" ht="14.25" customHeight="1">
      <c r="A841" s="1"/>
      <c r="B841" s="1"/>
      <c r="C841" s="1"/>
      <c r="D841" s="468"/>
      <c r="E841" s="468"/>
      <c r="F841" s="468"/>
      <c r="G841" s="468"/>
      <c r="H841" s="468"/>
      <c r="I841" s="468"/>
      <c r="J841" s="469"/>
      <c r="K841" s="468"/>
      <c r="L841" s="468"/>
      <c r="M841" s="468"/>
      <c r="N841" s="468"/>
      <c r="O841" s="468"/>
      <c r="P841" s="468"/>
      <c r="Q841" s="468"/>
      <c r="R841" s="375"/>
      <c r="S841" s="415"/>
      <c r="T841" s="415"/>
      <c r="U841" s="377"/>
      <c r="V841" s="377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</row>
    <row r="842" ht="14.25" customHeight="1">
      <c r="A842" s="1"/>
      <c r="B842" s="1"/>
      <c r="C842" s="1"/>
      <c r="D842" s="468"/>
      <c r="E842" s="468"/>
      <c r="F842" s="468"/>
      <c r="G842" s="468"/>
      <c r="H842" s="468"/>
      <c r="I842" s="468"/>
      <c r="J842" s="469"/>
      <c r="K842" s="468"/>
      <c r="L842" s="468"/>
      <c r="M842" s="468"/>
      <c r="N842" s="468"/>
      <c r="O842" s="468"/>
      <c r="P842" s="468"/>
      <c r="Q842" s="468"/>
      <c r="R842" s="375"/>
      <c r="S842" s="415"/>
      <c r="T842" s="415"/>
      <c r="U842" s="377"/>
      <c r="V842" s="377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</row>
    <row r="843" ht="14.25" customHeight="1">
      <c r="A843" s="1"/>
      <c r="B843" s="1"/>
      <c r="C843" s="1"/>
      <c r="D843" s="468"/>
      <c r="E843" s="468"/>
      <c r="F843" s="468"/>
      <c r="G843" s="468"/>
      <c r="H843" s="468"/>
      <c r="I843" s="468"/>
      <c r="J843" s="469"/>
      <c r="K843" s="468"/>
      <c r="L843" s="468"/>
      <c r="M843" s="468"/>
      <c r="N843" s="468"/>
      <c r="O843" s="468"/>
      <c r="P843" s="468"/>
      <c r="Q843" s="468"/>
      <c r="R843" s="375"/>
      <c r="S843" s="415"/>
      <c r="T843" s="415"/>
      <c r="U843" s="377"/>
      <c r="V843" s="377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</row>
    <row r="844" ht="14.25" customHeight="1">
      <c r="A844" s="1"/>
      <c r="B844" s="1"/>
      <c r="C844" s="1"/>
      <c r="D844" s="468"/>
      <c r="E844" s="468"/>
      <c r="F844" s="468"/>
      <c r="G844" s="468"/>
      <c r="H844" s="468"/>
      <c r="I844" s="468"/>
      <c r="J844" s="469"/>
      <c r="K844" s="468"/>
      <c r="L844" s="468"/>
      <c r="M844" s="468"/>
      <c r="N844" s="468"/>
      <c r="O844" s="468"/>
      <c r="P844" s="468"/>
      <c r="Q844" s="468"/>
      <c r="R844" s="375"/>
      <c r="S844" s="415"/>
      <c r="T844" s="415"/>
      <c r="U844" s="377"/>
      <c r="V844" s="377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</row>
    <row r="845" ht="14.25" customHeight="1">
      <c r="A845" s="1"/>
      <c r="B845" s="1"/>
      <c r="C845" s="1"/>
      <c r="D845" s="468"/>
      <c r="E845" s="468"/>
      <c r="F845" s="468"/>
      <c r="G845" s="468"/>
      <c r="H845" s="468"/>
      <c r="I845" s="468"/>
      <c r="J845" s="469"/>
      <c r="K845" s="468"/>
      <c r="L845" s="468"/>
      <c r="M845" s="468"/>
      <c r="N845" s="468"/>
      <c r="O845" s="468"/>
      <c r="P845" s="468"/>
      <c r="Q845" s="468"/>
      <c r="R845" s="375"/>
      <c r="S845" s="415"/>
      <c r="T845" s="415"/>
      <c r="U845" s="377"/>
      <c r="V845" s="377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</row>
    <row r="846" ht="14.25" customHeight="1">
      <c r="A846" s="1"/>
      <c r="B846" s="1"/>
      <c r="C846" s="1"/>
      <c r="D846" s="468"/>
      <c r="E846" s="468"/>
      <c r="F846" s="468"/>
      <c r="G846" s="468"/>
      <c r="H846" s="468"/>
      <c r="I846" s="468"/>
      <c r="J846" s="469"/>
      <c r="K846" s="468"/>
      <c r="L846" s="468"/>
      <c r="M846" s="468"/>
      <c r="N846" s="468"/>
      <c r="O846" s="468"/>
      <c r="P846" s="468"/>
      <c r="Q846" s="468"/>
      <c r="R846" s="375"/>
      <c r="S846" s="415"/>
      <c r="T846" s="415"/>
      <c r="U846" s="377"/>
      <c r="V846" s="377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</row>
    <row r="847" ht="14.25" customHeight="1">
      <c r="A847" s="1"/>
      <c r="B847" s="1"/>
      <c r="C847" s="1"/>
      <c r="D847" s="468"/>
      <c r="E847" s="468"/>
      <c r="F847" s="468"/>
      <c r="G847" s="468"/>
      <c r="H847" s="468"/>
      <c r="I847" s="468"/>
      <c r="J847" s="469"/>
      <c r="K847" s="468"/>
      <c r="L847" s="468"/>
      <c r="M847" s="468"/>
      <c r="N847" s="468"/>
      <c r="O847" s="468"/>
      <c r="P847" s="468"/>
      <c r="Q847" s="468"/>
      <c r="R847" s="375"/>
      <c r="S847" s="415"/>
      <c r="T847" s="415"/>
      <c r="U847" s="377"/>
      <c r="V847" s="377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</row>
    <row r="848" ht="14.25" customHeight="1">
      <c r="A848" s="1"/>
      <c r="B848" s="1"/>
      <c r="C848" s="1"/>
      <c r="D848" s="468"/>
      <c r="E848" s="468"/>
      <c r="F848" s="468"/>
      <c r="G848" s="468"/>
      <c r="H848" s="468"/>
      <c r="I848" s="468"/>
      <c r="J848" s="469"/>
      <c r="K848" s="468"/>
      <c r="L848" s="468"/>
      <c r="M848" s="468"/>
      <c r="N848" s="468"/>
      <c r="O848" s="468"/>
      <c r="P848" s="468"/>
      <c r="Q848" s="468"/>
      <c r="R848" s="375"/>
      <c r="S848" s="415"/>
      <c r="T848" s="415"/>
      <c r="U848" s="377"/>
      <c r="V848" s="377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</row>
    <row r="849" ht="14.25" customHeight="1">
      <c r="A849" s="1"/>
      <c r="B849" s="1"/>
      <c r="C849" s="1"/>
      <c r="D849" s="468"/>
      <c r="E849" s="468"/>
      <c r="F849" s="468"/>
      <c r="G849" s="468"/>
      <c r="H849" s="468"/>
      <c r="I849" s="468"/>
      <c r="J849" s="469"/>
      <c r="K849" s="468"/>
      <c r="L849" s="468"/>
      <c r="M849" s="468"/>
      <c r="N849" s="468"/>
      <c r="O849" s="468"/>
      <c r="P849" s="468"/>
      <c r="Q849" s="468"/>
      <c r="R849" s="375"/>
      <c r="S849" s="415"/>
      <c r="T849" s="415"/>
      <c r="U849" s="377"/>
      <c r="V849" s="377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</row>
    <row r="850" ht="14.25" customHeight="1">
      <c r="A850" s="1"/>
      <c r="B850" s="1"/>
      <c r="C850" s="1"/>
      <c r="D850" s="468"/>
      <c r="E850" s="468"/>
      <c r="F850" s="468"/>
      <c r="G850" s="468"/>
      <c r="H850" s="468"/>
      <c r="I850" s="468"/>
      <c r="J850" s="469"/>
      <c r="K850" s="468"/>
      <c r="L850" s="468"/>
      <c r="M850" s="468"/>
      <c r="N850" s="468"/>
      <c r="O850" s="468"/>
      <c r="P850" s="468"/>
      <c r="Q850" s="468"/>
      <c r="R850" s="375"/>
      <c r="S850" s="415"/>
      <c r="T850" s="415"/>
      <c r="U850" s="377"/>
      <c r="V850" s="377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</row>
    <row r="851" ht="14.25" customHeight="1">
      <c r="A851" s="1"/>
      <c r="B851" s="1"/>
      <c r="C851" s="1"/>
      <c r="D851" s="468"/>
      <c r="E851" s="468"/>
      <c r="F851" s="468"/>
      <c r="G851" s="468"/>
      <c r="H851" s="468"/>
      <c r="I851" s="468"/>
      <c r="J851" s="469"/>
      <c r="K851" s="468"/>
      <c r="L851" s="468"/>
      <c r="M851" s="468"/>
      <c r="N851" s="468"/>
      <c r="O851" s="468"/>
      <c r="P851" s="468"/>
      <c r="Q851" s="468"/>
      <c r="R851" s="375"/>
      <c r="S851" s="415"/>
      <c r="T851" s="415"/>
      <c r="U851" s="377"/>
      <c r="V851" s="377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</row>
    <row r="852" ht="14.25" customHeight="1">
      <c r="A852" s="1"/>
      <c r="B852" s="1"/>
      <c r="C852" s="1"/>
      <c r="D852" s="468"/>
      <c r="E852" s="468"/>
      <c r="F852" s="468"/>
      <c r="G852" s="468"/>
      <c r="H852" s="468"/>
      <c r="I852" s="468"/>
      <c r="J852" s="469"/>
      <c r="K852" s="468"/>
      <c r="L852" s="468"/>
      <c r="M852" s="468"/>
      <c r="N852" s="468"/>
      <c r="O852" s="468"/>
      <c r="P852" s="468"/>
      <c r="Q852" s="468"/>
      <c r="R852" s="375"/>
      <c r="S852" s="415"/>
      <c r="T852" s="415"/>
      <c r="U852" s="377"/>
      <c r="V852" s="377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</row>
    <row r="853" ht="14.25" customHeight="1">
      <c r="A853" s="1"/>
      <c r="B853" s="1"/>
      <c r="C853" s="1"/>
      <c r="D853" s="468"/>
      <c r="E853" s="468"/>
      <c r="F853" s="468"/>
      <c r="G853" s="468"/>
      <c r="H853" s="468"/>
      <c r="I853" s="468"/>
      <c r="J853" s="469"/>
      <c r="K853" s="468"/>
      <c r="L853" s="468"/>
      <c r="M853" s="468"/>
      <c r="N853" s="468"/>
      <c r="O853" s="468"/>
      <c r="P853" s="468"/>
      <c r="Q853" s="468"/>
      <c r="R853" s="375"/>
      <c r="S853" s="415"/>
      <c r="T853" s="415"/>
      <c r="U853" s="377"/>
      <c r="V853" s="377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</row>
    <row r="854" ht="14.25" customHeight="1">
      <c r="A854" s="1"/>
      <c r="B854" s="1"/>
      <c r="C854" s="1"/>
      <c r="D854" s="468"/>
      <c r="E854" s="468"/>
      <c r="F854" s="468"/>
      <c r="G854" s="468"/>
      <c r="H854" s="468"/>
      <c r="I854" s="468"/>
      <c r="J854" s="469"/>
      <c r="K854" s="468"/>
      <c r="L854" s="468"/>
      <c r="M854" s="468"/>
      <c r="N854" s="468"/>
      <c r="O854" s="468"/>
      <c r="P854" s="468"/>
      <c r="Q854" s="468"/>
      <c r="R854" s="375"/>
      <c r="S854" s="415"/>
      <c r="T854" s="415"/>
      <c r="U854" s="377"/>
      <c r="V854" s="377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</row>
    <row r="855" ht="14.25" customHeight="1">
      <c r="A855" s="1"/>
      <c r="B855" s="1"/>
      <c r="C855" s="1"/>
      <c r="D855" s="468"/>
      <c r="E855" s="468"/>
      <c r="F855" s="468"/>
      <c r="G855" s="468"/>
      <c r="H855" s="468"/>
      <c r="I855" s="468"/>
      <c r="J855" s="469"/>
      <c r="K855" s="468"/>
      <c r="L855" s="468"/>
      <c r="M855" s="468"/>
      <c r="N855" s="468"/>
      <c r="O855" s="468"/>
      <c r="P855" s="468"/>
      <c r="Q855" s="468"/>
      <c r="R855" s="375"/>
      <c r="S855" s="415"/>
      <c r="T855" s="415"/>
      <c r="U855" s="377"/>
      <c r="V855" s="377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</row>
    <row r="856" ht="14.25" customHeight="1">
      <c r="A856" s="1"/>
      <c r="B856" s="1"/>
      <c r="C856" s="1"/>
      <c r="D856" s="468"/>
      <c r="E856" s="468"/>
      <c r="F856" s="468"/>
      <c r="G856" s="468"/>
      <c r="H856" s="468"/>
      <c r="I856" s="468"/>
      <c r="J856" s="469"/>
      <c r="K856" s="468"/>
      <c r="L856" s="468"/>
      <c r="M856" s="468"/>
      <c r="N856" s="468"/>
      <c r="O856" s="468"/>
      <c r="P856" s="468"/>
      <c r="Q856" s="468"/>
      <c r="R856" s="375"/>
      <c r="S856" s="415"/>
      <c r="T856" s="415"/>
      <c r="U856" s="377"/>
      <c r="V856" s="377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</row>
    <row r="857" ht="14.25" customHeight="1">
      <c r="A857" s="1"/>
      <c r="B857" s="1"/>
      <c r="C857" s="1"/>
      <c r="D857" s="468"/>
      <c r="E857" s="468"/>
      <c r="F857" s="468"/>
      <c r="G857" s="468"/>
      <c r="H857" s="468"/>
      <c r="I857" s="468"/>
      <c r="J857" s="469"/>
      <c r="K857" s="468"/>
      <c r="L857" s="468"/>
      <c r="M857" s="468"/>
      <c r="N857" s="468"/>
      <c r="O857" s="468"/>
      <c r="P857" s="468"/>
      <c r="Q857" s="468"/>
      <c r="R857" s="375"/>
      <c r="S857" s="415"/>
      <c r="T857" s="415"/>
      <c r="U857" s="377"/>
      <c r="V857" s="377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</row>
    <row r="858" ht="14.25" customHeight="1">
      <c r="A858" s="1"/>
      <c r="B858" s="1"/>
      <c r="C858" s="1"/>
      <c r="D858" s="468"/>
      <c r="E858" s="468"/>
      <c r="F858" s="468"/>
      <c r="G858" s="468"/>
      <c r="H858" s="468"/>
      <c r="I858" s="468"/>
      <c r="J858" s="469"/>
      <c r="K858" s="468"/>
      <c r="L858" s="468"/>
      <c r="M858" s="468"/>
      <c r="N858" s="468"/>
      <c r="O858" s="468"/>
      <c r="P858" s="468"/>
      <c r="Q858" s="468"/>
      <c r="R858" s="375"/>
      <c r="S858" s="415"/>
      <c r="T858" s="415"/>
      <c r="U858" s="377"/>
      <c r="V858" s="377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</row>
    <row r="859" ht="14.25" customHeight="1">
      <c r="A859" s="1"/>
      <c r="B859" s="1"/>
      <c r="C859" s="1"/>
      <c r="D859" s="468"/>
      <c r="E859" s="468"/>
      <c r="F859" s="468"/>
      <c r="G859" s="468"/>
      <c r="H859" s="468"/>
      <c r="I859" s="468"/>
      <c r="J859" s="469"/>
      <c r="K859" s="468"/>
      <c r="L859" s="468"/>
      <c r="M859" s="468"/>
      <c r="N859" s="468"/>
      <c r="O859" s="468"/>
      <c r="P859" s="468"/>
      <c r="Q859" s="468"/>
      <c r="R859" s="375"/>
      <c r="S859" s="415"/>
      <c r="T859" s="415"/>
      <c r="U859" s="377"/>
      <c r="V859" s="377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</row>
    <row r="860" ht="14.25" customHeight="1">
      <c r="A860" s="1"/>
      <c r="B860" s="1"/>
      <c r="C860" s="1"/>
      <c r="D860" s="468"/>
      <c r="E860" s="468"/>
      <c r="F860" s="468"/>
      <c r="G860" s="468"/>
      <c r="H860" s="468"/>
      <c r="I860" s="468"/>
      <c r="J860" s="469"/>
      <c r="K860" s="468"/>
      <c r="L860" s="468"/>
      <c r="M860" s="468"/>
      <c r="N860" s="468"/>
      <c r="O860" s="468"/>
      <c r="P860" s="468"/>
      <c r="Q860" s="468"/>
      <c r="R860" s="375"/>
      <c r="S860" s="415"/>
      <c r="T860" s="415"/>
      <c r="U860" s="377"/>
      <c r="V860" s="377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</row>
    <row r="861" ht="14.25" customHeight="1">
      <c r="A861" s="1"/>
      <c r="B861" s="1"/>
      <c r="C861" s="1"/>
      <c r="D861" s="468"/>
      <c r="E861" s="468"/>
      <c r="F861" s="468"/>
      <c r="G861" s="468"/>
      <c r="H861" s="468"/>
      <c r="I861" s="468"/>
      <c r="J861" s="469"/>
      <c r="K861" s="468"/>
      <c r="L861" s="468"/>
      <c r="M861" s="468"/>
      <c r="N861" s="468"/>
      <c r="O861" s="468"/>
      <c r="P861" s="468"/>
      <c r="Q861" s="468"/>
      <c r="R861" s="375"/>
      <c r="S861" s="415"/>
      <c r="T861" s="415"/>
      <c r="U861" s="377"/>
      <c r="V861" s="377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</row>
    <row r="862" ht="14.25" customHeight="1">
      <c r="A862" s="1"/>
      <c r="B862" s="1"/>
      <c r="C862" s="1"/>
      <c r="D862" s="468"/>
      <c r="E862" s="468"/>
      <c r="F862" s="468"/>
      <c r="G862" s="468"/>
      <c r="H862" s="468"/>
      <c r="I862" s="468"/>
      <c r="J862" s="469"/>
      <c r="K862" s="468"/>
      <c r="L862" s="468"/>
      <c r="M862" s="468"/>
      <c r="N862" s="468"/>
      <c r="O862" s="468"/>
      <c r="P862" s="468"/>
      <c r="Q862" s="468"/>
      <c r="R862" s="375"/>
      <c r="S862" s="415"/>
      <c r="T862" s="415"/>
      <c r="U862" s="377"/>
      <c r="V862" s="377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</row>
    <row r="863" ht="14.25" customHeight="1">
      <c r="A863" s="1"/>
      <c r="B863" s="1"/>
      <c r="C863" s="1"/>
      <c r="D863" s="468"/>
      <c r="E863" s="468"/>
      <c r="F863" s="468"/>
      <c r="G863" s="468"/>
      <c r="H863" s="468"/>
      <c r="I863" s="468"/>
      <c r="J863" s="469"/>
      <c r="K863" s="468"/>
      <c r="L863" s="468"/>
      <c r="M863" s="468"/>
      <c r="N863" s="468"/>
      <c r="O863" s="468"/>
      <c r="P863" s="468"/>
      <c r="Q863" s="468"/>
      <c r="R863" s="375"/>
      <c r="S863" s="415"/>
      <c r="T863" s="415"/>
      <c r="U863" s="377"/>
      <c r="V863" s="377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</row>
    <row r="864" ht="14.25" customHeight="1">
      <c r="A864" s="1"/>
      <c r="B864" s="1"/>
      <c r="C864" s="1"/>
      <c r="D864" s="468"/>
      <c r="E864" s="468"/>
      <c r="F864" s="468"/>
      <c r="G864" s="468"/>
      <c r="H864" s="468"/>
      <c r="I864" s="468"/>
      <c r="J864" s="469"/>
      <c r="K864" s="468"/>
      <c r="L864" s="468"/>
      <c r="M864" s="468"/>
      <c r="N864" s="468"/>
      <c r="O864" s="468"/>
      <c r="P864" s="468"/>
      <c r="Q864" s="468"/>
      <c r="R864" s="375"/>
      <c r="S864" s="415"/>
      <c r="T864" s="415"/>
      <c r="U864" s="377"/>
      <c r="V864" s="377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</row>
    <row r="865" ht="14.25" customHeight="1">
      <c r="A865" s="1"/>
      <c r="B865" s="1"/>
      <c r="C865" s="1"/>
      <c r="D865" s="468"/>
      <c r="E865" s="468"/>
      <c r="F865" s="468"/>
      <c r="G865" s="468"/>
      <c r="H865" s="468"/>
      <c r="I865" s="468"/>
      <c r="J865" s="469"/>
      <c r="K865" s="468"/>
      <c r="L865" s="468"/>
      <c r="M865" s="468"/>
      <c r="N865" s="468"/>
      <c r="O865" s="468"/>
      <c r="P865" s="468"/>
      <c r="Q865" s="468"/>
      <c r="R865" s="375"/>
      <c r="S865" s="415"/>
      <c r="T865" s="415"/>
      <c r="U865" s="377"/>
      <c r="V865" s="377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</row>
    <row r="866" ht="14.25" customHeight="1">
      <c r="A866" s="1"/>
      <c r="B866" s="1"/>
      <c r="C866" s="1"/>
      <c r="D866" s="468"/>
      <c r="E866" s="468"/>
      <c r="F866" s="468"/>
      <c r="G866" s="468"/>
      <c r="H866" s="468"/>
      <c r="I866" s="468"/>
      <c r="J866" s="469"/>
      <c r="K866" s="468"/>
      <c r="L866" s="468"/>
      <c r="M866" s="468"/>
      <c r="N866" s="468"/>
      <c r="O866" s="468"/>
      <c r="P866" s="468"/>
      <c r="Q866" s="468"/>
      <c r="R866" s="375"/>
      <c r="S866" s="415"/>
      <c r="T866" s="415"/>
      <c r="U866" s="377"/>
      <c r="V866" s="377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</row>
    <row r="867" ht="14.25" customHeight="1">
      <c r="A867" s="1"/>
      <c r="B867" s="1"/>
      <c r="C867" s="1"/>
      <c r="D867" s="468"/>
      <c r="E867" s="468"/>
      <c r="F867" s="468"/>
      <c r="G867" s="468"/>
      <c r="H867" s="468"/>
      <c r="I867" s="468"/>
      <c r="J867" s="469"/>
      <c r="K867" s="468"/>
      <c r="L867" s="468"/>
      <c r="M867" s="468"/>
      <c r="N867" s="468"/>
      <c r="O867" s="468"/>
      <c r="P867" s="468"/>
      <c r="Q867" s="468"/>
      <c r="R867" s="375"/>
      <c r="S867" s="415"/>
      <c r="T867" s="415"/>
      <c r="U867" s="377"/>
      <c r="V867" s="377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</row>
    <row r="868" ht="14.25" customHeight="1">
      <c r="A868" s="1"/>
      <c r="B868" s="1"/>
      <c r="C868" s="1"/>
      <c r="D868" s="468"/>
      <c r="E868" s="468"/>
      <c r="F868" s="468"/>
      <c r="G868" s="468"/>
      <c r="H868" s="468"/>
      <c r="I868" s="468"/>
      <c r="J868" s="469"/>
      <c r="K868" s="468"/>
      <c r="L868" s="468"/>
      <c r="M868" s="468"/>
      <c r="N868" s="468"/>
      <c r="O868" s="468"/>
      <c r="P868" s="468"/>
      <c r="Q868" s="468"/>
      <c r="R868" s="375"/>
      <c r="S868" s="415"/>
      <c r="T868" s="415"/>
      <c r="U868" s="377"/>
      <c r="V868" s="377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</row>
    <row r="869" ht="14.25" customHeight="1">
      <c r="A869" s="1"/>
      <c r="B869" s="1"/>
      <c r="C869" s="1"/>
      <c r="D869" s="468"/>
      <c r="E869" s="468"/>
      <c r="F869" s="468"/>
      <c r="G869" s="468"/>
      <c r="H869" s="468"/>
      <c r="I869" s="468"/>
      <c r="J869" s="469"/>
      <c r="K869" s="468"/>
      <c r="L869" s="468"/>
      <c r="M869" s="468"/>
      <c r="N869" s="468"/>
      <c r="O869" s="468"/>
      <c r="P869" s="468"/>
      <c r="Q869" s="468"/>
      <c r="R869" s="375"/>
      <c r="S869" s="415"/>
      <c r="T869" s="415"/>
      <c r="U869" s="377"/>
      <c r="V869" s="377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</row>
    <row r="870" ht="14.25" customHeight="1">
      <c r="A870" s="1"/>
      <c r="B870" s="1"/>
      <c r="C870" s="1"/>
      <c r="D870" s="468"/>
      <c r="E870" s="468"/>
      <c r="F870" s="468"/>
      <c r="G870" s="468"/>
      <c r="H870" s="468"/>
      <c r="I870" s="468"/>
      <c r="J870" s="469"/>
      <c r="K870" s="468"/>
      <c r="L870" s="468"/>
      <c r="M870" s="468"/>
      <c r="N870" s="468"/>
      <c r="O870" s="468"/>
      <c r="P870" s="468"/>
      <c r="Q870" s="468"/>
      <c r="R870" s="375"/>
      <c r="S870" s="415"/>
      <c r="T870" s="415"/>
      <c r="U870" s="377"/>
      <c r="V870" s="377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</row>
    <row r="871" ht="14.25" customHeight="1">
      <c r="A871" s="1"/>
      <c r="B871" s="1"/>
      <c r="C871" s="1"/>
      <c r="D871" s="468"/>
      <c r="E871" s="468"/>
      <c r="F871" s="468"/>
      <c r="G871" s="468"/>
      <c r="H871" s="468"/>
      <c r="I871" s="468"/>
      <c r="J871" s="469"/>
      <c r="K871" s="468"/>
      <c r="L871" s="468"/>
      <c r="M871" s="468"/>
      <c r="N871" s="468"/>
      <c r="O871" s="468"/>
      <c r="P871" s="468"/>
      <c r="Q871" s="468"/>
      <c r="R871" s="375"/>
      <c r="S871" s="415"/>
      <c r="T871" s="415"/>
      <c r="U871" s="377"/>
      <c r="V871" s="377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</row>
    <row r="872" ht="14.25" customHeight="1">
      <c r="A872" s="1"/>
      <c r="B872" s="1"/>
      <c r="C872" s="1"/>
      <c r="D872" s="468"/>
      <c r="E872" s="468"/>
      <c r="F872" s="468"/>
      <c r="G872" s="468"/>
      <c r="H872" s="468"/>
      <c r="I872" s="468"/>
      <c r="J872" s="469"/>
      <c r="K872" s="468"/>
      <c r="L872" s="468"/>
      <c r="M872" s="468"/>
      <c r="N872" s="468"/>
      <c r="O872" s="468"/>
      <c r="P872" s="468"/>
      <c r="Q872" s="468"/>
      <c r="R872" s="375"/>
      <c r="S872" s="415"/>
      <c r="T872" s="415"/>
      <c r="U872" s="377"/>
      <c r="V872" s="377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</row>
    <row r="873" ht="14.25" customHeight="1">
      <c r="A873" s="1"/>
      <c r="B873" s="1"/>
      <c r="C873" s="1"/>
      <c r="D873" s="468"/>
      <c r="E873" s="468"/>
      <c r="F873" s="468"/>
      <c r="G873" s="468"/>
      <c r="H873" s="468"/>
      <c r="I873" s="468"/>
      <c r="J873" s="469"/>
      <c r="K873" s="468"/>
      <c r="L873" s="468"/>
      <c r="M873" s="468"/>
      <c r="N873" s="468"/>
      <c r="O873" s="468"/>
      <c r="P873" s="468"/>
      <c r="Q873" s="468"/>
      <c r="R873" s="375"/>
      <c r="S873" s="415"/>
      <c r="T873" s="415"/>
      <c r="U873" s="377"/>
      <c r="V873" s="377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</row>
    <row r="874" ht="14.25" customHeight="1">
      <c r="A874" s="1"/>
      <c r="B874" s="1"/>
      <c r="C874" s="1"/>
      <c r="D874" s="468"/>
      <c r="E874" s="468"/>
      <c r="F874" s="468"/>
      <c r="G874" s="468"/>
      <c r="H874" s="468"/>
      <c r="I874" s="468"/>
      <c r="J874" s="469"/>
      <c r="K874" s="468"/>
      <c r="L874" s="468"/>
      <c r="M874" s="468"/>
      <c r="N874" s="468"/>
      <c r="O874" s="468"/>
      <c r="P874" s="468"/>
      <c r="Q874" s="468"/>
      <c r="R874" s="375"/>
      <c r="S874" s="415"/>
      <c r="T874" s="415"/>
      <c r="U874" s="377"/>
      <c r="V874" s="377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</row>
    <row r="875" ht="14.25" customHeight="1">
      <c r="A875" s="1"/>
      <c r="B875" s="1"/>
      <c r="C875" s="1"/>
      <c r="D875" s="468"/>
      <c r="E875" s="468"/>
      <c r="F875" s="468"/>
      <c r="G875" s="468"/>
      <c r="H875" s="468"/>
      <c r="I875" s="468"/>
      <c r="J875" s="469"/>
      <c r="K875" s="468"/>
      <c r="L875" s="468"/>
      <c r="M875" s="468"/>
      <c r="N875" s="468"/>
      <c r="O875" s="468"/>
      <c r="P875" s="468"/>
      <c r="Q875" s="468"/>
      <c r="R875" s="375"/>
      <c r="S875" s="415"/>
      <c r="T875" s="415"/>
      <c r="U875" s="377"/>
      <c r="V875" s="377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</row>
    <row r="876" ht="14.25" customHeight="1">
      <c r="A876" s="1"/>
      <c r="B876" s="1"/>
      <c r="C876" s="1"/>
      <c r="D876" s="468"/>
      <c r="E876" s="468"/>
      <c r="F876" s="468"/>
      <c r="G876" s="468"/>
      <c r="H876" s="468"/>
      <c r="I876" s="468"/>
      <c r="J876" s="469"/>
      <c r="K876" s="468"/>
      <c r="L876" s="468"/>
      <c r="M876" s="468"/>
      <c r="N876" s="468"/>
      <c r="O876" s="468"/>
      <c r="P876" s="468"/>
      <c r="Q876" s="468"/>
      <c r="R876" s="375"/>
      <c r="S876" s="415"/>
      <c r="T876" s="415"/>
      <c r="U876" s="377"/>
      <c r="V876" s="377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</row>
    <row r="877" ht="14.25" customHeight="1">
      <c r="A877" s="1"/>
      <c r="B877" s="1"/>
      <c r="C877" s="1"/>
      <c r="D877" s="468"/>
      <c r="E877" s="468"/>
      <c r="F877" s="468"/>
      <c r="G877" s="468"/>
      <c r="H877" s="468"/>
      <c r="I877" s="468"/>
      <c r="J877" s="469"/>
      <c r="K877" s="468"/>
      <c r="L877" s="468"/>
      <c r="M877" s="468"/>
      <c r="N877" s="468"/>
      <c r="O877" s="468"/>
      <c r="P877" s="468"/>
      <c r="Q877" s="468"/>
      <c r="R877" s="375"/>
      <c r="S877" s="415"/>
      <c r="T877" s="415"/>
      <c r="U877" s="377"/>
      <c r="V877" s="377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</row>
    <row r="878" ht="14.25" customHeight="1">
      <c r="A878" s="1"/>
      <c r="B878" s="1"/>
      <c r="C878" s="1"/>
      <c r="D878" s="468"/>
      <c r="E878" s="468"/>
      <c r="F878" s="468"/>
      <c r="G878" s="468"/>
      <c r="H878" s="468"/>
      <c r="I878" s="468"/>
      <c r="J878" s="469"/>
      <c r="K878" s="468"/>
      <c r="L878" s="468"/>
      <c r="M878" s="468"/>
      <c r="N878" s="468"/>
      <c r="O878" s="468"/>
      <c r="P878" s="468"/>
      <c r="Q878" s="468"/>
      <c r="R878" s="375"/>
      <c r="S878" s="415"/>
      <c r="T878" s="415"/>
      <c r="U878" s="377"/>
      <c r="V878" s="377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</row>
    <row r="879" ht="14.25" customHeight="1">
      <c r="A879" s="1"/>
      <c r="B879" s="1"/>
      <c r="C879" s="1"/>
      <c r="D879" s="468"/>
      <c r="E879" s="468"/>
      <c r="F879" s="468"/>
      <c r="G879" s="468"/>
      <c r="H879" s="468"/>
      <c r="I879" s="468"/>
      <c r="J879" s="469"/>
      <c r="K879" s="468"/>
      <c r="L879" s="468"/>
      <c r="M879" s="468"/>
      <c r="N879" s="468"/>
      <c r="O879" s="468"/>
      <c r="P879" s="468"/>
      <c r="Q879" s="468"/>
      <c r="R879" s="375"/>
      <c r="S879" s="415"/>
      <c r="T879" s="415"/>
      <c r="U879" s="377"/>
      <c r="V879" s="377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</row>
    <row r="880" ht="14.25" customHeight="1">
      <c r="A880" s="1"/>
      <c r="B880" s="1"/>
      <c r="C880" s="1"/>
      <c r="D880" s="468"/>
      <c r="E880" s="468"/>
      <c r="F880" s="468"/>
      <c r="G880" s="468"/>
      <c r="H880" s="468"/>
      <c r="I880" s="468"/>
      <c r="J880" s="469"/>
      <c r="K880" s="468"/>
      <c r="L880" s="468"/>
      <c r="M880" s="468"/>
      <c r="N880" s="468"/>
      <c r="O880" s="468"/>
      <c r="P880" s="468"/>
      <c r="Q880" s="468"/>
      <c r="R880" s="375"/>
      <c r="S880" s="415"/>
      <c r="T880" s="415"/>
      <c r="U880" s="377"/>
      <c r="V880" s="377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</row>
    <row r="881" ht="14.25" customHeight="1">
      <c r="A881" s="1"/>
      <c r="B881" s="1"/>
      <c r="C881" s="1"/>
      <c r="D881" s="468"/>
      <c r="E881" s="468"/>
      <c r="F881" s="468"/>
      <c r="G881" s="468"/>
      <c r="H881" s="468"/>
      <c r="I881" s="468"/>
      <c r="J881" s="469"/>
      <c r="K881" s="468"/>
      <c r="L881" s="468"/>
      <c r="M881" s="468"/>
      <c r="N881" s="468"/>
      <c r="O881" s="468"/>
      <c r="P881" s="468"/>
      <c r="Q881" s="468"/>
      <c r="R881" s="375"/>
      <c r="S881" s="415"/>
      <c r="T881" s="415"/>
      <c r="U881" s="377"/>
      <c r="V881" s="377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</row>
    <row r="882" ht="14.25" customHeight="1">
      <c r="A882" s="1"/>
      <c r="B882" s="1"/>
      <c r="C882" s="1"/>
      <c r="D882" s="468"/>
      <c r="E882" s="468"/>
      <c r="F882" s="468"/>
      <c r="G882" s="468"/>
      <c r="H882" s="468"/>
      <c r="I882" s="468"/>
      <c r="J882" s="469"/>
      <c r="K882" s="468"/>
      <c r="L882" s="468"/>
      <c r="M882" s="468"/>
      <c r="N882" s="468"/>
      <c r="O882" s="468"/>
      <c r="P882" s="468"/>
      <c r="Q882" s="468"/>
      <c r="R882" s="375"/>
      <c r="S882" s="415"/>
      <c r="T882" s="415"/>
      <c r="U882" s="377"/>
      <c r="V882" s="377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</row>
    <row r="883" ht="14.25" customHeight="1">
      <c r="A883" s="1"/>
      <c r="B883" s="1"/>
      <c r="C883" s="1"/>
      <c r="D883" s="468"/>
      <c r="E883" s="468"/>
      <c r="F883" s="468"/>
      <c r="G883" s="468"/>
      <c r="H883" s="468"/>
      <c r="I883" s="468"/>
      <c r="J883" s="469"/>
      <c r="K883" s="468"/>
      <c r="L883" s="468"/>
      <c r="M883" s="468"/>
      <c r="N883" s="468"/>
      <c r="O883" s="468"/>
      <c r="P883" s="468"/>
      <c r="Q883" s="468"/>
      <c r="R883" s="375"/>
      <c r="S883" s="415"/>
      <c r="T883" s="415"/>
      <c r="U883" s="377"/>
      <c r="V883" s="377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</row>
    <row r="884" ht="14.25" customHeight="1">
      <c r="A884" s="1"/>
      <c r="B884" s="1"/>
      <c r="C884" s="1"/>
      <c r="D884" s="468"/>
      <c r="E884" s="468"/>
      <c r="F884" s="468"/>
      <c r="G884" s="468"/>
      <c r="H884" s="468"/>
      <c r="I884" s="468"/>
      <c r="J884" s="469"/>
      <c r="K884" s="468"/>
      <c r="L884" s="468"/>
      <c r="M884" s="468"/>
      <c r="N884" s="468"/>
      <c r="O884" s="468"/>
      <c r="P884" s="468"/>
      <c r="Q884" s="468"/>
      <c r="R884" s="375"/>
      <c r="S884" s="415"/>
      <c r="T884" s="415"/>
      <c r="U884" s="377"/>
      <c r="V884" s="377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</row>
    <row r="885" ht="14.25" customHeight="1">
      <c r="A885" s="1"/>
      <c r="B885" s="1"/>
      <c r="C885" s="1"/>
      <c r="D885" s="468"/>
      <c r="E885" s="468"/>
      <c r="F885" s="468"/>
      <c r="G885" s="468"/>
      <c r="H885" s="468"/>
      <c r="I885" s="468"/>
      <c r="J885" s="469"/>
      <c r="K885" s="468"/>
      <c r="L885" s="468"/>
      <c r="M885" s="468"/>
      <c r="N885" s="468"/>
      <c r="O885" s="468"/>
      <c r="P885" s="468"/>
      <c r="Q885" s="468"/>
      <c r="R885" s="375"/>
      <c r="S885" s="415"/>
      <c r="T885" s="415"/>
      <c r="U885" s="377"/>
      <c r="V885" s="377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</row>
    <row r="886" ht="14.25" customHeight="1">
      <c r="A886" s="1"/>
      <c r="B886" s="1"/>
      <c r="C886" s="1"/>
      <c r="D886" s="468"/>
      <c r="E886" s="468"/>
      <c r="F886" s="468"/>
      <c r="G886" s="468"/>
      <c r="H886" s="468"/>
      <c r="I886" s="468"/>
      <c r="J886" s="469"/>
      <c r="K886" s="468"/>
      <c r="L886" s="468"/>
      <c r="M886" s="468"/>
      <c r="N886" s="468"/>
      <c r="O886" s="468"/>
      <c r="P886" s="468"/>
      <c r="Q886" s="468"/>
      <c r="R886" s="375"/>
      <c r="S886" s="415"/>
      <c r="T886" s="415"/>
      <c r="U886" s="377"/>
      <c r="V886" s="377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</row>
    <row r="887" ht="14.25" customHeight="1">
      <c r="A887" s="1"/>
      <c r="B887" s="1"/>
      <c r="C887" s="1"/>
      <c r="D887" s="468"/>
      <c r="E887" s="468"/>
      <c r="F887" s="468"/>
      <c r="G887" s="468"/>
      <c r="H887" s="468"/>
      <c r="I887" s="468"/>
      <c r="J887" s="469"/>
      <c r="K887" s="468"/>
      <c r="L887" s="468"/>
      <c r="M887" s="468"/>
      <c r="N887" s="468"/>
      <c r="O887" s="468"/>
      <c r="P887" s="468"/>
      <c r="Q887" s="468"/>
      <c r="R887" s="375"/>
      <c r="S887" s="415"/>
      <c r="T887" s="415"/>
      <c r="U887" s="377"/>
      <c r="V887" s="377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</row>
    <row r="888" ht="14.25" customHeight="1">
      <c r="A888" s="1"/>
      <c r="B888" s="1"/>
      <c r="C888" s="1"/>
      <c r="D888" s="468"/>
      <c r="E888" s="468"/>
      <c r="F888" s="468"/>
      <c r="G888" s="468"/>
      <c r="H888" s="468"/>
      <c r="I888" s="468"/>
      <c r="J888" s="469"/>
      <c r="K888" s="468"/>
      <c r="L888" s="468"/>
      <c r="M888" s="468"/>
      <c r="N888" s="468"/>
      <c r="O888" s="468"/>
      <c r="P888" s="468"/>
      <c r="Q888" s="468"/>
      <c r="R888" s="375"/>
      <c r="S888" s="415"/>
      <c r="T888" s="415"/>
      <c r="U888" s="377"/>
      <c r="V888" s="377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</row>
    <row r="889" ht="14.25" customHeight="1">
      <c r="A889" s="1"/>
      <c r="B889" s="1"/>
      <c r="C889" s="1"/>
      <c r="D889" s="468"/>
      <c r="E889" s="468"/>
      <c r="F889" s="468"/>
      <c r="G889" s="468"/>
      <c r="H889" s="468"/>
      <c r="I889" s="468"/>
      <c r="J889" s="469"/>
      <c r="K889" s="468"/>
      <c r="L889" s="468"/>
      <c r="M889" s="468"/>
      <c r="N889" s="468"/>
      <c r="O889" s="468"/>
      <c r="P889" s="468"/>
      <c r="Q889" s="468"/>
      <c r="R889" s="375"/>
      <c r="S889" s="415"/>
      <c r="T889" s="415"/>
      <c r="U889" s="377"/>
      <c r="V889" s="377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</row>
    <row r="890" ht="14.25" customHeight="1">
      <c r="A890" s="1"/>
      <c r="B890" s="1"/>
      <c r="C890" s="1"/>
      <c r="D890" s="468"/>
      <c r="E890" s="468"/>
      <c r="F890" s="468"/>
      <c r="G890" s="468"/>
      <c r="H890" s="468"/>
      <c r="I890" s="468"/>
      <c r="J890" s="469"/>
      <c r="K890" s="468"/>
      <c r="L890" s="468"/>
      <c r="M890" s="468"/>
      <c r="N890" s="468"/>
      <c r="O890" s="468"/>
      <c r="P890" s="468"/>
      <c r="Q890" s="468"/>
      <c r="R890" s="375"/>
      <c r="S890" s="415"/>
      <c r="T890" s="415"/>
      <c r="U890" s="377"/>
      <c r="V890" s="377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</row>
    <row r="891" ht="14.25" customHeight="1">
      <c r="A891" s="1"/>
      <c r="B891" s="1"/>
      <c r="C891" s="1"/>
      <c r="D891" s="468"/>
      <c r="E891" s="468"/>
      <c r="F891" s="468"/>
      <c r="G891" s="468"/>
      <c r="H891" s="468"/>
      <c r="I891" s="468"/>
      <c r="J891" s="469"/>
      <c r="K891" s="468"/>
      <c r="L891" s="468"/>
      <c r="M891" s="468"/>
      <c r="N891" s="468"/>
      <c r="O891" s="468"/>
      <c r="P891" s="468"/>
      <c r="Q891" s="468"/>
      <c r="R891" s="375"/>
      <c r="S891" s="415"/>
      <c r="T891" s="415"/>
      <c r="U891" s="377"/>
      <c r="V891" s="377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</row>
    <row r="892" ht="14.25" customHeight="1">
      <c r="A892" s="1"/>
      <c r="B892" s="1"/>
      <c r="C892" s="1"/>
      <c r="D892" s="468"/>
      <c r="E892" s="468"/>
      <c r="F892" s="468"/>
      <c r="G892" s="468"/>
      <c r="H892" s="468"/>
      <c r="I892" s="468"/>
      <c r="J892" s="469"/>
      <c r="K892" s="468"/>
      <c r="L892" s="468"/>
      <c r="M892" s="468"/>
      <c r="N892" s="468"/>
      <c r="O892" s="468"/>
      <c r="P892" s="468"/>
      <c r="Q892" s="468"/>
      <c r="R892" s="375"/>
      <c r="S892" s="415"/>
      <c r="T892" s="415"/>
      <c r="U892" s="377"/>
      <c r="V892" s="377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</row>
    <row r="893" ht="14.25" customHeight="1">
      <c r="A893" s="1"/>
      <c r="B893" s="1"/>
      <c r="C893" s="1"/>
      <c r="D893" s="468"/>
      <c r="E893" s="468"/>
      <c r="F893" s="468"/>
      <c r="G893" s="468"/>
      <c r="H893" s="468"/>
      <c r="I893" s="468"/>
      <c r="J893" s="469"/>
      <c r="K893" s="468"/>
      <c r="L893" s="468"/>
      <c r="M893" s="468"/>
      <c r="N893" s="468"/>
      <c r="O893" s="468"/>
      <c r="P893" s="468"/>
      <c r="Q893" s="468"/>
      <c r="R893" s="375"/>
      <c r="S893" s="415"/>
      <c r="T893" s="415"/>
      <c r="U893" s="377"/>
      <c r="V893" s="377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</row>
    <row r="894" ht="14.25" customHeight="1">
      <c r="A894" s="1"/>
      <c r="B894" s="1"/>
      <c r="C894" s="1"/>
      <c r="D894" s="468"/>
      <c r="E894" s="468"/>
      <c r="F894" s="468"/>
      <c r="G894" s="468"/>
      <c r="H894" s="468"/>
      <c r="I894" s="468"/>
      <c r="J894" s="469"/>
      <c r="K894" s="468"/>
      <c r="L894" s="468"/>
      <c r="M894" s="468"/>
      <c r="N894" s="468"/>
      <c r="O894" s="468"/>
      <c r="P894" s="468"/>
      <c r="Q894" s="468"/>
      <c r="R894" s="375"/>
      <c r="S894" s="415"/>
      <c r="T894" s="415"/>
      <c r="U894" s="377"/>
      <c r="V894" s="377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</row>
    <row r="895" ht="14.25" customHeight="1">
      <c r="A895" s="1"/>
      <c r="B895" s="1"/>
      <c r="C895" s="1"/>
      <c r="D895" s="468"/>
      <c r="E895" s="468"/>
      <c r="F895" s="468"/>
      <c r="G895" s="468"/>
      <c r="H895" s="468"/>
      <c r="I895" s="468"/>
      <c r="J895" s="469"/>
      <c r="K895" s="468"/>
      <c r="L895" s="468"/>
      <c r="M895" s="468"/>
      <c r="N895" s="468"/>
      <c r="O895" s="468"/>
      <c r="P895" s="468"/>
      <c r="Q895" s="468"/>
      <c r="R895" s="375"/>
      <c r="S895" s="415"/>
      <c r="T895" s="415"/>
      <c r="U895" s="377"/>
      <c r="V895" s="377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</row>
    <row r="896" ht="14.25" customHeight="1">
      <c r="A896" s="1"/>
      <c r="B896" s="1"/>
      <c r="C896" s="1"/>
      <c r="D896" s="468"/>
      <c r="E896" s="468"/>
      <c r="F896" s="468"/>
      <c r="G896" s="468"/>
      <c r="H896" s="468"/>
      <c r="I896" s="468"/>
      <c r="J896" s="469"/>
      <c r="K896" s="468"/>
      <c r="L896" s="468"/>
      <c r="M896" s="468"/>
      <c r="N896" s="468"/>
      <c r="O896" s="468"/>
      <c r="P896" s="468"/>
      <c r="Q896" s="468"/>
      <c r="R896" s="375"/>
      <c r="S896" s="415"/>
      <c r="T896" s="415"/>
      <c r="U896" s="377"/>
      <c r="V896" s="377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</row>
    <row r="897" ht="14.25" customHeight="1">
      <c r="A897" s="1"/>
      <c r="B897" s="1"/>
      <c r="C897" s="1"/>
      <c r="D897" s="468"/>
      <c r="E897" s="468"/>
      <c r="F897" s="468"/>
      <c r="G897" s="468"/>
      <c r="H897" s="468"/>
      <c r="I897" s="468"/>
      <c r="J897" s="469"/>
      <c r="K897" s="468"/>
      <c r="L897" s="468"/>
      <c r="M897" s="468"/>
      <c r="N897" s="468"/>
      <c r="O897" s="468"/>
      <c r="P897" s="468"/>
      <c r="Q897" s="468"/>
      <c r="R897" s="375"/>
      <c r="S897" s="415"/>
      <c r="T897" s="415"/>
      <c r="U897" s="377"/>
      <c r="V897" s="377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</row>
    <row r="898" ht="14.25" customHeight="1">
      <c r="A898" s="1"/>
      <c r="B898" s="1"/>
      <c r="C898" s="1"/>
      <c r="D898" s="468"/>
      <c r="E898" s="468"/>
      <c r="F898" s="468"/>
      <c r="G898" s="468"/>
      <c r="H898" s="468"/>
      <c r="I898" s="468"/>
      <c r="J898" s="469"/>
      <c r="K898" s="468"/>
      <c r="L898" s="468"/>
      <c r="M898" s="468"/>
      <c r="N898" s="468"/>
      <c r="O898" s="468"/>
      <c r="P898" s="468"/>
      <c r="Q898" s="468"/>
      <c r="R898" s="375"/>
      <c r="S898" s="415"/>
      <c r="T898" s="415"/>
      <c r="U898" s="377"/>
      <c r="V898" s="377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</row>
    <row r="899" ht="14.25" customHeight="1">
      <c r="A899" s="1"/>
      <c r="B899" s="1"/>
      <c r="C899" s="1"/>
      <c r="D899" s="468"/>
      <c r="E899" s="468"/>
      <c r="F899" s="468"/>
      <c r="G899" s="468"/>
      <c r="H899" s="468"/>
      <c r="I899" s="468"/>
      <c r="J899" s="469"/>
      <c r="K899" s="468"/>
      <c r="L899" s="468"/>
      <c r="M899" s="468"/>
      <c r="N899" s="468"/>
      <c r="O899" s="468"/>
      <c r="P899" s="468"/>
      <c r="Q899" s="468"/>
      <c r="R899" s="375"/>
      <c r="S899" s="415"/>
      <c r="T899" s="415"/>
      <c r="U899" s="377"/>
      <c r="V899" s="377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</row>
    <row r="900" ht="14.25" customHeight="1">
      <c r="A900" s="1"/>
      <c r="B900" s="1"/>
      <c r="C900" s="1"/>
      <c r="D900" s="468"/>
      <c r="E900" s="468"/>
      <c r="F900" s="468"/>
      <c r="G900" s="468"/>
      <c r="H900" s="468"/>
      <c r="I900" s="468"/>
      <c r="J900" s="469"/>
      <c r="K900" s="468"/>
      <c r="L900" s="468"/>
      <c r="M900" s="468"/>
      <c r="N900" s="468"/>
      <c r="O900" s="468"/>
      <c r="P900" s="468"/>
      <c r="Q900" s="468"/>
      <c r="R900" s="375"/>
      <c r="S900" s="415"/>
      <c r="T900" s="415"/>
      <c r="U900" s="377"/>
      <c r="V900" s="377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</row>
    <row r="901" ht="14.25" customHeight="1">
      <c r="A901" s="1"/>
      <c r="B901" s="1"/>
      <c r="C901" s="1"/>
      <c r="D901" s="468"/>
      <c r="E901" s="468"/>
      <c r="F901" s="468"/>
      <c r="G901" s="468"/>
      <c r="H901" s="468"/>
      <c r="I901" s="468"/>
      <c r="J901" s="469"/>
      <c r="K901" s="468"/>
      <c r="L901" s="468"/>
      <c r="M901" s="468"/>
      <c r="N901" s="468"/>
      <c r="O901" s="468"/>
      <c r="P901" s="468"/>
      <c r="Q901" s="468"/>
      <c r="R901" s="375"/>
      <c r="S901" s="415"/>
      <c r="T901" s="415"/>
      <c r="U901" s="377"/>
      <c r="V901" s="377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</row>
    <row r="902" ht="14.25" customHeight="1">
      <c r="A902" s="1"/>
      <c r="B902" s="1"/>
      <c r="C902" s="1"/>
      <c r="D902" s="468"/>
      <c r="E902" s="468"/>
      <c r="F902" s="468"/>
      <c r="G902" s="468"/>
      <c r="H902" s="468"/>
      <c r="I902" s="468"/>
      <c r="J902" s="469"/>
      <c r="K902" s="468"/>
      <c r="L902" s="468"/>
      <c r="M902" s="468"/>
      <c r="N902" s="468"/>
      <c r="O902" s="468"/>
      <c r="P902" s="468"/>
      <c r="Q902" s="468"/>
      <c r="R902" s="375"/>
      <c r="S902" s="415"/>
      <c r="T902" s="415"/>
      <c r="U902" s="377"/>
      <c r="V902" s="377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</row>
    <row r="903" ht="14.25" customHeight="1">
      <c r="A903" s="1"/>
      <c r="B903" s="1"/>
      <c r="C903" s="1"/>
      <c r="D903" s="468"/>
      <c r="E903" s="468"/>
      <c r="F903" s="468"/>
      <c r="G903" s="468"/>
      <c r="H903" s="468"/>
      <c r="I903" s="468"/>
      <c r="J903" s="469"/>
      <c r="K903" s="468"/>
      <c r="L903" s="468"/>
      <c r="M903" s="468"/>
      <c r="N903" s="468"/>
      <c r="O903" s="468"/>
      <c r="P903" s="468"/>
      <c r="Q903" s="468"/>
      <c r="R903" s="375"/>
      <c r="S903" s="415"/>
      <c r="T903" s="415"/>
      <c r="U903" s="377"/>
      <c r="V903" s="377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</row>
    <row r="904" ht="14.25" customHeight="1">
      <c r="A904" s="1"/>
      <c r="B904" s="1"/>
      <c r="C904" s="1"/>
      <c r="D904" s="468"/>
      <c r="E904" s="468"/>
      <c r="F904" s="468"/>
      <c r="G904" s="468"/>
      <c r="H904" s="468"/>
      <c r="I904" s="468"/>
      <c r="J904" s="469"/>
      <c r="K904" s="468"/>
      <c r="L904" s="468"/>
      <c r="M904" s="468"/>
      <c r="N904" s="468"/>
      <c r="O904" s="468"/>
      <c r="P904" s="468"/>
      <c r="Q904" s="468"/>
      <c r="R904" s="375"/>
      <c r="S904" s="415"/>
      <c r="T904" s="415"/>
      <c r="U904" s="377"/>
      <c r="V904" s="377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</row>
    <row r="905" ht="14.25" customHeight="1">
      <c r="A905" s="1"/>
      <c r="B905" s="1"/>
      <c r="C905" s="1"/>
      <c r="D905" s="468"/>
      <c r="E905" s="468"/>
      <c r="F905" s="468"/>
      <c r="G905" s="468"/>
      <c r="H905" s="468"/>
      <c r="I905" s="468"/>
      <c r="J905" s="469"/>
      <c r="K905" s="468"/>
      <c r="L905" s="468"/>
      <c r="M905" s="468"/>
      <c r="N905" s="468"/>
      <c r="O905" s="468"/>
      <c r="P905" s="468"/>
      <c r="Q905" s="468"/>
      <c r="R905" s="375"/>
      <c r="S905" s="415"/>
      <c r="T905" s="415"/>
      <c r="U905" s="377"/>
      <c r="V905" s="377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</row>
    <row r="906" ht="14.25" customHeight="1">
      <c r="A906" s="1"/>
      <c r="B906" s="1"/>
      <c r="C906" s="1"/>
      <c r="D906" s="468"/>
      <c r="E906" s="468"/>
      <c r="F906" s="468"/>
      <c r="G906" s="468"/>
      <c r="H906" s="468"/>
      <c r="I906" s="468"/>
      <c r="J906" s="469"/>
      <c r="K906" s="468"/>
      <c r="L906" s="468"/>
      <c r="M906" s="468"/>
      <c r="N906" s="468"/>
      <c r="O906" s="468"/>
      <c r="P906" s="468"/>
      <c r="Q906" s="468"/>
      <c r="R906" s="375"/>
      <c r="S906" s="415"/>
      <c r="T906" s="415"/>
      <c r="U906" s="377"/>
      <c r="V906" s="377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</row>
    <row r="907" ht="14.25" customHeight="1">
      <c r="A907" s="1"/>
      <c r="B907" s="1"/>
      <c r="C907" s="1"/>
      <c r="D907" s="468"/>
      <c r="E907" s="468"/>
      <c r="F907" s="468"/>
      <c r="G907" s="468"/>
      <c r="H907" s="468"/>
      <c r="I907" s="468"/>
      <c r="J907" s="469"/>
      <c r="K907" s="468"/>
      <c r="L907" s="468"/>
      <c r="M907" s="468"/>
      <c r="N907" s="468"/>
      <c r="O907" s="468"/>
      <c r="P907" s="468"/>
      <c r="Q907" s="468"/>
      <c r="R907" s="375"/>
      <c r="S907" s="415"/>
      <c r="T907" s="415"/>
      <c r="U907" s="377"/>
      <c r="V907" s="377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</row>
    <row r="908" ht="14.25" customHeight="1">
      <c r="A908" s="1"/>
      <c r="B908" s="1"/>
      <c r="C908" s="1"/>
      <c r="D908" s="468"/>
      <c r="E908" s="468"/>
      <c r="F908" s="468"/>
      <c r="G908" s="468"/>
      <c r="H908" s="468"/>
      <c r="I908" s="468"/>
      <c r="J908" s="469"/>
      <c r="K908" s="468"/>
      <c r="L908" s="468"/>
      <c r="M908" s="468"/>
      <c r="N908" s="468"/>
      <c r="O908" s="468"/>
      <c r="P908" s="468"/>
      <c r="Q908" s="468"/>
      <c r="R908" s="375"/>
      <c r="S908" s="415"/>
      <c r="T908" s="415"/>
      <c r="U908" s="377"/>
      <c r="V908" s="377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</row>
    <row r="909" ht="14.25" customHeight="1">
      <c r="A909" s="1"/>
      <c r="B909" s="1"/>
      <c r="C909" s="1"/>
      <c r="D909" s="468"/>
      <c r="E909" s="468"/>
      <c r="F909" s="468"/>
      <c r="G909" s="468"/>
      <c r="H909" s="468"/>
      <c r="I909" s="468"/>
      <c r="J909" s="469"/>
      <c r="K909" s="468"/>
      <c r="L909" s="468"/>
      <c r="M909" s="468"/>
      <c r="N909" s="468"/>
      <c r="O909" s="468"/>
      <c r="P909" s="468"/>
      <c r="Q909" s="468"/>
      <c r="R909" s="375"/>
      <c r="S909" s="415"/>
      <c r="T909" s="415"/>
      <c r="U909" s="377"/>
      <c r="V909" s="377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</row>
    <row r="910" ht="14.25" customHeight="1">
      <c r="A910" s="1"/>
      <c r="B910" s="1"/>
      <c r="C910" s="1"/>
      <c r="D910" s="468"/>
      <c r="E910" s="468"/>
      <c r="F910" s="468"/>
      <c r="G910" s="468"/>
      <c r="H910" s="468"/>
      <c r="I910" s="468"/>
      <c r="J910" s="469"/>
      <c r="K910" s="468"/>
      <c r="L910" s="468"/>
      <c r="M910" s="468"/>
      <c r="N910" s="468"/>
      <c r="O910" s="468"/>
      <c r="P910" s="468"/>
      <c r="Q910" s="468"/>
      <c r="R910" s="375"/>
      <c r="S910" s="415"/>
      <c r="T910" s="415"/>
      <c r="U910" s="377"/>
      <c r="V910" s="377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</row>
    <row r="911" ht="14.25" customHeight="1">
      <c r="A911" s="1"/>
      <c r="B911" s="1"/>
      <c r="C911" s="1"/>
      <c r="D911" s="468"/>
      <c r="E911" s="468"/>
      <c r="F911" s="468"/>
      <c r="G911" s="468"/>
      <c r="H911" s="468"/>
      <c r="I911" s="468"/>
      <c r="J911" s="469"/>
      <c r="K911" s="468"/>
      <c r="L911" s="468"/>
      <c r="M911" s="468"/>
      <c r="N911" s="468"/>
      <c r="O911" s="468"/>
      <c r="P911" s="468"/>
      <c r="Q911" s="468"/>
      <c r="R911" s="375"/>
      <c r="S911" s="415"/>
      <c r="T911" s="415"/>
      <c r="U911" s="377"/>
      <c r="V911" s="377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</row>
    <row r="912" ht="14.25" customHeight="1">
      <c r="A912" s="1"/>
      <c r="B912" s="1"/>
      <c r="C912" s="1"/>
      <c r="D912" s="468"/>
      <c r="E912" s="468"/>
      <c r="F912" s="468"/>
      <c r="G912" s="468"/>
      <c r="H912" s="468"/>
      <c r="I912" s="468"/>
      <c r="J912" s="469"/>
      <c r="K912" s="468"/>
      <c r="L912" s="468"/>
      <c r="M912" s="468"/>
      <c r="N912" s="468"/>
      <c r="O912" s="468"/>
      <c r="P912" s="468"/>
      <c r="Q912" s="468"/>
      <c r="R912" s="375"/>
      <c r="S912" s="415"/>
      <c r="T912" s="415"/>
      <c r="U912" s="377"/>
      <c r="V912" s="377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</row>
    <row r="913" ht="14.25" customHeight="1">
      <c r="A913" s="1"/>
      <c r="B913" s="1"/>
      <c r="C913" s="1"/>
      <c r="D913" s="468"/>
      <c r="E913" s="468"/>
      <c r="F913" s="468"/>
      <c r="G913" s="468"/>
      <c r="H913" s="468"/>
      <c r="I913" s="468"/>
      <c r="J913" s="469"/>
      <c r="K913" s="468"/>
      <c r="L913" s="468"/>
      <c r="M913" s="468"/>
      <c r="N913" s="468"/>
      <c r="O913" s="468"/>
      <c r="P913" s="468"/>
      <c r="Q913" s="468"/>
      <c r="R913" s="375"/>
      <c r="S913" s="415"/>
      <c r="T913" s="415"/>
      <c r="U913" s="377"/>
      <c r="V913" s="377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</row>
    <row r="914" ht="14.25" customHeight="1">
      <c r="A914" s="1"/>
      <c r="B914" s="1"/>
      <c r="C914" s="1"/>
      <c r="D914" s="468"/>
      <c r="E914" s="468"/>
      <c r="F914" s="468"/>
      <c r="G914" s="468"/>
      <c r="H914" s="468"/>
      <c r="I914" s="468"/>
      <c r="J914" s="469"/>
      <c r="K914" s="468"/>
      <c r="L914" s="468"/>
      <c r="M914" s="468"/>
      <c r="N914" s="468"/>
      <c r="O914" s="468"/>
      <c r="P914" s="468"/>
      <c r="Q914" s="468"/>
      <c r="R914" s="375"/>
      <c r="S914" s="415"/>
      <c r="T914" s="415"/>
      <c r="U914" s="377"/>
      <c r="V914" s="377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</row>
    <row r="915" ht="14.25" customHeight="1">
      <c r="A915" s="1"/>
      <c r="B915" s="1"/>
      <c r="C915" s="1"/>
      <c r="D915" s="468"/>
      <c r="E915" s="468"/>
      <c r="F915" s="468"/>
      <c r="G915" s="468"/>
      <c r="H915" s="468"/>
      <c r="I915" s="468"/>
      <c r="J915" s="469"/>
      <c r="K915" s="468"/>
      <c r="L915" s="468"/>
      <c r="M915" s="468"/>
      <c r="N915" s="468"/>
      <c r="O915" s="468"/>
      <c r="P915" s="468"/>
      <c r="Q915" s="468"/>
      <c r="R915" s="375"/>
      <c r="S915" s="415"/>
      <c r="T915" s="415"/>
      <c r="U915" s="377"/>
      <c r="V915" s="377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</row>
    <row r="916" ht="14.25" customHeight="1">
      <c r="A916" s="1"/>
      <c r="B916" s="1"/>
      <c r="C916" s="1"/>
      <c r="D916" s="468"/>
      <c r="E916" s="468"/>
      <c r="F916" s="468"/>
      <c r="G916" s="468"/>
      <c r="H916" s="468"/>
      <c r="I916" s="468"/>
      <c r="J916" s="469"/>
      <c r="K916" s="468"/>
      <c r="L916" s="468"/>
      <c r="M916" s="468"/>
      <c r="N916" s="468"/>
      <c r="O916" s="468"/>
      <c r="P916" s="468"/>
      <c r="Q916" s="468"/>
      <c r="R916" s="375"/>
      <c r="S916" s="415"/>
      <c r="T916" s="415"/>
      <c r="U916" s="377"/>
      <c r="V916" s="377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</row>
    <row r="917" ht="14.25" customHeight="1">
      <c r="A917" s="1"/>
      <c r="B917" s="1"/>
      <c r="C917" s="1"/>
      <c r="D917" s="468"/>
      <c r="E917" s="468"/>
      <c r="F917" s="468"/>
      <c r="G917" s="468"/>
      <c r="H917" s="468"/>
      <c r="I917" s="468"/>
      <c r="J917" s="469"/>
      <c r="K917" s="468"/>
      <c r="L917" s="468"/>
      <c r="M917" s="468"/>
      <c r="N917" s="468"/>
      <c r="O917" s="468"/>
      <c r="P917" s="468"/>
      <c r="Q917" s="468"/>
      <c r="R917" s="375"/>
      <c r="S917" s="415"/>
      <c r="T917" s="415"/>
      <c r="U917" s="377"/>
      <c r="V917" s="377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</row>
    <row r="918" ht="14.25" customHeight="1">
      <c r="A918" s="1"/>
      <c r="B918" s="1"/>
      <c r="C918" s="1"/>
      <c r="D918" s="468"/>
      <c r="E918" s="468"/>
      <c r="F918" s="468"/>
      <c r="G918" s="468"/>
      <c r="H918" s="468"/>
      <c r="I918" s="468"/>
      <c r="J918" s="469"/>
      <c r="K918" s="468"/>
      <c r="L918" s="468"/>
      <c r="M918" s="468"/>
      <c r="N918" s="468"/>
      <c r="O918" s="468"/>
      <c r="P918" s="468"/>
      <c r="Q918" s="468"/>
      <c r="R918" s="375"/>
      <c r="S918" s="415"/>
      <c r="T918" s="415"/>
      <c r="U918" s="377"/>
      <c r="V918" s="377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</row>
    <row r="919" ht="14.25" customHeight="1">
      <c r="A919" s="1"/>
      <c r="B919" s="1"/>
      <c r="C919" s="1"/>
      <c r="D919" s="468"/>
      <c r="E919" s="468"/>
      <c r="F919" s="468"/>
      <c r="G919" s="468"/>
      <c r="H919" s="468"/>
      <c r="I919" s="468"/>
      <c r="J919" s="469"/>
      <c r="K919" s="468"/>
      <c r="L919" s="468"/>
      <c r="M919" s="468"/>
      <c r="N919" s="468"/>
      <c r="O919" s="468"/>
      <c r="P919" s="468"/>
      <c r="Q919" s="468"/>
      <c r="R919" s="375"/>
      <c r="S919" s="415"/>
      <c r="T919" s="415"/>
      <c r="U919" s="377"/>
      <c r="V919" s="377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</row>
    <row r="920" ht="14.25" customHeight="1">
      <c r="A920" s="1"/>
      <c r="B920" s="1"/>
      <c r="C920" s="1"/>
      <c r="D920" s="468"/>
      <c r="E920" s="468"/>
      <c r="F920" s="468"/>
      <c r="G920" s="468"/>
      <c r="H920" s="468"/>
      <c r="I920" s="468"/>
      <c r="J920" s="469"/>
      <c r="K920" s="468"/>
      <c r="L920" s="468"/>
      <c r="M920" s="468"/>
      <c r="N920" s="468"/>
      <c r="O920" s="468"/>
      <c r="P920" s="468"/>
      <c r="Q920" s="468"/>
      <c r="R920" s="375"/>
      <c r="S920" s="415"/>
      <c r="T920" s="415"/>
      <c r="U920" s="377"/>
      <c r="V920" s="377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</row>
    <row r="921" ht="14.25" customHeight="1">
      <c r="A921" s="1"/>
      <c r="B921" s="1"/>
      <c r="C921" s="1"/>
      <c r="D921" s="468"/>
      <c r="E921" s="468"/>
      <c r="F921" s="468"/>
      <c r="G921" s="468"/>
      <c r="H921" s="468"/>
      <c r="I921" s="468"/>
      <c r="J921" s="469"/>
      <c r="K921" s="468"/>
      <c r="L921" s="468"/>
      <c r="M921" s="468"/>
      <c r="N921" s="468"/>
      <c r="O921" s="468"/>
      <c r="P921" s="468"/>
      <c r="Q921" s="468"/>
      <c r="R921" s="375"/>
      <c r="S921" s="415"/>
      <c r="T921" s="415"/>
      <c r="U921" s="377"/>
      <c r="V921" s="377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</row>
    <row r="922" ht="14.25" customHeight="1">
      <c r="A922" s="1"/>
      <c r="B922" s="1"/>
      <c r="C922" s="1"/>
      <c r="D922" s="468"/>
      <c r="E922" s="468"/>
      <c r="F922" s="468"/>
      <c r="G922" s="468"/>
      <c r="H922" s="468"/>
      <c r="I922" s="468"/>
      <c r="J922" s="469"/>
      <c r="K922" s="468"/>
      <c r="L922" s="468"/>
      <c r="M922" s="468"/>
      <c r="N922" s="468"/>
      <c r="O922" s="468"/>
      <c r="P922" s="468"/>
      <c r="Q922" s="468"/>
      <c r="R922" s="375"/>
      <c r="S922" s="415"/>
      <c r="T922" s="415"/>
      <c r="U922" s="377"/>
      <c r="V922" s="377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</row>
    <row r="923" ht="14.25" customHeight="1">
      <c r="A923" s="1"/>
      <c r="B923" s="1"/>
      <c r="C923" s="1"/>
      <c r="D923" s="468"/>
      <c r="E923" s="468"/>
      <c r="F923" s="468"/>
      <c r="G923" s="468"/>
      <c r="H923" s="468"/>
      <c r="I923" s="468"/>
      <c r="J923" s="469"/>
      <c r="K923" s="468"/>
      <c r="L923" s="468"/>
      <c r="M923" s="468"/>
      <c r="N923" s="468"/>
      <c r="O923" s="468"/>
      <c r="P923" s="468"/>
      <c r="Q923" s="468"/>
      <c r="R923" s="375"/>
      <c r="S923" s="415"/>
      <c r="T923" s="415"/>
      <c r="U923" s="377"/>
      <c r="V923" s="377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</row>
    <row r="924" ht="14.25" customHeight="1">
      <c r="A924" s="1"/>
      <c r="B924" s="1"/>
      <c r="C924" s="1"/>
      <c r="D924" s="468"/>
      <c r="E924" s="468"/>
      <c r="F924" s="468"/>
      <c r="G924" s="468"/>
      <c r="H924" s="468"/>
      <c r="I924" s="468"/>
      <c r="J924" s="469"/>
      <c r="K924" s="468"/>
      <c r="L924" s="468"/>
      <c r="M924" s="468"/>
      <c r="N924" s="468"/>
      <c r="O924" s="468"/>
      <c r="P924" s="468"/>
      <c r="Q924" s="468"/>
      <c r="R924" s="375"/>
      <c r="S924" s="415"/>
      <c r="T924" s="415"/>
      <c r="U924" s="377"/>
      <c r="V924" s="377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</row>
    <row r="925" ht="14.25" customHeight="1">
      <c r="A925" s="1"/>
      <c r="B925" s="1"/>
      <c r="C925" s="1"/>
      <c r="D925" s="468"/>
      <c r="E925" s="468"/>
      <c r="F925" s="468"/>
      <c r="G925" s="468"/>
      <c r="H925" s="468"/>
      <c r="I925" s="468"/>
      <c r="J925" s="469"/>
      <c r="K925" s="468"/>
      <c r="L925" s="468"/>
      <c r="M925" s="468"/>
      <c r="N925" s="468"/>
      <c r="O925" s="468"/>
      <c r="P925" s="468"/>
      <c r="Q925" s="468"/>
      <c r="R925" s="375"/>
      <c r="S925" s="415"/>
      <c r="T925" s="415"/>
      <c r="U925" s="377"/>
      <c r="V925" s="377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</row>
    <row r="926" ht="14.25" customHeight="1">
      <c r="A926" s="1"/>
      <c r="B926" s="1"/>
      <c r="C926" s="1"/>
      <c r="D926" s="468"/>
      <c r="E926" s="468"/>
      <c r="F926" s="468"/>
      <c r="G926" s="468"/>
      <c r="H926" s="468"/>
      <c r="I926" s="468"/>
      <c r="J926" s="469"/>
      <c r="K926" s="468"/>
      <c r="L926" s="468"/>
      <c r="M926" s="468"/>
      <c r="N926" s="468"/>
      <c r="O926" s="468"/>
      <c r="P926" s="468"/>
      <c r="Q926" s="468"/>
      <c r="R926" s="375"/>
      <c r="S926" s="415"/>
      <c r="T926" s="415"/>
      <c r="U926" s="377"/>
      <c r="V926" s="377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</row>
    <row r="927" ht="14.25" customHeight="1">
      <c r="A927" s="1"/>
      <c r="B927" s="1"/>
      <c r="C927" s="1"/>
      <c r="D927" s="468"/>
      <c r="E927" s="468"/>
      <c r="F927" s="468"/>
      <c r="G927" s="468"/>
      <c r="H927" s="468"/>
      <c r="I927" s="468"/>
      <c r="J927" s="469"/>
      <c r="K927" s="468"/>
      <c r="L927" s="468"/>
      <c r="M927" s="468"/>
      <c r="N927" s="468"/>
      <c r="O927" s="468"/>
      <c r="P927" s="468"/>
      <c r="Q927" s="468"/>
      <c r="R927" s="375"/>
      <c r="S927" s="415"/>
      <c r="T927" s="415"/>
      <c r="U927" s="377"/>
      <c r="V927" s="377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</row>
    <row r="928" ht="14.25" customHeight="1">
      <c r="A928" s="1"/>
      <c r="B928" s="1"/>
      <c r="C928" s="1"/>
      <c r="D928" s="468"/>
      <c r="E928" s="468"/>
      <c r="F928" s="468"/>
      <c r="G928" s="468"/>
      <c r="H928" s="468"/>
      <c r="I928" s="468"/>
      <c r="J928" s="469"/>
      <c r="K928" s="468"/>
      <c r="L928" s="468"/>
      <c r="M928" s="468"/>
      <c r="N928" s="468"/>
      <c r="O928" s="468"/>
      <c r="P928" s="468"/>
      <c r="Q928" s="468"/>
      <c r="R928" s="375"/>
      <c r="S928" s="415"/>
      <c r="T928" s="415"/>
      <c r="U928" s="377"/>
      <c r="V928" s="377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</row>
    <row r="929" ht="14.25" customHeight="1">
      <c r="A929" s="1"/>
      <c r="B929" s="1"/>
      <c r="C929" s="1"/>
      <c r="D929" s="468"/>
      <c r="E929" s="468"/>
      <c r="F929" s="468"/>
      <c r="G929" s="468"/>
      <c r="H929" s="468"/>
      <c r="I929" s="468"/>
      <c r="J929" s="469"/>
      <c r="K929" s="468"/>
      <c r="L929" s="468"/>
      <c r="M929" s="468"/>
      <c r="N929" s="468"/>
      <c r="O929" s="468"/>
      <c r="P929" s="468"/>
      <c r="Q929" s="468"/>
      <c r="R929" s="375"/>
      <c r="S929" s="415"/>
      <c r="T929" s="415"/>
      <c r="U929" s="377"/>
      <c r="V929" s="377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</row>
    <row r="930" ht="14.25" customHeight="1">
      <c r="A930" s="1"/>
      <c r="B930" s="1"/>
      <c r="C930" s="1"/>
      <c r="D930" s="468"/>
      <c r="E930" s="468"/>
      <c r="F930" s="468"/>
      <c r="G930" s="468"/>
      <c r="H930" s="468"/>
      <c r="I930" s="468"/>
      <c r="J930" s="469"/>
      <c r="K930" s="468"/>
      <c r="L930" s="468"/>
      <c r="M930" s="468"/>
      <c r="N930" s="468"/>
      <c r="O930" s="468"/>
      <c r="P930" s="468"/>
      <c r="Q930" s="468"/>
      <c r="R930" s="375"/>
      <c r="S930" s="415"/>
      <c r="T930" s="415"/>
      <c r="U930" s="377"/>
      <c r="V930" s="377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</row>
    <row r="931" ht="14.25" customHeight="1">
      <c r="A931" s="1"/>
      <c r="B931" s="1"/>
      <c r="C931" s="1"/>
      <c r="D931" s="468"/>
      <c r="E931" s="468"/>
      <c r="F931" s="468"/>
      <c r="G931" s="468"/>
      <c r="H931" s="468"/>
      <c r="I931" s="468"/>
      <c r="J931" s="469"/>
      <c r="K931" s="468"/>
      <c r="L931" s="468"/>
      <c r="M931" s="468"/>
      <c r="N931" s="468"/>
      <c r="O931" s="468"/>
      <c r="P931" s="468"/>
      <c r="Q931" s="468"/>
      <c r="R931" s="375"/>
      <c r="S931" s="415"/>
      <c r="T931" s="415"/>
      <c r="U931" s="377"/>
      <c r="V931" s="377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</row>
    <row r="932" ht="14.25" customHeight="1">
      <c r="A932" s="1"/>
      <c r="B932" s="1"/>
      <c r="C932" s="1"/>
      <c r="D932" s="468"/>
      <c r="E932" s="468"/>
      <c r="F932" s="468"/>
      <c r="G932" s="468"/>
      <c r="H932" s="468"/>
      <c r="I932" s="468"/>
      <c r="J932" s="469"/>
      <c r="K932" s="468"/>
      <c r="L932" s="468"/>
      <c r="M932" s="468"/>
      <c r="N932" s="468"/>
      <c r="O932" s="468"/>
      <c r="P932" s="468"/>
      <c r="Q932" s="468"/>
      <c r="R932" s="375"/>
      <c r="S932" s="415"/>
      <c r="T932" s="415"/>
      <c r="U932" s="377"/>
      <c r="V932" s="377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</row>
    <row r="933" ht="14.25" customHeight="1">
      <c r="A933" s="1"/>
      <c r="B933" s="1"/>
      <c r="C933" s="1"/>
      <c r="D933" s="468"/>
      <c r="E933" s="468"/>
      <c r="F933" s="468"/>
      <c r="G933" s="468"/>
      <c r="H933" s="468"/>
      <c r="I933" s="468"/>
      <c r="J933" s="469"/>
      <c r="K933" s="468"/>
      <c r="L933" s="468"/>
      <c r="M933" s="468"/>
      <c r="N933" s="468"/>
      <c r="O933" s="468"/>
      <c r="P933" s="468"/>
      <c r="Q933" s="468"/>
      <c r="R933" s="375"/>
      <c r="S933" s="415"/>
      <c r="T933" s="415"/>
      <c r="U933" s="377"/>
      <c r="V933" s="377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</row>
    <row r="934" ht="14.25" customHeight="1">
      <c r="A934" s="1"/>
      <c r="B934" s="1"/>
      <c r="C934" s="1"/>
      <c r="D934" s="468"/>
      <c r="E934" s="468"/>
      <c r="F934" s="468"/>
      <c r="G934" s="468"/>
      <c r="H934" s="468"/>
      <c r="I934" s="468"/>
      <c r="J934" s="469"/>
      <c r="K934" s="468"/>
      <c r="L934" s="468"/>
      <c r="M934" s="468"/>
      <c r="N934" s="468"/>
      <c r="O934" s="468"/>
      <c r="P934" s="468"/>
      <c r="Q934" s="468"/>
      <c r="R934" s="375"/>
      <c r="S934" s="415"/>
      <c r="T934" s="415"/>
      <c r="U934" s="377"/>
      <c r="V934" s="377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</row>
    <row r="935" ht="14.25" customHeight="1">
      <c r="A935" s="1"/>
      <c r="B935" s="1"/>
      <c r="C935" s="1"/>
      <c r="D935" s="468"/>
      <c r="E935" s="468"/>
      <c r="F935" s="468"/>
      <c r="G935" s="468"/>
      <c r="H935" s="468"/>
      <c r="I935" s="468"/>
      <c r="J935" s="469"/>
      <c r="K935" s="468"/>
      <c r="L935" s="468"/>
      <c r="M935" s="468"/>
      <c r="N935" s="468"/>
      <c r="O935" s="468"/>
      <c r="P935" s="468"/>
      <c r="Q935" s="468"/>
      <c r="R935" s="375"/>
      <c r="S935" s="415"/>
      <c r="T935" s="415"/>
      <c r="U935" s="377"/>
      <c r="V935" s="377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</row>
    <row r="936" ht="14.25" customHeight="1">
      <c r="A936" s="1"/>
      <c r="B936" s="1"/>
      <c r="C936" s="1"/>
      <c r="D936" s="468"/>
      <c r="E936" s="468"/>
      <c r="F936" s="468"/>
      <c r="G936" s="468"/>
      <c r="H936" s="468"/>
      <c r="I936" s="468"/>
      <c r="J936" s="469"/>
      <c r="K936" s="468"/>
      <c r="L936" s="468"/>
      <c r="M936" s="468"/>
      <c r="N936" s="468"/>
      <c r="O936" s="468"/>
      <c r="P936" s="468"/>
      <c r="Q936" s="468"/>
      <c r="R936" s="375"/>
      <c r="S936" s="415"/>
      <c r="T936" s="415"/>
      <c r="U936" s="377"/>
      <c r="V936" s="377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</row>
    <row r="937" ht="14.25" customHeight="1">
      <c r="A937" s="1"/>
      <c r="B937" s="1"/>
      <c r="C937" s="1"/>
      <c r="D937" s="468"/>
      <c r="E937" s="468"/>
      <c r="F937" s="468"/>
      <c r="G937" s="468"/>
      <c r="H937" s="468"/>
      <c r="I937" s="468"/>
      <c r="J937" s="469"/>
      <c r="K937" s="468"/>
      <c r="L937" s="468"/>
      <c r="M937" s="468"/>
      <c r="N937" s="468"/>
      <c r="O937" s="468"/>
      <c r="P937" s="468"/>
      <c r="Q937" s="468"/>
      <c r="R937" s="375"/>
      <c r="S937" s="415"/>
      <c r="T937" s="415"/>
      <c r="U937" s="377"/>
      <c r="V937" s="377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</row>
    <row r="938" ht="14.25" customHeight="1">
      <c r="A938" s="1"/>
      <c r="B938" s="1"/>
      <c r="C938" s="1"/>
      <c r="D938" s="468"/>
      <c r="E938" s="468"/>
      <c r="F938" s="468"/>
      <c r="G938" s="468"/>
      <c r="H938" s="468"/>
      <c r="I938" s="468"/>
      <c r="J938" s="469"/>
      <c r="K938" s="468"/>
      <c r="L938" s="468"/>
      <c r="M938" s="468"/>
      <c r="N938" s="468"/>
      <c r="O938" s="468"/>
      <c r="P938" s="468"/>
      <c r="Q938" s="468"/>
      <c r="R938" s="375"/>
      <c r="S938" s="415"/>
      <c r="T938" s="415"/>
      <c r="U938" s="377"/>
      <c r="V938" s="377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</row>
    <row r="939" ht="14.25" customHeight="1">
      <c r="A939" s="1"/>
      <c r="B939" s="1"/>
      <c r="C939" s="1"/>
      <c r="D939" s="468"/>
      <c r="E939" s="468"/>
      <c r="F939" s="468"/>
      <c r="G939" s="468"/>
      <c r="H939" s="468"/>
      <c r="I939" s="468"/>
      <c r="J939" s="469"/>
      <c r="K939" s="468"/>
      <c r="L939" s="468"/>
      <c r="M939" s="468"/>
      <c r="N939" s="468"/>
      <c r="O939" s="468"/>
      <c r="P939" s="468"/>
      <c r="Q939" s="468"/>
      <c r="R939" s="375"/>
      <c r="S939" s="415"/>
      <c r="T939" s="415"/>
      <c r="U939" s="377"/>
      <c r="V939" s="377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</row>
    <row r="940" ht="14.25" customHeight="1">
      <c r="A940" s="1"/>
      <c r="B940" s="1"/>
      <c r="C940" s="1"/>
      <c r="D940" s="468"/>
      <c r="E940" s="468"/>
      <c r="F940" s="468"/>
      <c r="G940" s="468"/>
      <c r="H940" s="468"/>
      <c r="I940" s="468"/>
      <c r="J940" s="469"/>
      <c r="K940" s="468"/>
      <c r="L940" s="468"/>
      <c r="M940" s="468"/>
      <c r="N940" s="468"/>
      <c r="O940" s="468"/>
      <c r="P940" s="468"/>
      <c r="Q940" s="468"/>
      <c r="R940" s="375"/>
      <c r="S940" s="415"/>
      <c r="T940" s="415"/>
      <c r="U940" s="377"/>
      <c r="V940" s="377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</row>
    <row r="941" ht="14.25" customHeight="1">
      <c r="A941" s="1"/>
      <c r="B941" s="1"/>
      <c r="C941" s="1"/>
      <c r="D941" s="468"/>
      <c r="E941" s="468"/>
      <c r="F941" s="468"/>
      <c r="G941" s="468"/>
      <c r="H941" s="468"/>
      <c r="I941" s="468"/>
      <c r="J941" s="469"/>
      <c r="K941" s="468"/>
      <c r="L941" s="468"/>
      <c r="M941" s="468"/>
      <c r="N941" s="468"/>
      <c r="O941" s="468"/>
      <c r="P941" s="468"/>
      <c r="Q941" s="468"/>
      <c r="R941" s="375"/>
      <c r="S941" s="415"/>
      <c r="T941" s="415"/>
      <c r="U941" s="377"/>
      <c r="V941" s="377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</row>
    <row r="942" ht="14.25" customHeight="1">
      <c r="A942" s="1"/>
      <c r="B942" s="1"/>
      <c r="C942" s="1"/>
      <c r="D942" s="468"/>
      <c r="E942" s="468"/>
      <c r="F942" s="468"/>
      <c r="G942" s="468"/>
      <c r="H942" s="468"/>
      <c r="I942" s="468"/>
      <c r="J942" s="469"/>
      <c r="K942" s="468"/>
      <c r="L942" s="468"/>
      <c r="M942" s="468"/>
      <c r="N942" s="468"/>
      <c r="O942" s="468"/>
      <c r="P942" s="468"/>
      <c r="Q942" s="468"/>
      <c r="R942" s="375"/>
      <c r="S942" s="415"/>
      <c r="T942" s="415"/>
      <c r="U942" s="377"/>
      <c r="V942" s="377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</row>
    <row r="943" ht="14.25" customHeight="1">
      <c r="A943" s="1"/>
      <c r="B943" s="1"/>
      <c r="C943" s="1"/>
      <c r="D943" s="468"/>
      <c r="E943" s="468"/>
      <c r="F943" s="468"/>
      <c r="G943" s="468"/>
      <c r="H943" s="468"/>
      <c r="I943" s="468"/>
      <c r="J943" s="469"/>
      <c r="K943" s="468"/>
      <c r="L943" s="468"/>
      <c r="M943" s="468"/>
      <c r="N943" s="468"/>
      <c r="O943" s="468"/>
      <c r="P943" s="468"/>
      <c r="Q943" s="468"/>
      <c r="R943" s="375"/>
      <c r="S943" s="415"/>
      <c r="T943" s="415"/>
      <c r="U943" s="377"/>
      <c r="V943" s="377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</row>
    <row r="944" ht="14.25" customHeight="1">
      <c r="A944" s="1"/>
      <c r="B944" s="1"/>
      <c r="C944" s="1"/>
      <c r="D944" s="468"/>
      <c r="E944" s="468"/>
      <c r="F944" s="468"/>
      <c r="G944" s="468"/>
      <c r="H944" s="468"/>
      <c r="I944" s="468"/>
      <c r="J944" s="469"/>
      <c r="K944" s="468"/>
      <c r="L944" s="468"/>
      <c r="M944" s="468"/>
      <c r="N944" s="468"/>
      <c r="O944" s="468"/>
      <c r="P944" s="468"/>
      <c r="Q944" s="468"/>
      <c r="R944" s="375"/>
      <c r="S944" s="415"/>
      <c r="T944" s="415"/>
      <c r="U944" s="377"/>
      <c r="V944" s="377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</row>
    <row r="945" ht="14.25" customHeight="1">
      <c r="A945" s="1"/>
      <c r="B945" s="1"/>
      <c r="C945" s="1"/>
      <c r="D945" s="468"/>
      <c r="E945" s="468"/>
      <c r="F945" s="468"/>
      <c r="G945" s="468"/>
      <c r="H945" s="468"/>
      <c r="I945" s="468"/>
      <c r="J945" s="469"/>
      <c r="K945" s="468"/>
      <c r="L945" s="468"/>
      <c r="M945" s="468"/>
      <c r="N945" s="468"/>
      <c r="O945" s="468"/>
      <c r="P945" s="468"/>
      <c r="Q945" s="468"/>
      <c r="R945" s="375"/>
      <c r="S945" s="415"/>
      <c r="T945" s="415"/>
      <c r="U945" s="377"/>
      <c r="V945" s="377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</row>
    <row r="946" ht="14.25" customHeight="1">
      <c r="A946" s="1"/>
      <c r="B946" s="1"/>
      <c r="C946" s="1"/>
      <c r="D946" s="468"/>
      <c r="E946" s="468"/>
      <c r="F946" s="468"/>
      <c r="G946" s="468"/>
      <c r="H946" s="468"/>
      <c r="I946" s="468"/>
      <c r="J946" s="469"/>
      <c r="K946" s="468"/>
      <c r="L946" s="468"/>
      <c r="M946" s="468"/>
      <c r="N946" s="468"/>
      <c r="O946" s="468"/>
      <c r="P946" s="468"/>
      <c r="Q946" s="468"/>
      <c r="R946" s="375"/>
      <c r="S946" s="415"/>
      <c r="T946" s="415"/>
      <c r="U946" s="377"/>
      <c r="V946" s="377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</row>
    <row r="947" ht="14.25" customHeight="1">
      <c r="A947" s="1"/>
      <c r="B947" s="1"/>
      <c r="C947" s="1"/>
      <c r="D947" s="468"/>
      <c r="E947" s="468"/>
      <c r="F947" s="468"/>
      <c r="G947" s="468"/>
      <c r="H947" s="468"/>
      <c r="I947" s="468"/>
      <c r="J947" s="469"/>
      <c r="K947" s="468"/>
      <c r="L947" s="468"/>
      <c r="M947" s="468"/>
      <c r="N947" s="468"/>
      <c r="O947" s="468"/>
      <c r="P947" s="468"/>
      <c r="Q947" s="468"/>
      <c r="R947" s="375"/>
      <c r="S947" s="415"/>
      <c r="T947" s="415"/>
      <c r="U947" s="377"/>
      <c r="V947" s="377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</row>
    <row r="948" ht="14.25" customHeight="1">
      <c r="A948" s="1"/>
      <c r="B948" s="1"/>
      <c r="C948" s="1"/>
      <c r="D948" s="468"/>
      <c r="E948" s="468"/>
      <c r="F948" s="468"/>
      <c r="G948" s="468"/>
      <c r="H948" s="468"/>
      <c r="I948" s="468"/>
      <c r="J948" s="469"/>
      <c r="K948" s="468"/>
      <c r="L948" s="468"/>
      <c r="M948" s="468"/>
      <c r="N948" s="468"/>
      <c r="O948" s="468"/>
      <c r="P948" s="468"/>
      <c r="Q948" s="468"/>
      <c r="R948" s="375"/>
      <c r="S948" s="415"/>
      <c r="T948" s="415"/>
      <c r="U948" s="377"/>
      <c r="V948" s="377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</row>
    <row r="949" ht="14.25" customHeight="1">
      <c r="A949" s="1"/>
      <c r="B949" s="1"/>
      <c r="C949" s="1"/>
      <c r="D949" s="468"/>
      <c r="E949" s="468"/>
      <c r="F949" s="468"/>
      <c r="G949" s="468"/>
      <c r="H949" s="468"/>
      <c r="I949" s="468"/>
      <c r="J949" s="469"/>
      <c r="K949" s="468"/>
      <c r="L949" s="468"/>
      <c r="M949" s="468"/>
      <c r="N949" s="468"/>
      <c r="O949" s="468"/>
      <c r="P949" s="468"/>
      <c r="Q949" s="468"/>
      <c r="R949" s="375"/>
      <c r="S949" s="415"/>
      <c r="T949" s="415"/>
      <c r="U949" s="377"/>
      <c r="V949" s="377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</row>
    <row r="950" ht="14.25" customHeight="1">
      <c r="A950" s="1"/>
      <c r="B950" s="1"/>
      <c r="C950" s="1"/>
      <c r="D950" s="468"/>
      <c r="E950" s="468"/>
      <c r="F950" s="468"/>
      <c r="G950" s="468"/>
      <c r="H950" s="468"/>
      <c r="I950" s="468"/>
      <c r="J950" s="469"/>
      <c r="K950" s="468"/>
      <c r="L950" s="468"/>
      <c r="M950" s="468"/>
      <c r="N950" s="468"/>
      <c r="O950" s="468"/>
      <c r="P950" s="468"/>
      <c r="Q950" s="468"/>
      <c r="R950" s="375"/>
      <c r="S950" s="415"/>
      <c r="T950" s="415"/>
      <c r="U950" s="377"/>
      <c r="V950" s="377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</row>
    <row r="951" ht="14.25" customHeight="1">
      <c r="A951" s="1"/>
      <c r="B951" s="1"/>
      <c r="C951" s="1"/>
      <c r="D951" s="468"/>
      <c r="E951" s="468"/>
      <c r="F951" s="468"/>
      <c r="G951" s="468"/>
      <c r="H951" s="468"/>
      <c r="I951" s="468"/>
      <c r="J951" s="469"/>
      <c r="K951" s="468"/>
      <c r="L951" s="468"/>
      <c r="M951" s="468"/>
      <c r="N951" s="468"/>
      <c r="O951" s="468"/>
      <c r="P951" s="468"/>
      <c r="Q951" s="468"/>
      <c r="R951" s="375"/>
      <c r="S951" s="415"/>
      <c r="T951" s="415"/>
      <c r="U951" s="377"/>
      <c r="V951" s="377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</row>
    <row r="952" ht="14.25" customHeight="1">
      <c r="A952" s="1"/>
      <c r="B952" s="1"/>
      <c r="C952" s="1"/>
      <c r="D952" s="468"/>
      <c r="E952" s="468"/>
      <c r="F952" s="468"/>
      <c r="G952" s="468"/>
      <c r="H952" s="468"/>
      <c r="I952" s="468"/>
      <c r="J952" s="469"/>
      <c r="K952" s="468"/>
      <c r="L952" s="468"/>
      <c r="M952" s="468"/>
      <c r="N952" s="468"/>
      <c r="O952" s="468"/>
      <c r="P952" s="468"/>
      <c r="Q952" s="468"/>
      <c r="R952" s="375"/>
      <c r="S952" s="415"/>
      <c r="T952" s="415"/>
      <c r="U952" s="377"/>
      <c r="V952" s="377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</row>
    <row r="953" ht="14.25" customHeight="1">
      <c r="A953" s="1"/>
      <c r="B953" s="1"/>
      <c r="C953" s="1"/>
      <c r="D953" s="468"/>
      <c r="E953" s="468"/>
      <c r="F953" s="468"/>
      <c r="G953" s="468"/>
      <c r="H953" s="468"/>
      <c r="I953" s="468"/>
      <c r="J953" s="469"/>
      <c r="K953" s="468"/>
      <c r="L953" s="468"/>
      <c r="M953" s="468"/>
      <c r="N953" s="468"/>
      <c r="O953" s="468"/>
      <c r="P953" s="468"/>
      <c r="Q953" s="468"/>
      <c r="R953" s="375"/>
      <c r="S953" s="415"/>
      <c r="T953" s="415"/>
      <c r="U953" s="377"/>
      <c r="V953" s="377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</row>
    <row r="954" ht="14.25" customHeight="1">
      <c r="A954" s="1"/>
      <c r="B954" s="1"/>
      <c r="C954" s="1"/>
      <c r="D954" s="468"/>
      <c r="E954" s="468"/>
      <c r="F954" s="468"/>
      <c r="G954" s="468"/>
      <c r="H954" s="468"/>
      <c r="I954" s="468"/>
      <c r="J954" s="469"/>
      <c r="K954" s="468"/>
      <c r="L954" s="468"/>
      <c r="M954" s="468"/>
      <c r="N954" s="468"/>
      <c r="O954" s="468"/>
      <c r="P954" s="468"/>
      <c r="Q954" s="468"/>
      <c r="R954" s="375"/>
      <c r="S954" s="415"/>
      <c r="T954" s="415"/>
      <c r="U954" s="377"/>
      <c r="V954" s="377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</row>
    <row r="955" ht="14.25" customHeight="1">
      <c r="A955" s="1"/>
      <c r="B955" s="1"/>
      <c r="C955" s="1"/>
      <c r="D955" s="468"/>
      <c r="E955" s="468"/>
      <c r="F955" s="468"/>
      <c r="G955" s="468"/>
      <c r="H955" s="468"/>
      <c r="I955" s="468"/>
      <c r="J955" s="469"/>
      <c r="K955" s="468"/>
      <c r="L955" s="468"/>
      <c r="M955" s="468"/>
      <c r="N955" s="468"/>
      <c r="O955" s="468"/>
      <c r="P955" s="468"/>
      <c r="Q955" s="468"/>
      <c r="R955" s="375"/>
      <c r="S955" s="415"/>
      <c r="T955" s="415"/>
      <c r="U955" s="377"/>
      <c r="V955" s="377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</row>
    <row r="956" ht="14.25" customHeight="1">
      <c r="A956" s="1"/>
      <c r="B956" s="1"/>
      <c r="C956" s="1"/>
      <c r="D956" s="468"/>
      <c r="E956" s="468"/>
      <c r="F956" s="468"/>
      <c r="G956" s="468"/>
      <c r="H956" s="468"/>
      <c r="I956" s="468"/>
      <c r="J956" s="469"/>
      <c r="K956" s="468"/>
      <c r="L956" s="468"/>
      <c r="M956" s="468"/>
      <c r="N956" s="468"/>
      <c r="O956" s="468"/>
      <c r="P956" s="468"/>
      <c r="Q956" s="468"/>
      <c r="R956" s="375"/>
      <c r="S956" s="415"/>
      <c r="T956" s="415"/>
      <c r="U956" s="377"/>
      <c r="V956" s="377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</row>
    <row r="957" ht="14.25" customHeight="1">
      <c r="A957" s="1"/>
      <c r="B957" s="1"/>
      <c r="C957" s="1"/>
      <c r="D957" s="468"/>
      <c r="E957" s="468"/>
      <c r="F957" s="468"/>
      <c r="G957" s="468"/>
      <c r="H957" s="468"/>
      <c r="I957" s="468"/>
      <c r="J957" s="469"/>
      <c r="K957" s="468"/>
      <c r="L957" s="468"/>
      <c r="M957" s="468"/>
      <c r="N957" s="468"/>
      <c r="O957" s="468"/>
      <c r="P957" s="468"/>
      <c r="Q957" s="468"/>
      <c r="R957" s="375"/>
      <c r="S957" s="415"/>
      <c r="T957" s="415"/>
      <c r="U957" s="377"/>
      <c r="V957" s="377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</row>
    <row r="958" ht="14.25" customHeight="1">
      <c r="A958" s="1"/>
      <c r="B958" s="1"/>
      <c r="C958" s="1"/>
      <c r="D958" s="468"/>
      <c r="E958" s="468"/>
      <c r="F958" s="468"/>
      <c r="G958" s="468"/>
      <c r="H958" s="468"/>
      <c r="I958" s="468"/>
      <c r="J958" s="469"/>
      <c r="K958" s="468"/>
      <c r="L958" s="468"/>
      <c r="M958" s="468"/>
      <c r="N958" s="468"/>
      <c r="O958" s="468"/>
      <c r="P958" s="468"/>
      <c r="Q958" s="468"/>
      <c r="R958" s="375"/>
      <c r="S958" s="415"/>
      <c r="T958" s="415"/>
      <c r="U958" s="377"/>
      <c r="V958" s="377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</row>
    <row r="959" ht="14.25" customHeight="1">
      <c r="A959" s="1"/>
      <c r="B959" s="1"/>
      <c r="C959" s="1"/>
      <c r="D959" s="468"/>
      <c r="E959" s="468"/>
      <c r="F959" s="468"/>
      <c r="G959" s="468"/>
      <c r="H959" s="468"/>
      <c r="I959" s="468"/>
      <c r="J959" s="469"/>
      <c r="K959" s="468"/>
      <c r="L959" s="468"/>
      <c r="M959" s="468"/>
      <c r="N959" s="468"/>
      <c r="O959" s="468"/>
      <c r="P959" s="468"/>
      <c r="Q959" s="468"/>
      <c r="R959" s="375"/>
      <c r="S959" s="415"/>
      <c r="T959" s="415"/>
      <c r="U959" s="377"/>
      <c r="V959" s="377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</row>
    <row r="960" ht="14.25" customHeight="1">
      <c r="A960" s="1"/>
      <c r="B960" s="1"/>
      <c r="C960" s="1"/>
      <c r="D960" s="468"/>
      <c r="E960" s="468"/>
      <c r="F960" s="468"/>
      <c r="G960" s="468"/>
      <c r="H960" s="468"/>
      <c r="I960" s="468"/>
      <c r="J960" s="469"/>
      <c r="K960" s="468"/>
      <c r="L960" s="468"/>
      <c r="M960" s="468"/>
      <c r="N960" s="468"/>
      <c r="O960" s="468"/>
      <c r="P960" s="468"/>
      <c r="Q960" s="468"/>
      <c r="R960" s="375"/>
      <c r="S960" s="415"/>
      <c r="T960" s="415"/>
      <c r="U960" s="377"/>
      <c r="V960" s="377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</row>
    <row r="961" ht="14.25" customHeight="1">
      <c r="A961" s="1"/>
      <c r="B961" s="1"/>
      <c r="C961" s="1"/>
      <c r="D961" s="468"/>
      <c r="E961" s="468"/>
      <c r="F961" s="468"/>
      <c r="G961" s="468"/>
      <c r="H961" s="468"/>
      <c r="I961" s="468"/>
      <c r="J961" s="469"/>
      <c r="K961" s="468"/>
      <c r="L961" s="468"/>
      <c r="M961" s="468"/>
      <c r="N961" s="468"/>
      <c r="O961" s="468"/>
      <c r="P961" s="468"/>
      <c r="Q961" s="468"/>
      <c r="R961" s="375"/>
      <c r="S961" s="415"/>
      <c r="T961" s="415"/>
      <c r="U961" s="377"/>
      <c r="V961" s="377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</row>
    <row r="962" ht="14.25" customHeight="1">
      <c r="A962" s="1"/>
      <c r="B962" s="1"/>
      <c r="C962" s="1"/>
      <c r="D962" s="468"/>
      <c r="E962" s="468"/>
      <c r="F962" s="468"/>
      <c r="G962" s="468"/>
      <c r="H962" s="468"/>
      <c r="I962" s="468"/>
      <c r="J962" s="469"/>
      <c r="K962" s="468"/>
      <c r="L962" s="468"/>
      <c r="M962" s="468"/>
      <c r="N962" s="468"/>
      <c r="O962" s="468"/>
      <c r="P962" s="468"/>
      <c r="Q962" s="468"/>
      <c r="R962" s="375"/>
      <c r="S962" s="415"/>
      <c r="T962" s="415"/>
      <c r="U962" s="377"/>
      <c r="V962" s="377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</row>
    <row r="963" ht="14.25" customHeight="1">
      <c r="A963" s="1"/>
      <c r="B963" s="1"/>
      <c r="C963" s="1"/>
      <c r="D963" s="468"/>
      <c r="E963" s="468"/>
      <c r="F963" s="468"/>
      <c r="G963" s="468"/>
      <c r="H963" s="468"/>
      <c r="I963" s="468"/>
      <c r="J963" s="469"/>
      <c r="K963" s="468"/>
      <c r="L963" s="468"/>
      <c r="M963" s="468"/>
      <c r="N963" s="468"/>
      <c r="O963" s="468"/>
      <c r="P963" s="468"/>
      <c r="Q963" s="468"/>
      <c r="R963" s="375"/>
      <c r="S963" s="415"/>
      <c r="T963" s="415"/>
      <c r="U963" s="377"/>
      <c r="V963" s="377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</row>
    <row r="964" ht="14.25" customHeight="1">
      <c r="A964" s="1"/>
      <c r="B964" s="1"/>
      <c r="C964" s="1"/>
      <c r="D964" s="468"/>
      <c r="E964" s="468"/>
      <c r="F964" s="468"/>
      <c r="G964" s="468"/>
      <c r="H964" s="468"/>
      <c r="I964" s="468"/>
      <c r="J964" s="469"/>
      <c r="K964" s="468"/>
      <c r="L964" s="468"/>
      <c r="M964" s="468"/>
      <c r="N964" s="468"/>
      <c r="O964" s="468"/>
      <c r="P964" s="468"/>
      <c r="Q964" s="468"/>
      <c r="R964" s="375"/>
      <c r="S964" s="415"/>
      <c r="T964" s="415"/>
      <c r="U964" s="377"/>
      <c r="V964" s="377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</row>
    <row r="965" ht="14.25" customHeight="1">
      <c r="A965" s="1"/>
      <c r="B965" s="1"/>
      <c r="C965" s="1"/>
      <c r="D965" s="468"/>
      <c r="E965" s="468"/>
      <c r="F965" s="468"/>
      <c r="G965" s="468"/>
      <c r="H965" s="468"/>
      <c r="I965" s="468"/>
      <c r="J965" s="469"/>
      <c r="K965" s="468"/>
      <c r="L965" s="468"/>
      <c r="M965" s="468"/>
      <c r="N965" s="468"/>
      <c r="O965" s="468"/>
      <c r="P965" s="468"/>
      <c r="Q965" s="468"/>
      <c r="R965" s="375"/>
      <c r="S965" s="415"/>
      <c r="T965" s="415"/>
      <c r="U965" s="377"/>
      <c r="V965" s="377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</row>
    <row r="966" ht="14.25" customHeight="1">
      <c r="A966" s="1"/>
      <c r="B966" s="1"/>
      <c r="C966" s="1"/>
      <c r="D966" s="468"/>
      <c r="E966" s="468"/>
      <c r="F966" s="468"/>
      <c r="G966" s="468"/>
      <c r="H966" s="468"/>
      <c r="I966" s="468"/>
      <c r="J966" s="469"/>
      <c r="K966" s="468"/>
      <c r="L966" s="468"/>
      <c r="M966" s="468"/>
      <c r="N966" s="468"/>
      <c r="O966" s="468"/>
      <c r="P966" s="468"/>
      <c r="Q966" s="468"/>
      <c r="R966" s="375"/>
      <c r="S966" s="415"/>
      <c r="T966" s="415"/>
      <c r="U966" s="377"/>
      <c r="V966" s="377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</row>
    <row r="967" ht="14.25" customHeight="1">
      <c r="A967" s="1"/>
      <c r="B967" s="1"/>
      <c r="C967" s="1"/>
      <c r="D967" s="468"/>
      <c r="E967" s="468"/>
      <c r="F967" s="468"/>
      <c r="G967" s="468"/>
      <c r="H967" s="468"/>
      <c r="I967" s="468"/>
      <c r="J967" s="469"/>
      <c r="K967" s="468"/>
      <c r="L967" s="468"/>
      <c r="M967" s="468"/>
      <c r="N967" s="468"/>
      <c r="O967" s="468"/>
      <c r="P967" s="468"/>
      <c r="Q967" s="468"/>
      <c r="R967" s="375"/>
      <c r="S967" s="415"/>
      <c r="T967" s="415"/>
      <c r="U967" s="377"/>
      <c r="V967" s="377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</row>
    <row r="968" ht="14.25" customHeight="1">
      <c r="A968" s="1"/>
      <c r="B968" s="1"/>
      <c r="C968" s="1"/>
      <c r="D968" s="468"/>
      <c r="E968" s="468"/>
      <c r="F968" s="468"/>
      <c r="G968" s="468"/>
      <c r="H968" s="468"/>
      <c r="I968" s="468"/>
      <c r="J968" s="469"/>
      <c r="K968" s="468"/>
      <c r="L968" s="468"/>
      <c r="M968" s="468"/>
      <c r="N968" s="468"/>
      <c r="O968" s="468"/>
      <c r="P968" s="468"/>
      <c r="Q968" s="468"/>
      <c r="R968" s="375"/>
      <c r="S968" s="415"/>
      <c r="T968" s="415"/>
      <c r="U968" s="377"/>
      <c r="V968" s="377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</row>
    <row r="969" ht="14.25" customHeight="1">
      <c r="A969" s="1"/>
      <c r="B969" s="1"/>
      <c r="C969" s="1"/>
      <c r="D969" s="468"/>
      <c r="E969" s="468"/>
      <c r="F969" s="468"/>
      <c r="G969" s="468"/>
      <c r="H969" s="468"/>
      <c r="I969" s="468"/>
      <c r="J969" s="469"/>
      <c r="K969" s="468"/>
      <c r="L969" s="468"/>
      <c r="M969" s="468"/>
      <c r="N969" s="468"/>
      <c r="O969" s="468"/>
      <c r="P969" s="468"/>
      <c r="Q969" s="468"/>
      <c r="R969" s="375"/>
      <c r="S969" s="415"/>
      <c r="T969" s="415"/>
      <c r="U969" s="377"/>
      <c r="V969" s="377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</row>
    <row r="970" ht="14.25" customHeight="1">
      <c r="A970" s="1"/>
      <c r="B970" s="1"/>
      <c r="C970" s="1"/>
      <c r="D970" s="468"/>
      <c r="E970" s="468"/>
      <c r="F970" s="468"/>
      <c r="G970" s="468"/>
      <c r="H970" s="468"/>
      <c r="I970" s="468"/>
      <c r="J970" s="469"/>
      <c r="K970" s="468"/>
      <c r="L970" s="468"/>
      <c r="M970" s="468"/>
      <c r="N970" s="468"/>
      <c r="O970" s="468"/>
      <c r="P970" s="468"/>
      <c r="Q970" s="468"/>
      <c r="R970" s="375"/>
      <c r="S970" s="415"/>
      <c r="T970" s="415"/>
      <c r="U970" s="377"/>
      <c r="V970" s="377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</row>
    <row r="971" ht="14.25" customHeight="1">
      <c r="A971" s="1"/>
      <c r="B971" s="1"/>
      <c r="C971" s="1"/>
      <c r="D971" s="468"/>
      <c r="E971" s="468"/>
      <c r="F971" s="468"/>
      <c r="G971" s="468"/>
      <c r="H971" s="468"/>
      <c r="I971" s="468"/>
      <c r="J971" s="469"/>
      <c r="K971" s="468"/>
      <c r="L971" s="468"/>
      <c r="M971" s="468"/>
      <c r="N971" s="468"/>
      <c r="O971" s="468"/>
      <c r="P971" s="468"/>
      <c r="Q971" s="468"/>
      <c r="R971" s="375"/>
      <c r="S971" s="415"/>
      <c r="T971" s="415"/>
      <c r="U971" s="377"/>
      <c r="V971" s="377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</row>
    <row r="972" ht="14.25" customHeight="1">
      <c r="A972" s="1"/>
      <c r="B972" s="1"/>
      <c r="C972" s="1"/>
      <c r="D972" s="468"/>
      <c r="E972" s="468"/>
      <c r="F972" s="468"/>
      <c r="G972" s="468"/>
      <c r="H972" s="468"/>
      <c r="I972" s="468"/>
      <c r="J972" s="469"/>
      <c r="K972" s="468"/>
      <c r="L972" s="468"/>
      <c r="M972" s="468"/>
      <c r="N972" s="468"/>
      <c r="O972" s="468"/>
      <c r="P972" s="468"/>
      <c r="Q972" s="468"/>
      <c r="R972" s="375"/>
      <c r="S972" s="415"/>
      <c r="T972" s="415"/>
      <c r="U972" s="377"/>
      <c r="V972" s="377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</row>
    <row r="973" ht="14.25" customHeight="1">
      <c r="A973" s="1"/>
      <c r="B973" s="1"/>
      <c r="C973" s="1"/>
      <c r="D973" s="468"/>
      <c r="E973" s="468"/>
      <c r="F973" s="468"/>
      <c r="G973" s="468"/>
      <c r="H973" s="468"/>
      <c r="I973" s="468"/>
      <c r="J973" s="469"/>
      <c r="K973" s="468"/>
      <c r="L973" s="468"/>
      <c r="M973" s="468"/>
      <c r="N973" s="468"/>
      <c r="O973" s="468"/>
      <c r="P973" s="468"/>
      <c r="Q973" s="468"/>
      <c r="R973" s="375"/>
      <c r="S973" s="415"/>
      <c r="T973" s="415"/>
      <c r="U973" s="377"/>
      <c r="V973" s="377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</row>
    <row r="974" ht="14.25" customHeight="1">
      <c r="A974" s="1"/>
      <c r="B974" s="1"/>
      <c r="C974" s="1"/>
      <c r="D974" s="468"/>
      <c r="E974" s="468"/>
      <c r="F974" s="468"/>
      <c r="G974" s="468"/>
      <c r="H974" s="468"/>
      <c r="I974" s="468"/>
      <c r="J974" s="469"/>
      <c r="K974" s="468"/>
      <c r="L974" s="468"/>
      <c r="M974" s="468"/>
      <c r="N974" s="468"/>
      <c r="O974" s="468"/>
      <c r="P974" s="468"/>
      <c r="Q974" s="468"/>
      <c r="R974" s="375"/>
      <c r="S974" s="415"/>
      <c r="T974" s="415"/>
      <c r="U974" s="377"/>
      <c r="V974" s="377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</row>
    <row r="975" ht="14.25" customHeight="1">
      <c r="A975" s="1"/>
      <c r="B975" s="1"/>
      <c r="C975" s="1"/>
      <c r="D975" s="468"/>
      <c r="E975" s="468"/>
      <c r="F975" s="468"/>
      <c r="G975" s="468"/>
      <c r="H975" s="468"/>
      <c r="I975" s="468"/>
      <c r="J975" s="469"/>
      <c r="K975" s="468"/>
      <c r="L975" s="468"/>
      <c r="M975" s="468"/>
      <c r="N975" s="468"/>
      <c r="O975" s="468"/>
      <c r="P975" s="468"/>
      <c r="Q975" s="468"/>
      <c r="R975" s="375"/>
      <c r="S975" s="415"/>
      <c r="T975" s="415"/>
      <c r="U975" s="377"/>
      <c r="V975" s="377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</row>
    <row r="976" ht="14.25" customHeight="1">
      <c r="A976" s="1"/>
      <c r="B976" s="1"/>
      <c r="C976" s="1"/>
      <c r="D976" s="468"/>
      <c r="E976" s="468"/>
      <c r="F976" s="468"/>
      <c r="G976" s="468"/>
      <c r="H976" s="468"/>
      <c r="I976" s="468"/>
      <c r="J976" s="469"/>
      <c r="K976" s="468"/>
      <c r="L976" s="468"/>
      <c r="M976" s="468"/>
      <c r="N976" s="468"/>
      <c r="O976" s="468"/>
      <c r="P976" s="468"/>
      <c r="Q976" s="468"/>
      <c r="R976" s="375"/>
      <c r="S976" s="415"/>
      <c r="T976" s="415"/>
      <c r="U976" s="377"/>
      <c r="V976" s="377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</row>
    <row r="977" ht="14.25" customHeight="1">
      <c r="A977" s="1"/>
      <c r="B977" s="1"/>
      <c r="C977" s="1"/>
      <c r="D977" s="468"/>
      <c r="E977" s="468"/>
      <c r="F977" s="468"/>
      <c r="G977" s="468"/>
      <c r="H977" s="468"/>
      <c r="I977" s="468"/>
      <c r="J977" s="469"/>
      <c r="K977" s="468"/>
      <c r="L977" s="468"/>
      <c r="M977" s="468"/>
      <c r="N977" s="468"/>
      <c r="O977" s="468"/>
      <c r="P977" s="468"/>
      <c r="Q977" s="468"/>
      <c r="R977" s="375"/>
      <c r="S977" s="415"/>
      <c r="T977" s="415"/>
      <c r="U977" s="377"/>
      <c r="V977" s="377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</row>
    <row r="978" ht="14.25" customHeight="1">
      <c r="A978" s="1"/>
      <c r="B978" s="1"/>
      <c r="C978" s="1"/>
      <c r="D978" s="468"/>
      <c r="E978" s="468"/>
      <c r="F978" s="468"/>
      <c r="G978" s="468"/>
      <c r="H978" s="468"/>
      <c r="I978" s="468"/>
      <c r="J978" s="469"/>
      <c r="K978" s="468"/>
      <c r="L978" s="468"/>
      <c r="M978" s="468"/>
      <c r="N978" s="468"/>
      <c r="O978" s="468"/>
      <c r="P978" s="468"/>
      <c r="Q978" s="468"/>
      <c r="R978" s="375"/>
      <c r="S978" s="415"/>
      <c r="T978" s="415"/>
      <c r="U978" s="377"/>
      <c r="V978" s="377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</row>
    <row r="979" ht="14.25" customHeight="1">
      <c r="A979" s="1"/>
      <c r="B979" s="1"/>
      <c r="C979" s="1"/>
      <c r="D979" s="468"/>
      <c r="E979" s="468"/>
      <c r="F979" s="468"/>
      <c r="G979" s="468"/>
      <c r="H979" s="468"/>
      <c r="I979" s="468"/>
      <c r="J979" s="469"/>
      <c r="K979" s="468"/>
      <c r="L979" s="468"/>
      <c r="M979" s="468"/>
      <c r="N979" s="468"/>
      <c r="O979" s="468"/>
      <c r="P979" s="468"/>
      <c r="Q979" s="468"/>
      <c r="R979" s="375"/>
      <c r="S979" s="415"/>
      <c r="T979" s="415"/>
      <c r="U979" s="377"/>
      <c r="V979" s="377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</row>
    <row r="980" ht="14.25" customHeight="1">
      <c r="A980" s="1"/>
      <c r="B980" s="1"/>
      <c r="C980" s="1"/>
      <c r="D980" s="468"/>
      <c r="E980" s="468"/>
      <c r="F980" s="468"/>
      <c r="G980" s="468"/>
      <c r="H980" s="468"/>
      <c r="I980" s="468"/>
      <c r="J980" s="469"/>
      <c r="K980" s="468"/>
      <c r="L980" s="468"/>
      <c r="M980" s="468"/>
      <c r="N980" s="468"/>
      <c r="O980" s="468"/>
      <c r="P980" s="468"/>
      <c r="Q980" s="468"/>
      <c r="R980" s="375"/>
      <c r="S980" s="415"/>
      <c r="T980" s="415"/>
      <c r="U980" s="377"/>
      <c r="V980" s="377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</row>
    <row r="981" ht="14.25" customHeight="1">
      <c r="A981" s="1"/>
      <c r="B981" s="1"/>
      <c r="C981" s="1"/>
      <c r="D981" s="468"/>
      <c r="E981" s="468"/>
      <c r="F981" s="468"/>
      <c r="G981" s="468"/>
      <c r="H981" s="468"/>
      <c r="I981" s="468"/>
      <c r="J981" s="469"/>
      <c r="K981" s="468"/>
      <c r="L981" s="468"/>
      <c r="M981" s="468"/>
      <c r="N981" s="468"/>
      <c r="O981" s="468"/>
      <c r="P981" s="468"/>
      <c r="Q981" s="468"/>
      <c r="R981" s="375"/>
      <c r="S981" s="415"/>
      <c r="T981" s="415"/>
      <c r="U981" s="377"/>
      <c r="V981" s="377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</row>
    <row r="982" ht="14.25" customHeight="1">
      <c r="A982" s="1"/>
      <c r="B982" s="1"/>
      <c r="C982" s="1"/>
      <c r="D982" s="468"/>
      <c r="E982" s="468"/>
      <c r="F982" s="468"/>
      <c r="G982" s="468"/>
      <c r="H982" s="468"/>
      <c r="I982" s="468"/>
      <c r="J982" s="469"/>
      <c r="K982" s="468"/>
      <c r="L982" s="468"/>
      <c r="M982" s="468"/>
      <c r="N982" s="468"/>
      <c r="O982" s="468"/>
      <c r="P982" s="468"/>
      <c r="Q982" s="468"/>
      <c r="R982" s="375"/>
      <c r="S982" s="415"/>
      <c r="T982" s="415"/>
      <c r="U982" s="377"/>
      <c r="V982" s="377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</row>
    <row r="983" ht="14.25" customHeight="1">
      <c r="A983" s="1"/>
      <c r="B983" s="1"/>
      <c r="C983" s="1"/>
      <c r="D983" s="468"/>
      <c r="E983" s="468"/>
      <c r="F983" s="468"/>
      <c r="G983" s="468"/>
      <c r="H983" s="468"/>
      <c r="I983" s="468"/>
      <c r="J983" s="469"/>
      <c r="K983" s="468"/>
      <c r="L983" s="468"/>
      <c r="M983" s="468"/>
      <c r="N983" s="468"/>
      <c r="O983" s="468"/>
      <c r="P983" s="468"/>
      <c r="Q983" s="468"/>
      <c r="R983" s="375"/>
      <c r="S983" s="415"/>
      <c r="T983" s="415"/>
      <c r="U983" s="377"/>
      <c r="V983" s="377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</row>
    <row r="984" ht="14.25" customHeight="1">
      <c r="A984" s="1"/>
      <c r="B984" s="1"/>
      <c r="C984" s="1"/>
      <c r="D984" s="468"/>
      <c r="E984" s="468"/>
      <c r="F984" s="468"/>
      <c r="G984" s="468"/>
      <c r="H984" s="468"/>
      <c r="I984" s="468"/>
      <c r="J984" s="469"/>
      <c r="K984" s="468"/>
      <c r="L984" s="468"/>
      <c r="M984" s="468"/>
      <c r="N984" s="468"/>
      <c r="O984" s="468"/>
      <c r="P984" s="468"/>
      <c r="Q984" s="468"/>
      <c r="R984" s="375"/>
      <c r="S984" s="415"/>
      <c r="T984" s="415"/>
      <c r="U984" s="377"/>
      <c r="V984" s="377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</row>
    <row r="985" ht="14.25" customHeight="1">
      <c r="A985" s="1"/>
      <c r="B985" s="1"/>
      <c r="C985" s="1"/>
      <c r="D985" s="468"/>
      <c r="E985" s="468"/>
      <c r="F985" s="468"/>
      <c r="G985" s="468"/>
      <c r="H985" s="468"/>
      <c r="I985" s="468"/>
      <c r="J985" s="469"/>
      <c r="K985" s="468"/>
      <c r="L985" s="468"/>
      <c r="M985" s="468"/>
      <c r="N985" s="468"/>
      <c r="O985" s="468"/>
      <c r="P985" s="468"/>
      <c r="Q985" s="468"/>
      <c r="R985" s="375"/>
      <c r="S985" s="415"/>
      <c r="T985" s="415"/>
      <c r="U985" s="377"/>
      <c r="V985" s="377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</row>
    <row r="986" ht="14.25" customHeight="1">
      <c r="A986" s="1"/>
      <c r="B986" s="1"/>
      <c r="C986" s="1"/>
      <c r="D986" s="468"/>
      <c r="E986" s="468"/>
      <c r="F986" s="468"/>
      <c r="G986" s="468"/>
      <c r="H986" s="468"/>
      <c r="I986" s="468"/>
      <c r="J986" s="469"/>
      <c r="K986" s="468"/>
      <c r="L986" s="468"/>
      <c r="M986" s="468"/>
      <c r="N986" s="468"/>
      <c r="O986" s="468"/>
      <c r="P986" s="468"/>
      <c r="Q986" s="468"/>
      <c r="R986" s="375"/>
      <c r="S986" s="415"/>
      <c r="T986" s="415"/>
      <c r="U986" s="377"/>
      <c r="V986" s="377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</row>
    <row r="987" ht="14.25" customHeight="1">
      <c r="A987" s="1"/>
      <c r="B987" s="1"/>
      <c r="C987" s="1"/>
      <c r="D987" s="468"/>
      <c r="E987" s="468"/>
      <c r="F987" s="468"/>
      <c r="G987" s="468"/>
      <c r="H987" s="468"/>
      <c r="I987" s="468"/>
      <c r="J987" s="469"/>
      <c r="K987" s="468"/>
      <c r="L987" s="468"/>
      <c r="M987" s="468"/>
      <c r="N987" s="468"/>
      <c r="O987" s="468"/>
      <c r="P987" s="468"/>
      <c r="Q987" s="468"/>
      <c r="R987" s="375"/>
      <c r="S987" s="415"/>
      <c r="T987" s="415"/>
      <c r="U987" s="377"/>
      <c r="V987" s="377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</row>
    <row r="988" ht="14.25" customHeight="1">
      <c r="A988" s="1"/>
      <c r="B988" s="1"/>
      <c r="C988" s="1"/>
      <c r="D988" s="468"/>
      <c r="E988" s="468"/>
      <c r="F988" s="468"/>
      <c r="G988" s="468"/>
      <c r="H988" s="468"/>
      <c r="I988" s="468"/>
      <c r="J988" s="469"/>
      <c r="K988" s="468"/>
      <c r="L988" s="468"/>
      <c r="M988" s="468"/>
      <c r="N988" s="468"/>
      <c r="O988" s="468"/>
      <c r="P988" s="468"/>
      <c r="Q988" s="468"/>
      <c r="R988" s="375"/>
      <c r="S988" s="415"/>
      <c r="T988" s="415"/>
      <c r="U988" s="377"/>
      <c r="V988" s="377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</row>
    <row r="989" ht="14.25" customHeight="1">
      <c r="A989" s="1"/>
      <c r="B989" s="1"/>
      <c r="C989" s="1"/>
      <c r="D989" s="468"/>
      <c r="E989" s="468"/>
      <c r="F989" s="468"/>
      <c r="G989" s="468"/>
      <c r="H989" s="468"/>
      <c r="I989" s="468"/>
      <c r="J989" s="469"/>
      <c r="K989" s="468"/>
      <c r="L989" s="468"/>
      <c r="M989" s="468"/>
      <c r="N989" s="468"/>
      <c r="O989" s="468"/>
      <c r="P989" s="468"/>
      <c r="Q989" s="468"/>
      <c r="R989" s="375"/>
      <c r="S989" s="415"/>
      <c r="T989" s="415"/>
      <c r="U989" s="377"/>
      <c r="V989" s="377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</row>
    <row r="990" ht="14.25" customHeight="1">
      <c r="A990" s="1"/>
      <c r="B990" s="1"/>
      <c r="C990" s="1"/>
      <c r="D990" s="468"/>
      <c r="E990" s="468"/>
      <c r="F990" s="468"/>
      <c r="G990" s="468"/>
      <c r="H990" s="468"/>
      <c r="I990" s="468"/>
      <c r="J990" s="469"/>
      <c r="K990" s="468"/>
      <c r="L990" s="468"/>
      <c r="M990" s="468"/>
      <c r="N990" s="468"/>
      <c r="O990" s="468"/>
      <c r="P990" s="468"/>
      <c r="Q990" s="468"/>
      <c r="R990" s="375"/>
      <c r="S990" s="415"/>
      <c r="T990" s="415"/>
      <c r="U990" s="377"/>
      <c r="V990" s="377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</row>
    <row r="991" ht="14.25" customHeight="1">
      <c r="A991" s="1"/>
      <c r="B991" s="1"/>
      <c r="C991" s="1"/>
      <c r="D991" s="468"/>
      <c r="E991" s="468"/>
      <c r="F991" s="468"/>
      <c r="G991" s="468"/>
      <c r="H991" s="468"/>
      <c r="I991" s="468"/>
      <c r="J991" s="469"/>
      <c r="K991" s="468"/>
      <c r="L991" s="468"/>
      <c r="M991" s="468"/>
      <c r="N991" s="468"/>
      <c r="O991" s="468"/>
      <c r="P991" s="468"/>
      <c r="Q991" s="468"/>
      <c r="R991" s="375"/>
      <c r="S991" s="415"/>
      <c r="T991" s="415"/>
      <c r="U991" s="377"/>
      <c r="V991" s="377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</row>
    <row r="992" ht="14.25" customHeight="1">
      <c r="A992" s="1"/>
      <c r="B992" s="1"/>
      <c r="C992" s="1"/>
      <c r="D992" s="468"/>
      <c r="E992" s="468"/>
      <c r="F992" s="468"/>
      <c r="G992" s="468"/>
      <c r="H992" s="468"/>
      <c r="I992" s="468"/>
      <c r="J992" s="469"/>
      <c r="K992" s="468"/>
      <c r="L992" s="468"/>
      <c r="M992" s="468"/>
      <c r="N992" s="468"/>
      <c r="O992" s="468"/>
      <c r="P992" s="468"/>
      <c r="Q992" s="468"/>
      <c r="R992" s="375"/>
      <c r="S992" s="415"/>
      <c r="T992" s="415"/>
      <c r="U992" s="377"/>
      <c r="V992" s="377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</row>
    <row r="993" ht="14.25" customHeight="1">
      <c r="A993" s="1"/>
      <c r="B993" s="1"/>
      <c r="C993" s="1"/>
      <c r="D993" s="468"/>
      <c r="E993" s="468"/>
      <c r="F993" s="468"/>
      <c r="G993" s="468"/>
      <c r="H993" s="468"/>
      <c r="I993" s="468"/>
      <c r="J993" s="469"/>
      <c r="K993" s="468"/>
      <c r="L993" s="468"/>
      <c r="M993" s="468"/>
      <c r="N993" s="468"/>
      <c r="O993" s="468"/>
      <c r="P993" s="468"/>
      <c r="Q993" s="468"/>
      <c r="R993" s="375"/>
      <c r="S993" s="415"/>
      <c r="T993" s="415"/>
      <c r="U993" s="377"/>
      <c r="V993" s="377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</row>
    <row r="994" ht="14.25" customHeight="1">
      <c r="A994" s="1"/>
      <c r="B994" s="1"/>
      <c r="C994" s="1"/>
      <c r="D994" s="468"/>
      <c r="E994" s="468"/>
      <c r="F994" s="468"/>
      <c r="G994" s="468"/>
      <c r="H994" s="468"/>
      <c r="I994" s="468"/>
      <c r="J994" s="469"/>
      <c r="K994" s="468"/>
      <c r="L994" s="468"/>
      <c r="M994" s="468"/>
      <c r="N994" s="468"/>
      <c r="O994" s="468"/>
      <c r="P994" s="468"/>
      <c r="Q994" s="468"/>
      <c r="R994" s="375"/>
      <c r="S994" s="415"/>
      <c r="T994" s="415"/>
      <c r="U994" s="377"/>
      <c r="V994" s="377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</row>
    <row r="995" ht="14.25" customHeight="1">
      <c r="A995" s="1"/>
      <c r="B995" s="1"/>
      <c r="C995" s="1"/>
      <c r="D995" s="468"/>
      <c r="E995" s="468"/>
      <c r="F995" s="468"/>
      <c r="G995" s="468"/>
      <c r="H995" s="468"/>
      <c r="I995" s="468"/>
      <c r="J995" s="469"/>
      <c r="K995" s="468"/>
      <c r="L995" s="468"/>
      <c r="M995" s="468"/>
      <c r="N995" s="468"/>
      <c r="O995" s="468"/>
      <c r="P995" s="468"/>
      <c r="Q995" s="468"/>
      <c r="R995" s="375"/>
      <c r="S995" s="415"/>
      <c r="T995" s="415"/>
      <c r="U995" s="377"/>
      <c r="V995" s="377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</row>
    <row r="996" ht="14.25" customHeight="1">
      <c r="A996" s="1"/>
      <c r="B996" s="1"/>
      <c r="C996" s="1"/>
      <c r="D996" s="468"/>
      <c r="E996" s="468"/>
      <c r="F996" s="468"/>
      <c r="G996" s="468"/>
      <c r="H996" s="468"/>
      <c r="I996" s="468"/>
      <c r="J996" s="469"/>
      <c r="K996" s="468"/>
      <c r="L996" s="468"/>
      <c r="M996" s="468"/>
      <c r="N996" s="468"/>
      <c r="O996" s="468"/>
      <c r="P996" s="468"/>
      <c r="Q996" s="468"/>
      <c r="R996" s="375"/>
      <c r="S996" s="415"/>
      <c r="T996" s="415"/>
      <c r="U996" s="377"/>
      <c r="V996" s="377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</row>
    <row r="997" ht="14.25" customHeight="1">
      <c r="A997" s="1"/>
      <c r="B997" s="1"/>
      <c r="C997" s="1"/>
      <c r="D997" s="468"/>
      <c r="E997" s="468"/>
      <c r="F997" s="468"/>
      <c r="G997" s="468"/>
      <c r="H997" s="468"/>
      <c r="I997" s="468"/>
      <c r="J997" s="469"/>
      <c r="K997" s="468"/>
      <c r="L997" s="468"/>
      <c r="M997" s="468"/>
      <c r="N997" s="468"/>
      <c r="O997" s="468"/>
      <c r="P997" s="468"/>
      <c r="Q997" s="468"/>
      <c r="R997" s="375"/>
      <c r="S997" s="415"/>
      <c r="T997" s="415"/>
      <c r="U997" s="377"/>
      <c r="V997" s="377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</row>
    <row r="998" ht="14.25" customHeight="1">
      <c r="A998" s="1"/>
      <c r="B998" s="1"/>
      <c r="C998" s="1"/>
      <c r="D998" s="468"/>
      <c r="E998" s="468"/>
      <c r="F998" s="468"/>
      <c r="G998" s="468"/>
      <c r="H998" s="468"/>
      <c r="I998" s="468"/>
      <c r="J998" s="469"/>
      <c r="K998" s="468"/>
      <c r="L998" s="468"/>
      <c r="M998" s="468"/>
      <c r="N998" s="468"/>
      <c r="O998" s="468"/>
      <c r="P998" s="468"/>
      <c r="Q998" s="468"/>
      <c r="R998" s="375"/>
      <c r="S998" s="415"/>
      <c r="T998" s="415"/>
      <c r="U998" s="377"/>
      <c r="V998" s="377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</row>
    <row r="999" ht="14.25" customHeight="1">
      <c r="A999" s="1"/>
      <c r="B999" s="1"/>
      <c r="C999" s="1"/>
      <c r="D999" s="468"/>
      <c r="E999" s="468"/>
      <c r="F999" s="468"/>
      <c r="G999" s="468"/>
      <c r="H999" s="468"/>
      <c r="I999" s="468"/>
      <c r="J999" s="469"/>
      <c r="K999" s="468"/>
      <c r="L999" s="468"/>
      <c r="M999" s="468"/>
      <c r="N999" s="468"/>
      <c r="O999" s="468"/>
      <c r="P999" s="468"/>
      <c r="Q999" s="468"/>
      <c r="R999" s="375"/>
      <c r="S999" s="415"/>
      <c r="T999" s="415"/>
      <c r="U999" s="377"/>
      <c r="V999" s="377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</row>
    <row r="1000" ht="14.25" customHeight="1">
      <c r="A1000" s="1"/>
      <c r="B1000" s="1"/>
      <c r="C1000" s="1"/>
      <c r="D1000" s="468"/>
      <c r="E1000" s="468"/>
      <c r="F1000" s="468"/>
      <c r="G1000" s="468"/>
      <c r="H1000" s="468"/>
      <c r="I1000" s="468"/>
      <c r="J1000" s="469"/>
      <c r="K1000" s="468"/>
      <c r="L1000" s="468"/>
      <c r="M1000" s="468"/>
      <c r="N1000" s="468"/>
      <c r="O1000" s="468"/>
      <c r="P1000" s="468"/>
      <c r="Q1000" s="468"/>
      <c r="R1000" s="375"/>
      <c r="S1000" s="415"/>
      <c r="T1000" s="415"/>
      <c r="U1000" s="377"/>
      <c r="V1000" s="377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</row>
  </sheetData>
  <mergeCells count="19">
    <mergeCell ref="U2:W2"/>
    <mergeCell ref="Z2:AC2"/>
    <mergeCell ref="B3:B4"/>
    <mergeCell ref="C4:Q4"/>
    <mergeCell ref="T4:AD4"/>
    <mergeCell ref="S8:T8"/>
    <mergeCell ref="S22:T22"/>
    <mergeCell ref="P29:R29"/>
    <mergeCell ref="D86:F86"/>
    <mergeCell ref="H86:J86"/>
    <mergeCell ref="D87:F87"/>
    <mergeCell ref="H87:J87"/>
    <mergeCell ref="B7:B8"/>
    <mergeCell ref="B29:B30"/>
    <mergeCell ref="G47:N48"/>
    <mergeCell ref="P48:T49"/>
    <mergeCell ref="U48:W48"/>
    <mergeCell ref="G49:L49"/>
    <mergeCell ref="T57:T58"/>
  </mergeCells>
  <dataValidations>
    <dataValidation type="list" allowBlank="1" showErrorMessage="1" sqref="U49">
      <formula1>Yearchoice</formula1>
    </dataValidation>
  </dataValidations>
  <hyperlinks>
    <hyperlink r:id="rId1" location="collapse-moving-the-needle" ref="G49"/>
  </hyperlinks>
  <printOptions horizontalCentered="1"/>
  <pageMargins bottom="0.75" footer="0.0" header="0.0" left="0.25" right="0.25" top="0.75"/>
  <pageSetup orientation="landscape" pageOrder="overThenDown"/>
  <headerFooter>
    <oddFooter>&amp;C&amp;F</oddFooter>
  </headerFooter>
  <rowBreaks count="1" manualBreakCount="1">
    <brk id="4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4">
    <pageSetUpPr fitToPage="1"/>
  </sheetPr>
  <sheetViews>
    <sheetView workbookViewId="0"/>
  </sheetViews>
  <sheetFormatPr customHeight="1" defaultColWidth="12.63" defaultRowHeight="15.0" outlineLevelCol="1"/>
  <cols>
    <col customWidth="1" min="1" max="1" width="3.75"/>
    <col customWidth="1" min="2" max="2" width="3.0"/>
    <col customWidth="1" min="3" max="3" width="14.38"/>
    <col customWidth="1" min="4" max="4" width="13.38"/>
    <col customWidth="1" min="5" max="5" width="1.13"/>
    <col customWidth="1" min="6" max="6" width="11.75"/>
    <col customWidth="1" min="7" max="7" width="1.13"/>
    <col customWidth="1" min="8" max="8" width="11.75"/>
    <col customWidth="1" min="9" max="9" width="1.13"/>
    <col customWidth="1" min="10" max="10" width="11.75"/>
    <col customWidth="1" min="11" max="11" width="1.13"/>
    <col customWidth="1" min="12" max="12" width="11.75"/>
    <col customWidth="1" min="13" max="13" width="1.13"/>
    <col customWidth="1" min="14" max="14" width="12.5"/>
    <col customWidth="1" min="15" max="15" width="1.13"/>
    <col customWidth="1" min="16" max="16" width="11.75"/>
    <col customWidth="1" min="17" max="17" width="1.13"/>
    <col customWidth="1" min="18" max="18" width="13.13"/>
    <col customWidth="1" min="19" max="19" width="2.75"/>
    <col customWidth="1" min="20" max="20" width="15.75"/>
    <col customWidth="1" min="21" max="21" width="2.75"/>
    <col customWidth="1" min="22" max="22" width="8.25"/>
    <col customWidth="1" min="23" max="23" width="12.75"/>
    <col customWidth="1" min="24" max="27" width="8.38"/>
    <col customWidth="1" min="28" max="28" width="12.0"/>
    <col customWidth="1" min="29" max="29" width="10.75"/>
    <col customWidth="1" min="30" max="31" width="8.38"/>
    <col customWidth="1" min="32" max="32" width="3.0"/>
    <col customWidth="1" min="33" max="33" width="15.75"/>
    <col customWidth="1" min="34" max="34" width="13.38"/>
    <col customWidth="1" min="35" max="35" width="1.13"/>
    <col customWidth="1" min="36" max="36" width="11.75"/>
    <col customWidth="1" min="37" max="37" width="1.13"/>
    <col customWidth="1" min="38" max="38" width="11.75"/>
    <col customWidth="1" min="39" max="39" width="1.13"/>
    <col customWidth="1" min="40" max="40" width="11.75"/>
    <col customWidth="1" min="41" max="41" width="1.13"/>
    <col customWidth="1" min="42" max="42" width="11.75"/>
    <col customWidth="1" min="43" max="43" width="1.13"/>
    <col customWidth="1" min="44" max="44" width="11.75"/>
    <col customWidth="1" min="45" max="45" width="2.75"/>
    <col customWidth="1" min="46" max="46" width="12.0"/>
    <col customWidth="1" min="47" max="47" width="2.75"/>
    <col customWidth="1" min="48" max="48" width="12.0"/>
    <col customWidth="1" min="49" max="49" width="3.13"/>
    <col customWidth="1" min="50" max="50" width="10.63"/>
  </cols>
  <sheetData>
    <row r="1" ht="78.75" customHeight="1">
      <c r="A1" s="1"/>
      <c r="B1" s="2" t="str">
        <f>'A Cover'!G8</f>
        <v>Example University</v>
      </c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8"/>
      <c r="AG1" s="421"/>
      <c r="AH1" s="421"/>
      <c r="AI1" s="421"/>
      <c r="AJ1" s="421"/>
      <c r="AK1" s="42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15.75" customHeight="1">
      <c r="A2" s="1"/>
      <c r="B2" s="364" t="s">
        <v>254</v>
      </c>
      <c r="C2" s="151"/>
      <c r="D2" s="426"/>
      <c r="E2" s="426"/>
      <c r="F2" s="428" t="s">
        <v>0</v>
      </c>
      <c r="G2" s="34" t="s">
        <v>9</v>
      </c>
      <c r="H2" s="426"/>
      <c r="I2" s="426"/>
      <c r="J2" s="426"/>
      <c r="K2" s="426"/>
      <c r="L2" s="426"/>
      <c r="M2" s="426"/>
      <c r="N2" s="426"/>
      <c r="O2" s="426"/>
      <c r="P2" s="1"/>
      <c r="Q2" s="1"/>
      <c r="R2" s="5"/>
      <c r="S2" s="430">
        <f>'A Cover'!G12</f>
        <v>46307</v>
      </c>
      <c r="T2" s="2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364"/>
      <c r="AG2" s="151"/>
      <c r="AH2" s="426"/>
      <c r="AI2" s="426"/>
      <c r="AJ2" s="428" t="s">
        <v>0</v>
      </c>
      <c r="AK2" s="34" t="s">
        <v>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5.25" customHeight="1">
      <c r="A3" s="1"/>
      <c r="B3" s="364"/>
      <c r="C3" s="151"/>
      <c r="D3" s="426"/>
      <c r="E3" s="426"/>
      <c r="F3" s="431"/>
      <c r="G3" s="49"/>
      <c r="H3" s="426"/>
      <c r="I3" s="426"/>
      <c r="J3" s="426"/>
      <c r="K3" s="426"/>
      <c r="L3" s="426"/>
      <c r="M3" s="426"/>
      <c r="N3" s="426"/>
      <c r="O3" s="426"/>
      <c r="P3" s="1"/>
      <c r="Q3" s="1"/>
      <c r="R3" s="5"/>
      <c r="S3" s="432"/>
      <c r="T3" s="432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364"/>
      <c r="AG3" s="151"/>
      <c r="AH3" s="426"/>
      <c r="AI3" s="426"/>
      <c r="AJ3" s="426"/>
      <c r="AK3" s="49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16.5" customHeight="1">
      <c r="A4" s="1"/>
      <c r="B4" s="433" t="s">
        <v>256</v>
      </c>
      <c r="C4" s="434" t="s">
        <v>257</v>
      </c>
      <c r="D4" s="426"/>
      <c r="E4" s="426"/>
      <c r="F4" s="69" t="str">
        <f>'F Population'!P6</f>
        <v>2026 - 27</v>
      </c>
      <c r="G4" s="1"/>
      <c r="H4" s="69" t="str">
        <f>'F Population'!U6</f>
        <v>2027 - 28</v>
      </c>
      <c r="I4" s="52"/>
      <c r="J4" s="69" t="str">
        <f>'F Population'!W6</f>
        <v>2028 - 29</v>
      </c>
      <c r="K4" s="52"/>
      <c r="L4" s="69" t="str">
        <f>'F Population'!Y6</f>
        <v>2029 - 30</v>
      </c>
      <c r="M4" s="52"/>
      <c r="N4" s="69" t="str">
        <f>'F Population'!AA6</f>
        <v>2030 - 31</v>
      </c>
      <c r="O4" s="65"/>
      <c r="P4" s="69" t="str">
        <f>'F Population'!AC6</f>
        <v>2031 - 32</v>
      </c>
      <c r="Q4" s="1"/>
      <c r="R4" s="5"/>
      <c r="S4" s="432"/>
      <c r="T4" s="432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364"/>
      <c r="AG4" s="151"/>
      <c r="AH4" s="426"/>
      <c r="AI4" s="426"/>
      <c r="AJ4" s="426"/>
      <c r="AK4" s="49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4.5" customHeight="1">
      <c r="A5" s="1"/>
      <c r="B5" s="364"/>
      <c r="C5" s="151"/>
      <c r="D5" s="426"/>
      <c r="E5" s="426"/>
      <c r="F5" s="1"/>
      <c r="G5" s="1"/>
      <c r="H5" s="436"/>
      <c r="I5" s="437"/>
      <c r="J5" s="438"/>
      <c r="K5" s="437"/>
      <c r="L5" s="439"/>
      <c r="M5" s="437"/>
      <c r="N5" s="438"/>
      <c r="O5" s="437"/>
      <c r="P5" s="438"/>
      <c r="Q5" s="1"/>
      <c r="R5" s="5"/>
      <c r="S5" s="432"/>
      <c r="T5" s="432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364"/>
      <c r="AG5" s="151"/>
      <c r="AH5" s="426"/>
      <c r="AI5" s="426"/>
      <c r="AJ5" s="426"/>
      <c r="AK5" s="49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14.25" customHeight="1">
      <c r="A6" s="1"/>
      <c r="B6" s="364"/>
      <c r="C6" s="151"/>
      <c r="D6" s="441" t="s">
        <v>259</v>
      </c>
      <c r="E6" s="426"/>
      <c r="F6" s="445">
        <f>('J Proj CY'!F6/'E Budg CY'!L6)/('F Population'!P$20/'F Population'!N$20)-1</f>
        <v>0.008651119509</v>
      </c>
      <c r="G6" s="446"/>
      <c r="H6" s="447">
        <v>0.02</v>
      </c>
      <c r="I6" s="437"/>
      <c r="J6" s="447">
        <v>0.02</v>
      </c>
      <c r="K6" s="448"/>
      <c r="L6" s="447">
        <v>0.02</v>
      </c>
      <c r="M6" s="448"/>
      <c r="N6" s="447">
        <v>0.02</v>
      </c>
      <c r="O6" s="448"/>
      <c r="P6" s="447">
        <v>0.02</v>
      </c>
      <c r="Q6" s="1"/>
      <c r="R6" s="5"/>
      <c r="S6" s="432"/>
      <c r="T6" s="432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364"/>
      <c r="AG6" s="151"/>
      <c r="AH6" s="426"/>
      <c r="AI6" s="426"/>
      <c r="AJ6" s="426"/>
      <c r="AK6" s="49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4.5" customHeight="1">
      <c r="A7" s="1"/>
      <c r="B7" s="364"/>
      <c r="C7" s="151"/>
      <c r="D7" s="441"/>
      <c r="E7" s="426"/>
      <c r="F7" s="449"/>
      <c r="G7" s="446"/>
      <c r="H7" s="450"/>
      <c r="I7" s="437"/>
      <c r="J7" s="450"/>
      <c r="K7" s="451"/>
      <c r="L7" s="450"/>
      <c r="M7" s="451"/>
      <c r="N7" s="450"/>
      <c r="O7" s="451"/>
      <c r="P7" s="450"/>
      <c r="Q7" s="1"/>
      <c r="R7" s="5"/>
      <c r="S7" s="432"/>
      <c r="T7" s="432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364"/>
      <c r="AG7" s="151"/>
      <c r="AH7" s="426"/>
      <c r="AI7" s="426"/>
      <c r="AJ7" s="426"/>
      <c r="AK7" s="49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15.75" customHeight="1">
      <c r="A8" s="1"/>
      <c r="B8" s="364"/>
      <c r="C8" s="151"/>
      <c r="D8" s="441" t="s">
        <v>260</v>
      </c>
      <c r="E8" s="426"/>
      <c r="F8" s="449">
        <f>('J Proj CY'!F140/'E Budg CY'!L140)/('F Population'!P$20/'F Population'!N$20)-1</f>
        <v>-0.006062439047</v>
      </c>
      <c r="G8" s="446"/>
      <c r="H8" s="447">
        <v>0.02</v>
      </c>
      <c r="I8" s="437"/>
      <c r="J8" s="447">
        <v>0.02</v>
      </c>
      <c r="K8" s="448"/>
      <c r="L8" s="447">
        <v>0.02</v>
      </c>
      <c r="M8" s="448"/>
      <c r="N8" s="447">
        <v>0.02</v>
      </c>
      <c r="O8" s="448"/>
      <c r="P8" s="447">
        <v>0.02</v>
      </c>
      <c r="Q8" s="1"/>
      <c r="R8" s="5"/>
      <c r="S8" s="432"/>
      <c r="T8" s="432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364"/>
      <c r="AG8" s="151"/>
      <c r="AH8" s="426"/>
      <c r="AI8" s="426"/>
      <c r="AJ8" s="426"/>
      <c r="AK8" s="49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4.5" customHeight="1">
      <c r="A9" s="1"/>
      <c r="B9" s="364"/>
      <c r="C9" s="151"/>
      <c r="D9" s="441"/>
      <c r="E9" s="426"/>
      <c r="F9" s="449"/>
      <c r="G9" s="446"/>
      <c r="H9" s="450"/>
      <c r="I9" s="437"/>
      <c r="J9" s="450"/>
      <c r="K9" s="451"/>
      <c r="L9" s="450"/>
      <c r="M9" s="451"/>
      <c r="N9" s="450"/>
      <c r="O9" s="451"/>
      <c r="P9" s="450"/>
      <c r="Q9" s="1"/>
      <c r="R9" s="5"/>
      <c r="S9" s="432"/>
      <c r="T9" s="432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364"/>
      <c r="AG9" s="151"/>
      <c r="AH9" s="426"/>
      <c r="AI9" s="426"/>
      <c r="AJ9" s="426"/>
      <c r="AK9" s="49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14.25" customHeight="1">
      <c r="A10" s="1"/>
      <c r="B10" s="364"/>
      <c r="C10" s="151"/>
      <c r="D10" s="441" t="s">
        <v>262</v>
      </c>
      <c r="E10" s="426"/>
      <c r="F10" s="449">
        <f>('J Proj CY'!F142/'E Budg CY'!L142)/('F Population'!P$20/'F Population'!N$20)-1</f>
        <v>-0.01204674429</v>
      </c>
      <c r="G10" s="446"/>
      <c r="H10" s="447">
        <v>0.02</v>
      </c>
      <c r="I10" s="437"/>
      <c r="J10" s="447">
        <v>0.02</v>
      </c>
      <c r="K10" s="448"/>
      <c r="L10" s="447">
        <v>0.02</v>
      </c>
      <c r="M10" s="448"/>
      <c r="N10" s="447">
        <v>0.02</v>
      </c>
      <c r="O10" s="448"/>
      <c r="P10" s="447">
        <v>0.02</v>
      </c>
      <c r="Q10" s="1"/>
      <c r="R10" s="5"/>
      <c r="S10" s="432"/>
      <c r="T10" s="432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364"/>
      <c r="AG10" s="151"/>
      <c r="AH10" s="426"/>
      <c r="AI10" s="426"/>
      <c r="AJ10" s="426"/>
      <c r="AK10" s="49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5.25" customHeight="1">
      <c r="A11" s="1"/>
      <c r="B11" s="364"/>
      <c r="C11" s="151"/>
      <c r="D11" s="441"/>
      <c r="E11" s="426"/>
      <c r="F11" s="449"/>
      <c r="G11" s="446"/>
      <c r="H11" s="450"/>
      <c r="I11" s="437"/>
      <c r="J11" s="450"/>
      <c r="K11" s="451"/>
      <c r="L11" s="450"/>
      <c r="M11" s="451"/>
      <c r="N11" s="450"/>
      <c r="O11" s="451"/>
      <c r="P11" s="450"/>
      <c r="Q11" s="1"/>
      <c r="R11" s="5"/>
      <c r="S11" s="432"/>
      <c r="T11" s="432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364"/>
      <c r="AG11" s="151"/>
      <c r="AH11" s="426"/>
      <c r="AI11" s="426"/>
      <c r="AJ11" s="426"/>
      <c r="AK11" s="49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14.25" customHeight="1">
      <c r="A12" s="1"/>
      <c r="B12" s="364"/>
      <c r="C12" s="151"/>
      <c r="D12" s="441" t="s">
        <v>263</v>
      </c>
      <c r="E12" s="426"/>
      <c r="F12" s="449">
        <f>('J Proj CY'!F144/'E Budg CY'!L144)/('F Population'!P$20/'F Population'!N$20)-1</f>
        <v>-0.02080807249</v>
      </c>
      <c r="G12" s="446"/>
      <c r="H12" s="447">
        <v>0.0</v>
      </c>
      <c r="I12" s="437"/>
      <c r="J12" s="447">
        <v>0.0</v>
      </c>
      <c r="K12" s="448"/>
      <c r="L12" s="447">
        <v>0.0</v>
      </c>
      <c r="M12" s="448"/>
      <c r="N12" s="447">
        <v>0.0</v>
      </c>
      <c r="O12" s="448"/>
      <c r="P12" s="447">
        <v>0.0</v>
      </c>
      <c r="Q12" s="1"/>
      <c r="R12" s="5"/>
      <c r="S12" s="432"/>
      <c r="T12" s="432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364"/>
      <c r="AG12" s="151"/>
      <c r="AH12" s="426"/>
      <c r="AI12" s="426"/>
      <c r="AJ12" s="426"/>
      <c r="AK12" s="49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4.5" customHeight="1">
      <c r="A13" s="1"/>
      <c r="B13" s="364"/>
      <c r="C13" s="151"/>
      <c r="D13" s="441"/>
      <c r="E13" s="426"/>
      <c r="F13" s="453"/>
      <c r="G13" s="446"/>
      <c r="H13" s="450"/>
      <c r="I13" s="437"/>
      <c r="J13" s="450"/>
      <c r="K13" s="451"/>
      <c r="L13" s="450"/>
      <c r="M13" s="451"/>
      <c r="N13" s="450"/>
      <c r="O13" s="451"/>
      <c r="P13" s="450"/>
      <c r="Q13" s="1"/>
      <c r="R13" s="5"/>
      <c r="S13" s="432"/>
      <c r="T13" s="432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364"/>
      <c r="AG13" s="151"/>
      <c r="AH13" s="426"/>
      <c r="AI13" s="426"/>
      <c r="AJ13" s="426"/>
      <c r="AK13" s="49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15.75" customHeight="1">
      <c r="A14" s="1"/>
      <c r="B14" s="364"/>
      <c r="C14" s="151"/>
      <c r="D14" s="441" t="s">
        <v>264</v>
      </c>
      <c r="E14" s="426"/>
      <c r="F14" s="454">
        <f>'G Price-Aid'!F40</f>
        <v>0.49</v>
      </c>
      <c r="G14" s="446"/>
      <c r="H14" s="455">
        <v>0.51</v>
      </c>
      <c r="I14" s="437"/>
      <c r="J14" s="455">
        <v>0.51</v>
      </c>
      <c r="K14" s="451"/>
      <c r="L14" s="455">
        <v>0.51</v>
      </c>
      <c r="M14" s="451"/>
      <c r="N14" s="455">
        <v>0.51</v>
      </c>
      <c r="O14" s="451"/>
      <c r="P14" s="455">
        <v>0.51</v>
      </c>
      <c r="Q14" s="1"/>
      <c r="R14" s="5"/>
      <c r="S14" s="432"/>
      <c r="T14" s="432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51"/>
      <c r="AH14" s="426"/>
      <c r="AI14" s="426"/>
      <c r="AJ14" s="426"/>
      <c r="AK14" s="49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4.5" customHeight="1">
      <c r="A15" s="1"/>
      <c r="B15" s="364"/>
      <c r="C15" s="151"/>
      <c r="D15" s="441"/>
      <c r="E15" s="426"/>
      <c r="F15" s="441"/>
      <c r="G15" s="446"/>
      <c r="H15" s="450"/>
      <c r="I15" s="437"/>
      <c r="J15" s="450"/>
      <c r="K15" s="451"/>
      <c r="L15" s="450"/>
      <c r="M15" s="451"/>
      <c r="N15" s="450"/>
      <c r="O15" s="451"/>
      <c r="P15" s="450"/>
      <c r="Q15" s="1"/>
      <c r="R15" s="5"/>
      <c r="S15" s="432"/>
      <c r="T15" s="432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364"/>
      <c r="AG15" s="151"/>
      <c r="AH15" s="426"/>
      <c r="AI15" s="426"/>
      <c r="AJ15" s="426"/>
      <c r="AK15" s="49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15.75" customHeight="1">
      <c r="A16" s="1"/>
      <c r="B16" s="364"/>
      <c r="C16" s="151"/>
      <c r="D16" s="441" t="s">
        <v>267</v>
      </c>
      <c r="E16" s="426"/>
      <c r="F16" s="456">
        <v>50000.0</v>
      </c>
      <c r="G16" s="446"/>
      <c r="H16" s="456">
        <v>52000.0</v>
      </c>
      <c r="I16" s="437"/>
      <c r="J16" s="457">
        <v>54000.0</v>
      </c>
      <c r="K16" s="448"/>
      <c r="L16" s="457">
        <v>56000.0</v>
      </c>
      <c r="M16" s="448"/>
      <c r="N16" s="457">
        <v>58000.0</v>
      </c>
      <c r="O16" s="448"/>
      <c r="P16" s="457">
        <v>60000.0</v>
      </c>
      <c r="Q16" s="1"/>
      <c r="R16" s="5"/>
      <c r="S16" s="432"/>
      <c r="T16" s="432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364"/>
      <c r="AG16" s="151"/>
      <c r="AH16" s="426"/>
      <c r="AI16" s="426"/>
      <c r="AJ16" s="426"/>
      <c r="AK16" s="49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4.5" customHeight="1">
      <c r="A17" s="1"/>
      <c r="B17" s="364"/>
      <c r="C17" s="151"/>
      <c r="D17" s="441"/>
      <c r="E17" s="426"/>
      <c r="F17" s="450"/>
      <c r="G17" s="446"/>
      <c r="H17" s="450"/>
      <c r="I17" s="437"/>
      <c r="J17" s="450"/>
      <c r="K17" s="451"/>
      <c r="L17" s="450"/>
      <c r="M17" s="451"/>
      <c r="N17" s="450"/>
      <c r="O17" s="451"/>
      <c r="P17" s="450"/>
      <c r="Q17" s="1"/>
      <c r="R17" s="5"/>
      <c r="S17" s="432"/>
      <c r="T17" s="432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364"/>
      <c r="AG17" s="151"/>
      <c r="AH17" s="426"/>
      <c r="AI17" s="426"/>
      <c r="AJ17" s="426"/>
      <c r="AK17" s="49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15.75" customHeight="1">
      <c r="A18" s="1"/>
      <c r="B18" s="364"/>
      <c r="C18" s="1"/>
      <c r="D18" s="441" t="s">
        <v>269</v>
      </c>
      <c r="E18" s="426"/>
      <c r="F18" s="456">
        <v>120000.0</v>
      </c>
      <c r="G18" s="446"/>
      <c r="H18" s="456">
        <v>120000.0</v>
      </c>
      <c r="I18" s="437"/>
      <c r="J18" s="457">
        <v>120000.0</v>
      </c>
      <c r="K18" s="448"/>
      <c r="L18" s="457">
        <v>120000.0</v>
      </c>
      <c r="M18" s="448"/>
      <c r="N18" s="457">
        <v>120000.0</v>
      </c>
      <c r="O18" s="448"/>
      <c r="P18" s="457">
        <v>120000.0</v>
      </c>
      <c r="Q18" s="1"/>
      <c r="R18" s="15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364"/>
      <c r="AG18" s="151"/>
      <c r="AH18" s="426"/>
      <c r="AI18" s="426"/>
      <c r="AJ18" s="426"/>
      <c r="AK18" s="49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4.5" customHeight="1">
      <c r="A19" s="1"/>
      <c r="B19" s="364"/>
      <c r="C19" s="151"/>
      <c r="D19" s="441"/>
      <c r="E19" s="426"/>
      <c r="F19" s="441"/>
      <c r="G19" s="446"/>
      <c r="H19" s="450"/>
      <c r="I19" s="437"/>
      <c r="J19" s="450"/>
      <c r="K19" s="451"/>
      <c r="L19" s="450"/>
      <c r="M19" s="451"/>
      <c r="N19" s="450"/>
      <c r="O19" s="451"/>
      <c r="P19" s="450"/>
      <c r="Q19" s="1"/>
      <c r="R19" s="5"/>
      <c r="S19" s="432"/>
      <c r="T19" s="432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364"/>
      <c r="AG19" s="151"/>
      <c r="AH19" s="426"/>
      <c r="AI19" s="426"/>
      <c r="AJ19" s="426"/>
      <c r="AK19" s="49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15.75" customHeight="1">
      <c r="A20" s="1"/>
      <c r="B20" s="364"/>
      <c r="C20" s="1"/>
      <c r="D20" s="441" t="s">
        <v>270</v>
      </c>
      <c r="E20" s="426"/>
      <c r="F20" s="456">
        <v>2200000.0</v>
      </c>
      <c r="G20" s="446"/>
      <c r="H20" s="463">
        <f>IF('M Non student'!F92&lt;&gt;0,'M Non student'!H92/'M Non student'!F92*F20,F20)</f>
        <v>2544833.56</v>
      </c>
      <c r="I20" s="437"/>
      <c r="J20" s="463">
        <f>IF('M Non student'!H92&lt;&gt;0,'M Non student'!J92/'M Non student'!H92*H20,H20)</f>
        <v>2925837.36</v>
      </c>
      <c r="K20" s="432"/>
      <c r="L20" s="463">
        <f>IF('M Non student'!J92&lt;&gt;0,'M Non student'!L92/'M Non student'!J92*J20,J20)</f>
        <v>3289611.109</v>
      </c>
      <c r="M20" s="432"/>
      <c r="N20" s="463">
        <f>IF('M Non student'!L92&lt;&gt;0,'M Non student'!N92/'M Non student'!L92*L20,L20)</f>
        <v>3655231.3</v>
      </c>
      <c r="O20" s="432"/>
      <c r="P20" s="463">
        <f>IF('M Non student'!N92&lt;&gt;0,'M Non student'!P92/'M Non student'!N92*N20,N20)</f>
        <v>4033945.447</v>
      </c>
      <c r="Q20" s="1"/>
      <c r="R20" s="15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364"/>
      <c r="AG20" s="151"/>
      <c r="AH20" s="426"/>
      <c r="AI20" s="426"/>
      <c r="AJ20" s="426"/>
      <c r="AK20" s="49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ht="4.5" customHeight="1">
      <c r="A21" s="1"/>
      <c r="B21" s="364"/>
      <c r="C21" s="151"/>
      <c r="D21" s="441"/>
      <c r="E21" s="426"/>
      <c r="F21" s="441"/>
      <c r="G21" s="446"/>
      <c r="H21" s="450"/>
      <c r="I21" s="437"/>
      <c r="J21" s="450"/>
      <c r="K21" s="451"/>
      <c r="L21" s="450"/>
      <c r="M21" s="451"/>
      <c r="N21" s="450"/>
      <c r="O21" s="451"/>
      <c r="P21" s="450"/>
      <c r="Q21" s="1"/>
      <c r="R21" s="5"/>
      <c r="S21" s="432"/>
      <c r="T21" s="432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364"/>
      <c r="AG21" s="151"/>
      <c r="AH21" s="426"/>
      <c r="AI21" s="426"/>
      <c r="AJ21" s="426"/>
      <c r="AK21" s="49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ht="15.75" customHeight="1">
      <c r="A22" s="1"/>
      <c r="B22" s="364"/>
      <c r="C22" s="151"/>
      <c r="D22" s="441" t="s">
        <v>272</v>
      </c>
      <c r="E22" s="426"/>
      <c r="F22" s="456">
        <v>28440.0</v>
      </c>
      <c r="G22" s="446"/>
      <c r="H22" s="463">
        <f>F22*(1+H6)</f>
        <v>29008.8</v>
      </c>
      <c r="I22" s="463"/>
      <c r="J22" s="463">
        <f>H22*(1+J6)</f>
        <v>29588.976</v>
      </c>
      <c r="K22" s="463"/>
      <c r="L22" s="463">
        <f>J22*(1+L6)</f>
        <v>30180.75552</v>
      </c>
      <c r="M22" s="463"/>
      <c r="N22" s="463">
        <f>L22*(1+N6)</f>
        <v>30784.37063</v>
      </c>
      <c r="O22" s="463"/>
      <c r="P22" s="463">
        <f>N22*(1+P6)</f>
        <v>31400.05804</v>
      </c>
      <c r="Q22" s="1"/>
      <c r="R22" s="5"/>
      <c r="S22" s="432"/>
      <c r="T22" s="432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364"/>
      <c r="AG22" s="151"/>
      <c r="AH22" s="426"/>
      <c r="AI22" s="426"/>
      <c r="AJ22" s="426"/>
      <c r="AK22" s="49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ht="3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ht="12.75" customHeight="1">
      <c r="A24" s="1"/>
      <c r="B24" s="473"/>
      <c r="C24" s="39"/>
      <c r="D24" s="441" t="s">
        <v>273</v>
      </c>
      <c r="E24" s="49"/>
      <c r="F24" s="476">
        <f>IF('F Population'!P41&lt;&gt;"",'F Population'!P42,'F Population'!R42)</f>
        <v>0.9612676056</v>
      </c>
      <c r="G24" s="1"/>
      <c r="H24" s="476">
        <f>'F Population'!U42</f>
        <v>0.9803094233</v>
      </c>
      <c r="I24" s="477"/>
      <c r="J24" s="476">
        <f>'F Population'!W42</f>
        <v>0.9764542936</v>
      </c>
      <c r="K24" s="477"/>
      <c r="L24" s="476">
        <f>'F Population'!Y42</f>
        <v>0.9852546917</v>
      </c>
      <c r="M24" s="477"/>
      <c r="N24" s="476">
        <f>'F Population'!AA42</f>
        <v>0.9875886525</v>
      </c>
      <c r="O24" s="477"/>
      <c r="P24" s="476">
        <f>'F Population'!AC42</f>
        <v>0.9875996457</v>
      </c>
      <c r="Q24" s="479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473"/>
      <c r="AG24" s="39"/>
      <c r="AH24" s="1"/>
      <c r="AI24" s="49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ht="3.0" customHeight="1">
      <c r="A25" s="1"/>
      <c r="B25" s="473"/>
      <c r="C25" s="39"/>
      <c r="D25" s="441"/>
      <c r="E25" s="49"/>
      <c r="F25" s="477"/>
      <c r="G25" s="1"/>
      <c r="H25" s="477"/>
      <c r="I25" s="480"/>
      <c r="J25" s="39"/>
      <c r="K25" s="480"/>
      <c r="L25" s="481"/>
      <c r="M25" s="480"/>
      <c r="N25" s="479"/>
      <c r="O25" s="479"/>
      <c r="P25" s="479"/>
      <c r="Q25" s="479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473"/>
      <c r="AG25" s="39"/>
      <c r="AH25" s="1"/>
      <c r="AI25" s="49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ht="15.75" customHeight="1">
      <c r="A26" s="1"/>
      <c r="B26" s="473"/>
      <c r="C26" s="1"/>
      <c r="D26" s="441" t="s">
        <v>275</v>
      </c>
      <c r="E26" s="49"/>
      <c r="F26" s="455">
        <v>0.97</v>
      </c>
      <c r="G26" s="1"/>
      <c r="H26" s="455">
        <v>0.975</v>
      </c>
      <c r="I26" s="437"/>
      <c r="J26" s="455">
        <v>0.98</v>
      </c>
      <c r="K26" s="451"/>
      <c r="L26" s="455"/>
      <c r="M26" s="451"/>
      <c r="N26" s="455"/>
      <c r="O26" s="451"/>
      <c r="P26" s="455">
        <v>0.98</v>
      </c>
      <c r="Q26" s="479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364" t="s">
        <v>276</v>
      </c>
      <c r="AG26" s="39"/>
      <c r="AH26" s="1"/>
      <c r="AI26" s="49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ht="19.5" customHeight="1">
      <c r="A27" s="1"/>
      <c r="B27" s="1"/>
      <c r="C27" s="89"/>
      <c r="D27" s="485" t="s">
        <v>277</v>
      </c>
      <c r="E27" s="203"/>
      <c r="F27" s="488">
        <f>$AT34/$R34</f>
        <v>0.97</v>
      </c>
      <c r="G27" s="203"/>
      <c r="H27" s="488">
        <f>$AT56/$R56</f>
        <v>0.975</v>
      </c>
      <c r="I27" s="488"/>
      <c r="J27" s="488">
        <f>$AT88/$R88</f>
        <v>0.98</v>
      </c>
      <c r="K27" s="89"/>
      <c r="L27" s="488">
        <f>$AT108/$R108</f>
        <v>0.9725510624</v>
      </c>
      <c r="M27" s="488"/>
      <c r="N27" s="488">
        <f>$AT128/$R128</f>
        <v>0.9771670394</v>
      </c>
      <c r="O27" s="488"/>
      <c r="P27" s="488">
        <f>$AT148/$R148</f>
        <v>0.98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ht="14.25" customHeight="1">
      <c r="A28" s="1"/>
      <c r="B28" s="433" t="s">
        <v>103</v>
      </c>
      <c r="C28" s="433" t="s">
        <v>278</v>
      </c>
      <c r="D28" s="491" t="str">
        <f>'F Population'!P6</f>
        <v>2026 - 27</v>
      </c>
      <c r="E28" s="492"/>
      <c r="F28" s="73" t="s">
        <v>280</v>
      </c>
      <c r="G28" s="492"/>
      <c r="H28" s="73" t="s">
        <v>281</v>
      </c>
      <c r="I28" s="492"/>
      <c r="J28" s="73" t="s">
        <v>282</v>
      </c>
      <c r="K28" s="492"/>
      <c r="L28" s="73" t="s">
        <v>283</v>
      </c>
      <c r="M28" s="492"/>
      <c r="N28" s="73" t="s">
        <v>284</v>
      </c>
      <c r="O28" s="493"/>
      <c r="P28" s="73" t="s">
        <v>285</v>
      </c>
      <c r="Q28" s="493"/>
      <c r="R28" s="73" t="s">
        <v>286</v>
      </c>
      <c r="S28" s="199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433" t="s">
        <v>103</v>
      </c>
      <c r="AG28" s="434" t="s">
        <v>287</v>
      </c>
      <c r="AH28" s="491" t="str">
        <f>D28</f>
        <v>2026 - 27</v>
      </c>
      <c r="AI28" s="492"/>
      <c r="AJ28" s="496" t="s">
        <v>280</v>
      </c>
      <c r="AK28" s="492"/>
      <c r="AL28" s="496" t="s">
        <v>282</v>
      </c>
      <c r="AM28" s="492"/>
      <c r="AN28" s="496" t="s">
        <v>283</v>
      </c>
      <c r="AO28" s="492"/>
      <c r="AP28" s="496" t="s">
        <v>284</v>
      </c>
      <c r="AQ28" s="493"/>
      <c r="AR28" s="496" t="s">
        <v>285</v>
      </c>
      <c r="AS28" s="493"/>
      <c r="AT28" s="496" t="s">
        <v>286</v>
      </c>
      <c r="AU28" s="1"/>
      <c r="AV28" s="497" t="s">
        <v>288</v>
      </c>
      <c r="AW28" s="1"/>
      <c r="AX28" s="498" t="str">
        <f>AH28</f>
        <v>2026 - 27</v>
      </c>
    </row>
    <row r="29" ht="4.5" customHeight="1">
      <c r="A29" s="1"/>
      <c r="B29" s="1"/>
      <c r="C29" s="1"/>
      <c r="D29" s="1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1"/>
      <c r="AX29" s="1"/>
    </row>
    <row r="30" ht="15.0" customHeight="1">
      <c r="A30" s="89"/>
      <c r="B30" s="89"/>
      <c r="C30" s="332" t="s">
        <v>289</v>
      </c>
      <c r="D30" s="89"/>
      <c r="E30" s="501"/>
      <c r="F30" s="503">
        <f>'F Population'!P9</f>
        <v>575</v>
      </c>
      <c r="G30" s="501"/>
      <c r="H30" s="503">
        <f>'F Population'!P11</f>
        <v>30</v>
      </c>
      <c r="I30" s="501"/>
      <c r="J30" s="503">
        <f>'F Population'!P13</f>
        <v>419</v>
      </c>
      <c r="K30" s="501"/>
      <c r="L30" s="503">
        <f>'F Population'!P15</f>
        <v>509</v>
      </c>
      <c r="M30" s="501"/>
      <c r="N30" s="503">
        <f>'F Population'!P17</f>
        <v>441</v>
      </c>
      <c r="O30" s="178"/>
      <c r="P30" s="503">
        <f>'F Population'!P19</f>
        <v>14</v>
      </c>
      <c r="Q30" s="178"/>
      <c r="R30" s="503">
        <f>SUM(F30:P30)</f>
        <v>1988</v>
      </c>
      <c r="S30" s="506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332" t="s">
        <v>289</v>
      </c>
      <c r="AH30" s="89"/>
      <c r="AI30" s="501"/>
      <c r="AJ30" s="507">
        <f>'F Population'!AR31</f>
        <v>367</v>
      </c>
      <c r="AK30" s="501"/>
      <c r="AL30" s="507">
        <f>'F Population'!$AR33</f>
        <v>440</v>
      </c>
      <c r="AM30" s="501"/>
      <c r="AN30" s="507">
        <f>'F Population'!$AR35</f>
        <v>515</v>
      </c>
      <c r="AO30" s="501"/>
      <c r="AP30" s="507">
        <f>'F Population'!$AR37</f>
        <v>574</v>
      </c>
      <c r="AQ30" s="178"/>
      <c r="AR30" s="503">
        <f>'F Population'!$AR39</f>
        <v>15</v>
      </c>
      <c r="AS30" s="178"/>
      <c r="AT30" s="507">
        <f>SUM(AJ30:AR30)</f>
        <v>1911</v>
      </c>
      <c r="AU30" s="178"/>
      <c r="AV30" s="178"/>
      <c r="AW30" s="89"/>
      <c r="AX30" s="89"/>
    </row>
    <row r="31" ht="12.0" customHeight="1">
      <c r="A31" s="1"/>
      <c r="B31" s="1"/>
      <c r="C31" s="510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511" t="s">
        <v>291</v>
      </c>
      <c r="S31" s="506"/>
      <c r="T31" s="512" t="s">
        <v>292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510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511"/>
      <c r="AU31" s="511"/>
      <c r="AV31" s="511"/>
      <c r="AW31" s="1"/>
      <c r="AX31" s="1"/>
    </row>
    <row r="32" ht="15.0" customHeight="1">
      <c r="A32" s="89"/>
      <c r="B32" s="89"/>
      <c r="C32" s="332" t="s">
        <v>293</v>
      </c>
      <c r="D32" s="89"/>
      <c r="E32" s="89"/>
      <c r="F32" s="513">
        <f>F30/($R30-$P30)*($R32-$P32)</f>
        <v>8293497.062</v>
      </c>
      <c r="G32" s="89"/>
      <c r="H32" s="513">
        <f>H30/($R30-$P30)*($R32-$P32)</f>
        <v>432704.1945</v>
      </c>
      <c r="I32" s="89"/>
      <c r="J32" s="513">
        <f>J30/($R30-$P30)*($R32-$P32)</f>
        <v>6043435.25</v>
      </c>
      <c r="K32" s="89"/>
      <c r="L32" s="513">
        <f>L30/($R30-$P30)*($R32-$P32)</f>
        <v>7341547.834</v>
      </c>
      <c r="M32" s="89"/>
      <c r="N32" s="513">
        <f>N30/($R30-$P30)*($R32-$P32)</f>
        <v>6360751.66</v>
      </c>
      <c r="O32" s="484"/>
      <c r="P32" s="514"/>
      <c r="Q32" s="484"/>
      <c r="R32" s="514">
        <v>2.8471936E7</v>
      </c>
      <c r="S32" s="515" t="s">
        <v>294</v>
      </c>
      <c r="T32" s="516">
        <f>SUM(F30:N30)*F22/2+P32+T40</f>
        <v>28768915</v>
      </c>
      <c r="U32" s="203" t="s">
        <v>296</v>
      </c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332" t="s">
        <v>293</v>
      </c>
      <c r="AH32" s="89"/>
      <c r="AI32" s="89"/>
      <c r="AJ32" s="513">
        <f>AJ$30/(F$30+H$30)*(F32+H32)</f>
        <v>5293414.646</v>
      </c>
      <c r="AK32" s="89"/>
      <c r="AL32" s="513">
        <f>AL$30/J$30*J32</f>
        <v>6346328.186</v>
      </c>
      <c r="AM32" s="89"/>
      <c r="AN32" s="513">
        <f>AN$30/L$30*L32</f>
        <v>7428088.673</v>
      </c>
      <c r="AO32" s="89"/>
      <c r="AP32" s="513">
        <f>AP$30/N$30*N32</f>
        <v>8279073.589</v>
      </c>
      <c r="AQ32" s="484"/>
      <c r="AR32" s="513">
        <f>IF(P30&lt;&gt;0,AR30/P30*P32,P32)</f>
        <v>0</v>
      </c>
      <c r="AS32" s="484"/>
      <c r="AT32" s="185">
        <f>IF('I Student rev'!D9&lt;&gt;"",'I Student rev'!D9,SUM(AJ32:AR32))</f>
        <v>27346905.09</v>
      </c>
      <c r="AU32" s="185"/>
      <c r="AV32" s="185" t="str">
        <f>'I Student rev'!F9</f>
        <v/>
      </c>
      <c r="AW32" s="89"/>
      <c r="AX32" s="185">
        <f>R32+AT32+AV32</f>
        <v>55818841.09</v>
      </c>
    </row>
    <row r="33" ht="3.75" customHeight="1">
      <c r="A33" s="1"/>
      <c r="B33" s="1"/>
      <c r="C33" s="510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52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510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ht="15.0" customHeight="1">
      <c r="A34" s="89"/>
      <c r="B34" s="89"/>
      <c r="C34" s="332" t="s">
        <v>298</v>
      </c>
      <c r="D34" s="178"/>
      <c r="E34" s="178"/>
      <c r="F34" s="514">
        <f>F32*0.49</f>
        <v>4063813.56</v>
      </c>
      <c r="G34" s="178"/>
      <c r="H34" s="514">
        <f>H32*0.43</f>
        <v>186062.8036</v>
      </c>
      <c r="I34" s="178"/>
      <c r="J34" s="514">
        <f>J32*0.47</f>
        <v>2840414.568</v>
      </c>
      <c r="K34" s="178"/>
      <c r="L34" s="514">
        <f>L32*0.45</f>
        <v>3303696.525</v>
      </c>
      <c r="M34" s="178"/>
      <c r="N34" s="514">
        <f>N32*0.43</f>
        <v>2735123.214</v>
      </c>
      <c r="O34" s="523"/>
      <c r="P34" s="185">
        <f>(F18+F20)/2+F16</f>
        <v>1210000</v>
      </c>
      <c r="Q34" s="523"/>
      <c r="R34" s="185">
        <f>SUM(F34:P34)</f>
        <v>14339110.67</v>
      </c>
      <c r="S34" s="515" t="s">
        <v>294</v>
      </c>
      <c r="T34" s="280">
        <f>T37+P34-H16</f>
        <v>14287110.67</v>
      </c>
      <c r="U34" s="203" t="s">
        <v>300</v>
      </c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332" t="s">
        <v>298</v>
      </c>
      <c r="AH34" s="178"/>
      <c r="AI34" s="178"/>
      <c r="AJ34" s="513">
        <f>IF($F$26&gt;0,AJ46,AJ30/(F30+H30)*(F34+H34))</f>
        <v>2647823.207</v>
      </c>
      <c r="AK34" s="178"/>
      <c r="AL34" s="513">
        <f>IF($F$26&gt;0,AL46,AL30/J30*J34)</f>
        <v>3063531.735</v>
      </c>
      <c r="AM34" s="178"/>
      <c r="AN34" s="513">
        <f>IF($F$26&gt;0,AN46,AN30/L30*L34)</f>
        <v>3433140.617</v>
      </c>
      <c r="AO34" s="178"/>
      <c r="AP34" s="513">
        <f>IF($F$26&gt;0,AP46,AP30/N30*N34)</f>
        <v>3656387.345</v>
      </c>
      <c r="AQ34" s="523"/>
      <c r="AR34" s="513">
        <f>IF($F$26&gt;0,AR46,AR30/P30*P34)</f>
        <v>1179750</v>
      </c>
      <c r="AS34" s="523"/>
      <c r="AT34" s="185">
        <f>IF($F$26&gt;0,R34*$F$26,SUM(AJ34:AR34))</f>
        <v>13908937.35</v>
      </c>
      <c r="AU34" s="185"/>
      <c r="AV34" s="185"/>
      <c r="AW34" s="89"/>
      <c r="AX34" s="185">
        <f>-'I Student rev'!P14</f>
        <v>28248048.02</v>
      </c>
    </row>
    <row r="35" ht="3.75" customHeight="1">
      <c r="A35" s="89"/>
      <c r="B35" s="89"/>
      <c r="C35" s="545"/>
      <c r="D35" s="178"/>
      <c r="E35" s="178"/>
      <c r="F35" s="548"/>
      <c r="G35" s="178"/>
      <c r="H35" s="548"/>
      <c r="I35" s="178"/>
      <c r="J35" s="548"/>
      <c r="K35" s="178"/>
      <c r="L35" s="548"/>
      <c r="M35" s="178"/>
      <c r="N35" s="548"/>
      <c r="O35" s="523"/>
      <c r="P35" s="548"/>
      <c r="Q35" s="523"/>
      <c r="R35" s="274"/>
      <c r="S35" s="89"/>
      <c r="T35" s="89"/>
      <c r="U35" s="89"/>
      <c r="V35" s="1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545"/>
      <c r="AH35" s="178"/>
      <c r="AI35" s="178"/>
      <c r="AJ35" s="548"/>
      <c r="AK35" s="178"/>
      <c r="AL35" s="548"/>
      <c r="AM35" s="178"/>
      <c r="AN35" s="548"/>
      <c r="AO35" s="178"/>
      <c r="AP35" s="548"/>
      <c r="AQ35" s="523"/>
      <c r="AR35" s="548"/>
      <c r="AS35" s="523"/>
      <c r="AT35" s="274"/>
      <c r="AU35" s="185"/>
      <c r="AV35" s="274"/>
      <c r="AW35" s="89"/>
      <c r="AX35" s="274"/>
    </row>
    <row r="36" ht="4.5" customHeight="1">
      <c r="A36" s="1"/>
      <c r="B36" s="1"/>
      <c r="C36" s="510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510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ht="14.25" customHeight="1">
      <c r="A37" s="1"/>
      <c r="B37" s="1"/>
      <c r="C37" s="510" t="s">
        <v>307</v>
      </c>
      <c r="D37" s="1"/>
      <c r="E37" s="1"/>
      <c r="F37" s="85">
        <f>F32-F34</f>
        <v>4229683.502</v>
      </c>
      <c r="G37" s="1"/>
      <c r="H37" s="85">
        <f>H32-H34</f>
        <v>246641.3909</v>
      </c>
      <c r="I37" s="1"/>
      <c r="J37" s="85">
        <f>J32-J34</f>
        <v>3203020.683</v>
      </c>
      <c r="K37" s="1"/>
      <c r="L37" s="85">
        <f>L32-L34</f>
        <v>4037851.309</v>
      </c>
      <c r="M37" s="1"/>
      <c r="N37" s="85">
        <f>N32-N34</f>
        <v>3625628.446</v>
      </c>
      <c r="O37" s="400"/>
      <c r="P37" s="85">
        <f>P32-P34</f>
        <v>-1210000</v>
      </c>
      <c r="Q37" s="400"/>
      <c r="R37" s="85">
        <f>R32-R34</f>
        <v>14132825.33</v>
      </c>
      <c r="S37" s="1"/>
      <c r="T37" s="514">
        <f>SUM(E34:N34)</f>
        <v>13129110.67</v>
      </c>
      <c r="U37" s="203" t="s">
        <v>311</v>
      </c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510" t="s">
        <v>307</v>
      </c>
      <c r="AH37" s="1"/>
      <c r="AI37" s="1"/>
      <c r="AJ37" s="85">
        <f>AJ32-AJ34</f>
        <v>2645591.44</v>
      </c>
      <c r="AK37" s="1"/>
      <c r="AL37" s="85">
        <f>AL32-AL34</f>
        <v>3282796.451</v>
      </c>
      <c r="AM37" s="1"/>
      <c r="AN37" s="85">
        <f>AN32-AN34</f>
        <v>3994948.056</v>
      </c>
      <c r="AO37" s="1"/>
      <c r="AP37" s="85">
        <f>AP32-AP34</f>
        <v>4622686.244</v>
      </c>
      <c r="AQ37" s="400"/>
      <c r="AR37" s="85">
        <f>AR32-AR34</f>
        <v>-1179750</v>
      </c>
      <c r="AS37" s="400"/>
      <c r="AT37" s="85">
        <f>AT32-AT34</f>
        <v>13437967.74</v>
      </c>
      <c r="AU37" s="85"/>
      <c r="AV37" s="85">
        <f>AV32-AV34</f>
        <v>0</v>
      </c>
      <c r="AW37" s="1"/>
      <c r="AX37" s="85">
        <f>AX32-AX34</f>
        <v>27570793.07</v>
      </c>
    </row>
    <row r="38" ht="4.5" customHeight="1">
      <c r="A38" s="1"/>
      <c r="B38" s="1"/>
      <c r="C38" s="555"/>
      <c r="D38" s="1"/>
      <c r="E38" s="1"/>
      <c r="F38" s="405"/>
      <c r="G38" s="1"/>
      <c r="H38" s="405"/>
      <c r="I38" s="1"/>
      <c r="J38" s="405"/>
      <c r="K38" s="1"/>
      <c r="L38" s="405"/>
      <c r="M38" s="1"/>
      <c r="N38" s="405"/>
      <c r="O38" s="85"/>
      <c r="P38" s="405"/>
      <c r="Q38" s="85"/>
      <c r="R38" s="405"/>
      <c r="S38" s="1"/>
      <c r="T38" s="89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555"/>
      <c r="AH38" s="1"/>
      <c r="AI38" s="1"/>
      <c r="AJ38" s="405"/>
      <c r="AK38" s="1"/>
      <c r="AL38" s="405"/>
      <c r="AM38" s="1"/>
      <c r="AN38" s="405"/>
      <c r="AO38" s="1"/>
      <c r="AP38" s="405"/>
      <c r="AQ38" s="85"/>
      <c r="AR38" s="405"/>
      <c r="AS38" s="85"/>
      <c r="AT38" s="405"/>
      <c r="AU38" s="85"/>
      <c r="AV38" s="405"/>
      <c r="AW38" s="1"/>
      <c r="AX38" s="405"/>
    </row>
    <row r="39" ht="4.5" customHeight="1">
      <c r="A39" s="1"/>
      <c r="B39" s="1"/>
      <c r="C39" s="510"/>
      <c r="D39" s="1"/>
      <c r="E39" s="1"/>
      <c r="F39" s="85"/>
      <c r="G39" s="1"/>
      <c r="H39" s="85"/>
      <c r="I39" s="1"/>
      <c r="J39" s="85"/>
      <c r="K39" s="1"/>
      <c r="L39" s="85"/>
      <c r="M39" s="1"/>
      <c r="N39" s="85"/>
      <c r="O39" s="85"/>
      <c r="P39" s="85"/>
      <c r="Q39" s="85"/>
      <c r="R39" s="85"/>
      <c r="S39" s="1"/>
      <c r="T39" s="89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510"/>
      <c r="AH39" s="1"/>
      <c r="AI39" s="1"/>
      <c r="AJ39" s="85"/>
      <c r="AK39" s="1"/>
      <c r="AL39" s="85"/>
      <c r="AM39" s="1"/>
      <c r="AN39" s="85"/>
      <c r="AO39" s="1"/>
      <c r="AP39" s="85"/>
      <c r="AQ39" s="85"/>
      <c r="AR39" s="85"/>
      <c r="AS39" s="85"/>
      <c r="AT39" s="85"/>
      <c r="AU39" s="85"/>
      <c r="AV39" s="85"/>
      <c r="AW39" s="1"/>
      <c r="AX39" s="85"/>
    </row>
    <row r="40" ht="15.0" customHeight="1">
      <c r="A40" s="1"/>
      <c r="B40" s="1"/>
      <c r="C40" s="510" t="s">
        <v>313</v>
      </c>
      <c r="D40" s="1"/>
      <c r="E40" s="1"/>
      <c r="F40" s="556">
        <f>F34/F32</f>
        <v>0.49</v>
      </c>
      <c r="G40" s="1"/>
      <c r="H40" s="556">
        <f>H34/H32</f>
        <v>0.43</v>
      </c>
      <c r="I40" s="1"/>
      <c r="J40" s="556">
        <f>J34/J32</f>
        <v>0.47</v>
      </c>
      <c r="K40" s="1"/>
      <c r="L40" s="556">
        <f>L34/L32</f>
        <v>0.45</v>
      </c>
      <c r="M40" s="1"/>
      <c r="N40" s="556">
        <f>N34/N32</f>
        <v>0.43</v>
      </c>
      <c r="O40" s="556"/>
      <c r="P40" s="556"/>
      <c r="Q40" s="556"/>
      <c r="R40" s="558">
        <f>R34/R32</f>
        <v>0.5036226083</v>
      </c>
      <c r="S40" s="1"/>
      <c r="T40" s="514">
        <f>175044+523591</f>
        <v>698635</v>
      </c>
      <c r="U40" s="203" t="s">
        <v>317</v>
      </c>
      <c r="V40" s="89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510" t="s">
        <v>313</v>
      </c>
      <c r="AH40" s="1"/>
      <c r="AI40" s="1"/>
      <c r="AJ40" s="556">
        <f>AJ34/AJ32</f>
        <v>0.500210806</v>
      </c>
      <c r="AK40" s="1"/>
      <c r="AL40" s="556">
        <f>AL34/AL32</f>
        <v>0.4827250727</v>
      </c>
      <c r="AM40" s="1"/>
      <c r="AN40" s="556">
        <f>AN34/AN32</f>
        <v>0.4621835803</v>
      </c>
      <c r="AO40" s="1"/>
      <c r="AP40" s="556">
        <f>AP34/AP32</f>
        <v>0.4416420878</v>
      </c>
      <c r="AQ40" s="556"/>
      <c r="AR40" s="556"/>
      <c r="AS40" s="556"/>
      <c r="AT40" s="560">
        <f>AT34/AT32</f>
        <v>0.5086110221</v>
      </c>
      <c r="AU40" s="560"/>
      <c r="AV40" s="560"/>
      <c r="AW40" s="1"/>
      <c r="AX40" s="560">
        <f>AX34/AX32</f>
        <v>0.5060665443</v>
      </c>
    </row>
    <row r="41" ht="6.75" customHeight="1">
      <c r="A41" s="1"/>
      <c r="B41" s="1"/>
      <c r="C41" s="510"/>
      <c r="D41" s="1"/>
      <c r="E41" s="1"/>
      <c r="F41" s="556"/>
      <c r="G41" s="1"/>
      <c r="H41" s="556"/>
      <c r="I41" s="1"/>
      <c r="J41" s="556"/>
      <c r="K41" s="1"/>
      <c r="L41" s="556"/>
      <c r="M41" s="1"/>
      <c r="N41" s="556"/>
      <c r="O41" s="556"/>
      <c r="P41" s="556"/>
      <c r="Q41" s="556"/>
      <c r="R41" s="560"/>
      <c r="S41" s="1"/>
      <c r="T41" s="89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510"/>
      <c r="AH41" s="1"/>
      <c r="AI41" s="1"/>
      <c r="AJ41" s="556"/>
      <c r="AK41" s="1"/>
      <c r="AL41" s="556"/>
      <c r="AM41" s="1"/>
      <c r="AN41" s="556"/>
      <c r="AO41" s="1"/>
      <c r="AP41" s="556"/>
      <c r="AQ41" s="556"/>
      <c r="AR41" s="556"/>
      <c r="AS41" s="556"/>
      <c r="AT41" s="560"/>
      <c r="AU41" s="560"/>
      <c r="AV41" s="560"/>
      <c r="AW41" s="1"/>
      <c r="AX41" s="560"/>
    </row>
    <row r="42" ht="15.0" customHeight="1">
      <c r="A42" s="1"/>
      <c r="B42" s="1"/>
      <c r="C42" s="1" t="s">
        <v>320</v>
      </c>
      <c r="D42" s="1"/>
      <c r="E42" s="1"/>
      <c r="F42" s="561">
        <f>F37/F30*2</f>
        <v>14711.94261</v>
      </c>
      <c r="G42" s="1"/>
      <c r="H42" s="561">
        <f>H37/H30*2</f>
        <v>16442.75939</v>
      </c>
      <c r="I42" s="1"/>
      <c r="J42" s="561">
        <f>J37/J30*2</f>
        <v>15288.88154</v>
      </c>
      <c r="K42" s="1"/>
      <c r="L42" s="561">
        <f>L37/L30*2</f>
        <v>15865.82047</v>
      </c>
      <c r="M42" s="1"/>
      <c r="N42" s="561">
        <f>N37/N30*2</f>
        <v>16442.75939</v>
      </c>
      <c r="O42" s="1"/>
      <c r="P42" s="1"/>
      <c r="Q42" s="1"/>
      <c r="R42" s="1"/>
      <c r="S42" s="1"/>
      <c r="T42" s="1"/>
      <c r="U42" s="562"/>
      <c r="V42" s="562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 t="s">
        <v>321</v>
      </c>
      <c r="AH42" s="1"/>
      <c r="AI42" s="1"/>
      <c r="AJ42" s="565">
        <f>(F34+H34)/(F30+H30)</f>
        <v>7024.589031</v>
      </c>
      <c r="AK42" s="1"/>
      <c r="AL42" s="565">
        <f>J34/J30</f>
        <v>6779.032381</v>
      </c>
      <c r="AM42" s="1"/>
      <c r="AN42" s="565">
        <f>L34/L30</f>
        <v>6490.562918</v>
      </c>
      <c r="AO42" s="1"/>
      <c r="AP42" s="565">
        <f>N34/N30</f>
        <v>6202.093455</v>
      </c>
      <c r="AQ42" s="1"/>
      <c r="AR42" s="565"/>
      <c r="AS42" s="1"/>
      <c r="AT42" s="565"/>
      <c r="AU42" s="561"/>
      <c r="AV42" s="561"/>
      <c r="AW42" s="1"/>
      <c r="AX42" s="1"/>
    </row>
    <row r="43" ht="13.5" customHeight="1">
      <c r="A43" s="1"/>
      <c r="B43" s="1"/>
      <c r="C43" s="1"/>
      <c r="D43" s="1"/>
      <c r="E43" s="1"/>
      <c r="F43" s="561"/>
      <c r="G43" s="1"/>
      <c r="H43" s="561"/>
      <c r="I43" s="1"/>
      <c r="J43" s="561"/>
      <c r="K43" s="1"/>
      <c r="L43" s="561"/>
      <c r="M43" s="566" t="s">
        <v>323</v>
      </c>
      <c r="N43" s="537"/>
      <c r="O43" s="538"/>
      <c r="P43" s="567" t="s">
        <v>324</v>
      </c>
      <c r="Q43" s="568" t="s">
        <v>326</v>
      </c>
      <c r="R43" s="569"/>
      <c r="S43" s="1"/>
      <c r="T43" s="89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 t="s">
        <v>327</v>
      </c>
      <c r="AH43" s="1"/>
      <c r="AI43" s="1"/>
      <c r="AJ43" s="571">
        <f>AJ30</f>
        <v>367</v>
      </c>
      <c r="AK43" s="1"/>
      <c r="AL43" s="571">
        <f>AL30</f>
        <v>440</v>
      </c>
      <c r="AM43" s="1"/>
      <c r="AN43" s="571">
        <f>AN30</f>
        <v>515</v>
      </c>
      <c r="AO43" s="1"/>
      <c r="AP43" s="571">
        <f>AP30</f>
        <v>574</v>
      </c>
      <c r="AQ43" s="1"/>
      <c r="AR43" s="572"/>
      <c r="AS43" s="1"/>
      <c r="AT43" s="571"/>
      <c r="AU43" s="573"/>
      <c r="AV43" s="573"/>
      <c r="AW43" s="1"/>
      <c r="AX43" s="1"/>
    </row>
    <row r="44" ht="13.5" customHeight="1">
      <c r="A44" s="1"/>
      <c r="B44" s="1"/>
      <c r="C44" s="1" t="s">
        <v>328</v>
      </c>
      <c r="D44" s="1"/>
      <c r="E44" s="1"/>
      <c r="F44" s="576">
        <f>IF('G Price-Aid'!J6&lt;&gt;"",F42/(1-F40)*($H$22/$F$22)*(1+'G Price-Aid'!$J$6)*(1+'G Price-Aid'!$L$6)-(F34/F30*2),(F42/(1-F40))*(($H$22/$F$22)^3)-((F34/F30)*2))</f>
        <v>16477.6065</v>
      </c>
      <c r="G44" s="1"/>
      <c r="H44" s="576">
        <f>IF('G Price-Aid'!L6&lt;&gt;"",H42/(1-H40)*($H$22/$F$22)*(1+'G Price-Aid'!$J$6)*(1+'G Price-Aid'!$L$6)-(H34/H30*2),(H42/(1-H40))*(($H$22/$F$22)^3)-((H34/H30)*2))</f>
        <v>18208.42328</v>
      </c>
      <c r="I44" s="1"/>
      <c r="J44" s="576">
        <f>IF('G Price-Aid'!N6&lt;&gt;"",J42/(1-J40)*($H$22/$F$22)*(1+'G Price-Aid'!$J$6)-(J34/J30*2),(J42/(1-J40))*(($H$22/$F$22)^2)-((J34/J30)*2))</f>
        <v>16454.29817</v>
      </c>
      <c r="K44" s="1"/>
      <c r="L44" s="576">
        <f>(L42/(1-L40))*($H$22/$F$22)-((L34/L30)*2)</f>
        <v>16442.75939</v>
      </c>
      <c r="M44" s="579" t="s">
        <v>332</v>
      </c>
      <c r="N44" s="35"/>
      <c r="O44" s="21"/>
      <c r="P44" s="581">
        <f>R37/R30*2</f>
        <v>14218.13413</v>
      </c>
      <c r="Q44" s="584">
        <f>(R37+P34-H16)/R30*2</f>
        <v>15383.12407</v>
      </c>
      <c r="R44" s="585"/>
      <c r="S44" s="1"/>
      <c r="T44" s="1"/>
      <c r="U44" s="562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 t="s">
        <v>333</v>
      </c>
      <c r="AH44" s="1"/>
      <c r="AI44" s="1"/>
      <c r="AJ44" s="586">
        <f>AJ42*AJ43</f>
        <v>2578024.174</v>
      </c>
      <c r="AK44" s="1"/>
      <c r="AL44" s="586">
        <f>AL42*AL43</f>
        <v>2982774.248</v>
      </c>
      <c r="AM44" s="1"/>
      <c r="AN44" s="586">
        <f>AN42*AN43</f>
        <v>3342639.903</v>
      </c>
      <c r="AO44" s="1"/>
      <c r="AP44" s="586">
        <f>AP42*AP43</f>
        <v>3560001.643</v>
      </c>
      <c r="AQ44" s="1"/>
      <c r="AR44" s="586">
        <f>AR34</f>
        <v>1179750</v>
      </c>
      <c r="AS44" s="1"/>
      <c r="AT44" s="586">
        <f>SUM(AJ44:AR44)</f>
        <v>13643189.97</v>
      </c>
      <c r="AU44" s="561"/>
      <c r="AV44" s="561"/>
      <c r="AW44" s="1"/>
      <c r="AX44" s="1"/>
    </row>
    <row r="45" ht="6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589" t="s">
        <v>334</v>
      </c>
      <c r="N45" s="147"/>
      <c r="O45" s="27"/>
      <c r="P45" s="590">
        <f>R34/R32</f>
        <v>0.5036226083</v>
      </c>
      <c r="Q45" s="591">
        <f>(R34-P34+H16)/R32</f>
        <v>0.4629509799</v>
      </c>
      <c r="R45" s="592"/>
      <c r="S45" s="1"/>
      <c r="T45" s="189"/>
      <c r="U45" s="562"/>
      <c r="V45" s="562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561"/>
      <c r="AQ45" s="1"/>
      <c r="AR45" s="1"/>
      <c r="AS45" s="1"/>
      <c r="AT45" s="561"/>
      <c r="AU45" s="561"/>
      <c r="AV45" s="561"/>
      <c r="AW45" s="1"/>
      <c r="AX45" s="1"/>
    </row>
    <row r="46" ht="15.0" customHeight="1">
      <c r="A46" s="1"/>
      <c r="B46" s="1"/>
      <c r="C46" s="1" t="s">
        <v>335</v>
      </c>
      <c r="D46" s="1"/>
      <c r="E46" s="1"/>
      <c r="F46" s="556">
        <f>(F44/$N42)^(1/3)-1</f>
        <v>0.0007059342881</v>
      </c>
      <c r="G46" s="1"/>
      <c r="H46" s="556">
        <f>(H44/$N42)^(1/3)-1</f>
        <v>0.03458429045</v>
      </c>
      <c r="I46" s="1"/>
      <c r="J46" s="556">
        <f>(J44/$N42)^(1/2)-1</f>
        <v>0.0003508156572</v>
      </c>
      <c r="K46" s="1"/>
      <c r="L46" s="556">
        <f>(L44/$N42)-1</f>
        <v>0</v>
      </c>
      <c r="M46" s="597"/>
      <c r="N46" s="598"/>
      <c r="O46" s="599"/>
      <c r="P46" s="600"/>
      <c r="Q46" s="601"/>
      <c r="R46" s="602"/>
      <c r="S46" s="1"/>
      <c r="T46" s="1"/>
      <c r="U46" s="562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 t="s">
        <v>337</v>
      </c>
      <c r="AH46" s="1"/>
      <c r="AI46" s="1"/>
      <c r="AJ46" s="571">
        <f>AJ44*($AT46-$AR46)/($AT44-$AR44)</f>
        <v>2647823.207</v>
      </c>
      <c r="AK46" s="1"/>
      <c r="AL46" s="571">
        <f>AL44*($AT46-$AR46)/($AT44-$AR44)</f>
        <v>3063531.735</v>
      </c>
      <c r="AM46" s="1"/>
      <c r="AN46" s="571">
        <f>AN44*($AT46-$AR46)/($AT44-$AR44)</f>
        <v>3433140.617</v>
      </c>
      <c r="AO46" s="1"/>
      <c r="AP46" s="571">
        <f>AP44*($AT46-$AR46)/($AT44-$AR44)</f>
        <v>3656387.345</v>
      </c>
      <c r="AQ46" s="1"/>
      <c r="AR46" s="295">
        <f>P34*H$26</f>
        <v>1179750</v>
      </c>
      <c r="AS46" s="1"/>
      <c r="AT46" s="610">
        <f>R34*H$26</f>
        <v>13980632.9</v>
      </c>
      <c r="AU46" s="561"/>
      <c r="AV46" s="561"/>
      <c r="AW46" s="1"/>
      <c r="AX46" s="1"/>
    </row>
    <row r="47" ht="6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561"/>
      <c r="O47" s="1"/>
      <c r="P47" s="1"/>
      <c r="Q47" s="1"/>
      <c r="R47" s="56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561"/>
      <c r="AQ47" s="1"/>
      <c r="AR47" s="1"/>
      <c r="AS47" s="1"/>
      <c r="AT47" s="561"/>
      <c r="AU47" s="561"/>
      <c r="AV47" s="561"/>
      <c r="AW47" s="1"/>
      <c r="AX47" s="1"/>
    </row>
    <row r="48" ht="15.0" customHeight="1">
      <c r="A48" s="1"/>
      <c r="B48" s="1"/>
      <c r="C48" s="1" t="s">
        <v>339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561"/>
      <c r="O48" s="1"/>
      <c r="P48" s="1"/>
      <c r="Q48" s="1"/>
      <c r="R48" s="614">
        <f>'P Fcast 5yr'!G9</f>
        <v>29890793.07</v>
      </c>
      <c r="S48" s="1"/>
      <c r="T48" s="1"/>
      <c r="U48" s="562"/>
      <c r="V48" s="562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561"/>
      <c r="AQ48" s="1"/>
      <c r="AR48" s="1"/>
      <c r="AS48" s="1"/>
      <c r="AT48" s="561"/>
      <c r="AU48" s="561"/>
      <c r="AV48" s="561"/>
      <c r="AW48" s="1"/>
      <c r="AX48" s="1"/>
    </row>
    <row r="49" ht="10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561"/>
      <c r="O49" s="1"/>
      <c r="P49" s="1"/>
      <c r="Q49" s="1"/>
      <c r="R49" s="56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561"/>
      <c r="AQ49" s="1"/>
      <c r="AR49" s="1"/>
      <c r="AS49" s="1"/>
      <c r="AT49" s="561"/>
      <c r="AU49" s="561"/>
      <c r="AV49" s="561"/>
      <c r="AW49" s="1"/>
      <c r="AX49" s="1"/>
    </row>
    <row r="50" ht="15.0" customHeight="1">
      <c r="A50" s="1"/>
      <c r="B50" s="433" t="s">
        <v>121</v>
      </c>
      <c r="C50" s="433" t="s">
        <v>278</v>
      </c>
      <c r="D50" s="491" t="str">
        <f>'F Population'!U6</f>
        <v>2027 - 28</v>
      </c>
      <c r="E50" s="492"/>
      <c r="F50" s="496" t="s">
        <v>280</v>
      </c>
      <c r="G50" s="492"/>
      <c r="H50" s="496" t="s">
        <v>281</v>
      </c>
      <c r="I50" s="492"/>
      <c r="J50" s="496" t="s">
        <v>282</v>
      </c>
      <c r="K50" s="492"/>
      <c r="L50" s="496" t="s">
        <v>283</v>
      </c>
      <c r="M50" s="492"/>
      <c r="N50" s="496" t="s">
        <v>284</v>
      </c>
      <c r="O50" s="493"/>
      <c r="P50" s="496" t="s">
        <v>285</v>
      </c>
      <c r="Q50" s="493"/>
      <c r="R50" s="496" t="s">
        <v>286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433" t="s">
        <v>121</v>
      </c>
      <c r="AG50" s="434" t="s">
        <v>287</v>
      </c>
      <c r="AH50" s="491" t="str">
        <f>D50</f>
        <v>2027 - 28</v>
      </c>
      <c r="AI50" s="492"/>
      <c r="AJ50" s="496" t="s">
        <v>280</v>
      </c>
      <c r="AK50" s="492"/>
      <c r="AL50" s="496" t="s">
        <v>282</v>
      </c>
      <c r="AM50" s="492"/>
      <c r="AN50" s="496" t="s">
        <v>283</v>
      </c>
      <c r="AO50" s="492"/>
      <c r="AP50" s="496" t="s">
        <v>284</v>
      </c>
      <c r="AQ50" s="493"/>
      <c r="AR50" s="496" t="s">
        <v>285</v>
      </c>
      <c r="AS50" s="493"/>
      <c r="AT50" s="496" t="s">
        <v>286</v>
      </c>
      <c r="AU50" s="561"/>
      <c r="AV50" s="497" t="s">
        <v>288</v>
      </c>
      <c r="AW50" s="1"/>
      <c r="AX50" s="498" t="str">
        <f>AH50</f>
        <v>2027 - 28</v>
      </c>
    </row>
    <row r="51" ht="9.75" customHeight="1">
      <c r="A51" s="1"/>
      <c r="B51" s="1"/>
      <c r="C51" s="1"/>
      <c r="D51" s="1"/>
      <c r="E51" s="39"/>
      <c r="F51" s="1"/>
      <c r="G51" s="39"/>
      <c r="H51" s="1"/>
      <c r="I51" s="39"/>
      <c r="J51" s="1"/>
      <c r="K51" s="39"/>
      <c r="L51" s="1"/>
      <c r="M51" s="39"/>
      <c r="N51" s="1"/>
      <c r="O51" s="1"/>
      <c r="P51" s="1"/>
      <c r="Q51" s="1"/>
      <c r="R51" s="1"/>
      <c r="S51" s="1"/>
      <c r="T51" s="245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39"/>
      <c r="AJ51" s="1"/>
      <c r="AK51" s="39"/>
      <c r="AL51" s="1"/>
      <c r="AM51" s="39"/>
      <c r="AN51" s="1"/>
      <c r="AO51" s="39"/>
      <c r="AP51" s="1"/>
      <c r="AQ51" s="1"/>
      <c r="AR51" s="1"/>
      <c r="AS51" s="1"/>
      <c r="AT51" s="1"/>
      <c r="AU51" s="1"/>
      <c r="AV51" s="1"/>
      <c r="AW51" s="1"/>
      <c r="AX51" s="1"/>
    </row>
    <row r="52" ht="15.0" customHeight="1">
      <c r="A52" s="89"/>
      <c r="B52" s="89"/>
      <c r="C52" s="332" t="s">
        <v>289</v>
      </c>
      <c r="D52" s="89"/>
      <c r="E52" s="501"/>
      <c r="F52" s="621">
        <f>'F Population'!U9</f>
        <v>580</v>
      </c>
      <c r="G52" s="501"/>
      <c r="H52" s="621">
        <f>'F Population'!U11</f>
        <v>41</v>
      </c>
      <c r="I52" s="501"/>
      <c r="J52" s="621">
        <f>'F Population'!U13</f>
        <v>464</v>
      </c>
      <c r="K52" s="501"/>
      <c r="L52" s="621">
        <f>'F Population'!U15</f>
        <v>456</v>
      </c>
      <c r="M52" s="501"/>
      <c r="N52" s="621">
        <f>'F Population'!U17</f>
        <v>580</v>
      </c>
      <c r="O52" s="621"/>
      <c r="P52" s="621">
        <f>'F Population'!U19</f>
        <v>12</v>
      </c>
      <c r="Q52" s="621"/>
      <c r="R52" s="627">
        <f>SUM(F52:P52)</f>
        <v>2133</v>
      </c>
      <c r="S52" s="89"/>
      <c r="T52" s="1"/>
      <c r="U52" s="1"/>
      <c r="V52" s="1"/>
      <c r="W52" s="1"/>
      <c r="X52" s="89"/>
      <c r="Y52" s="89"/>
      <c r="Z52" s="89"/>
      <c r="AA52" s="89"/>
      <c r="AB52" s="89"/>
      <c r="AC52" s="89"/>
      <c r="AD52" s="89"/>
      <c r="AE52" s="89"/>
      <c r="AF52" s="89"/>
      <c r="AG52" s="332" t="s">
        <v>289</v>
      </c>
      <c r="AH52" s="89"/>
      <c r="AI52" s="501"/>
      <c r="AJ52" s="621">
        <f>'F Population'!U31</f>
        <v>377</v>
      </c>
      <c r="AK52" s="501"/>
      <c r="AL52" s="621">
        <f>'F Population'!U33</f>
        <v>487</v>
      </c>
      <c r="AM52" s="501"/>
      <c r="AN52" s="621">
        <f>'F Population'!U35</f>
        <v>461</v>
      </c>
      <c r="AO52" s="501"/>
      <c r="AP52" s="621">
        <f>'F Population'!U37</f>
        <v>755</v>
      </c>
      <c r="AQ52" s="621"/>
      <c r="AR52" s="621">
        <f>'F Population'!U39</f>
        <v>11</v>
      </c>
      <c r="AS52" s="621"/>
      <c r="AT52" s="627">
        <f>SUM(AJ52:AR52)</f>
        <v>2091</v>
      </c>
      <c r="AU52" s="627"/>
      <c r="AV52" s="627"/>
      <c r="AW52" s="89"/>
      <c r="AX52" s="89"/>
    </row>
    <row r="53" ht="6.75" customHeight="1">
      <c r="A53" s="1"/>
      <c r="B53" s="1"/>
      <c r="C53" s="510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510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ht="14.25" customHeight="1">
      <c r="A54" s="1"/>
      <c r="B54" s="1"/>
      <c r="C54" s="332" t="s">
        <v>293</v>
      </c>
      <c r="D54" s="1"/>
      <c r="E54" s="1"/>
      <c r="F54" s="635">
        <f>F52/($R52-$P52)*($R54-$P54)</f>
        <v>8532926.716</v>
      </c>
      <c r="G54" s="1"/>
      <c r="H54" s="635">
        <f>H52/($R52-$P52)*($R54-$P54)</f>
        <v>603189.6472</v>
      </c>
      <c r="I54" s="1"/>
      <c r="J54" s="635">
        <f>J52/($R52-$P52)*($R54-$P54)</f>
        <v>6826341.373</v>
      </c>
      <c r="K54" s="1"/>
      <c r="L54" s="635">
        <f>L52/($R52-$P52)*($R54-$P54)</f>
        <v>6708645.832</v>
      </c>
      <c r="M54" s="1"/>
      <c r="N54" s="635">
        <f>N52/($R52-$P52)*($R54-$P54)</f>
        <v>8532926.716</v>
      </c>
      <c r="O54" s="635"/>
      <c r="P54" s="635">
        <f>IF(P30&lt;&gt;0,P52/P30*P32*(H22/F22),P32)</f>
        <v>0</v>
      </c>
      <c r="Q54" s="635"/>
      <c r="R54" s="85">
        <f>(R32-P32)/(R30-P30)*(1+'G Price-Aid'!H6)*(R52-P52)+P54</f>
        <v>31204030.28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332" t="s">
        <v>293</v>
      </c>
      <c r="AH54" s="1"/>
      <c r="AI54" s="1"/>
      <c r="AJ54" s="513">
        <f>AJ52/(F52+H52)*(F54+H54)</f>
        <v>5546402.365</v>
      </c>
      <c r="AK54" s="89"/>
      <c r="AL54" s="513">
        <f>AL52/J52*J54</f>
        <v>7164716.053</v>
      </c>
      <c r="AM54" s="89"/>
      <c r="AN54" s="513">
        <f>AN52/L52*L54</f>
        <v>6782205.545</v>
      </c>
      <c r="AO54" s="89"/>
      <c r="AP54" s="513">
        <f>AP52/N52*N54</f>
        <v>11107516.67</v>
      </c>
      <c r="AQ54" s="484"/>
      <c r="AR54" s="513">
        <f>IF(P52&lt;&gt;0,AR52/P52*P54,P54)</f>
        <v>0</v>
      </c>
      <c r="AS54" s="635"/>
      <c r="AT54" s="185">
        <f>SUM(AJ54:AR54)</f>
        <v>30600840.64</v>
      </c>
      <c r="AU54" s="185"/>
      <c r="AV54" s="185">
        <f>AT52/AT30*AV32*(H22/F22)</f>
        <v>0</v>
      </c>
      <c r="AW54" s="1"/>
      <c r="AX54" s="185">
        <f>R54+AT54+AV54</f>
        <v>61804870.92</v>
      </c>
    </row>
    <row r="55" ht="6.75" customHeight="1">
      <c r="A55" s="1"/>
      <c r="B55" s="1"/>
      <c r="C55" s="510"/>
      <c r="D55" s="1"/>
      <c r="E55" s="1"/>
      <c r="F55" s="444"/>
      <c r="G55" s="1"/>
      <c r="H55" s="444"/>
      <c r="I55" s="1"/>
      <c r="J55" s="444"/>
      <c r="K55" s="1"/>
      <c r="L55" s="444"/>
      <c r="M55" s="1"/>
      <c r="N55" s="444"/>
      <c r="O55" s="444"/>
      <c r="P55" s="444"/>
      <c r="Q55" s="444"/>
      <c r="R55" s="1"/>
      <c r="S55" s="446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510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444"/>
      <c r="AT55" s="1"/>
      <c r="AU55" s="1"/>
      <c r="AV55" s="1"/>
      <c r="AW55" s="1"/>
      <c r="AX55" s="1"/>
    </row>
    <row r="56" ht="14.25" customHeight="1">
      <c r="A56" s="1"/>
      <c r="B56" s="1"/>
      <c r="C56" s="332" t="s">
        <v>298</v>
      </c>
      <c r="D56" s="1"/>
      <c r="E56" s="1"/>
      <c r="F56" s="635">
        <f>F54*F62</f>
        <v>4351792.625</v>
      </c>
      <c r="G56" s="444"/>
      <c r="H56" s="635">
        <f>H54*H62</f>
        <v>263496.8183</v>
      </c>
      <c r="I56" s="444"/>
      <c r="J56" s="635">
        <f>J54*J62</f>
        <v>3259409.311</v>
      </c>
      <c r="K56" s="444"/>
      <c r="L56" s="635">
        <f>L54*L62</f>
        <v>3091238.766</v>
      </c>
      <c r="M56" s="444"/>
      <c r="N56" s="635">
        <f>N54*N62</f>
        <v>3764526.492</v>
      </c>
      <c r="O56" s="657"/>
      <c r="P56" s="635">
        <f>($H18+$H20)/2+$H16</f>
        <v>1384416.78</v>
      </c>
      <c r="Q56" s="657"/>
      <c r="R56" s="85">
        <f>SUM(F56:P56)</f>
        <v>16114880.79</v>
      </c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332" t="s">
        <v>298</v>
      </c>
      <c r="AH56" s="178"/>
      <c r="AI56" s="178"/>
      <c r="AJ56" s="513">
        <f>IF($H$26&gt;0,AJ69,AJ52/(F52+H52)*(F56+H56))</f>
        <v>2838744.891</v>
      </c>
      <c r="AK56" s="178"/>
      <c r="AL56" s="513">
        <f>IF($H$26&gt;0,AL69,AL52/J52*J56)</f>
        <v>3465991.996</v>
      </c>
      <c r="AM56" s="178"/>
      <c r="AN56" s="513">
        <f>IF($H$26&gt;0,AN69,AN52/L52*L56)</f>
        <v>3166258.049</v>
      </c>
      <c r="AO56" s="178"/>
      <c r="AP56" s="513">
        <f>IF($H$26&gt;0,AP69,AP52/N52*N56)</f>
        <v>4964859.796</v>
      </c>
      <c r="AQ56" s="523"/>
      <c r="AR56" s="513">
        <f>IF($H$26&gt;0,AR69,AR52/P52*P56)</f>
        <v>1356728.444</v>
      </c>
      <c r="AS56" s="523"/>
      <c r="AT56" s="185">
        <f>IF($H$26&gt;0,R56*$H$26,SUM(AJ56:AR56))</f>
        <v>15712008.77</v>
      </c>
      <c r="AU56" s="85"/>
      <c r="AV56" s="85"/>
      <c r="AW56" s="1"/>
      <c r="AX56" s="185">
        <f>R56+AT56</f>
        <v>31826889.56</v>
      </c>
    </row>
    <row r="57" ht="6.75" customHeight="1">
      <c r="A57" s="1"/>
      <c r="B57" s="1"/>
      <c r="C57" s="555"/>
      <c r="D57" s="1"/>
      <c r="E57" s="1"/>
      <c r="F57" s="294"/>
      <c r="G57" s="1"/>
      <c r="H57" s="294"/>
      <c r="I57" s="1"/>
      <c r="J57" s="294"/>
      <c r="K57" s="1"/>
      <c r="L57" s="294"/>
      <c r="M57" s="1"/>
      <c r="N57" s="294"/>
      <c r="O57" s="1"/>
      <c r="P57" s="294"/>
      <c r="Q57" s="1"/>
      <c r="R57" s="294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555"/>
      <c r="AH57" s="1"/>
      <c r="AI57" s="1"/>
      <c r="AJ57" s="294"/>
      <c r="AK57" s="1"/>
      <c r="AL57" s="294"/>
      <c r="AM57" s="1"/>
      <c r="AN57" s="294"/>
      <c r="AO57" s="1"/>
      <c r="AP57" s="294"/>
      <c r="AQ57" s="1"/>
      <c r="AR57" s="294"/>
      <c r="AS57" s="1"/>
      <c r="AT57" s="294"/>
      <c r="AU57" s="1"/>
      <c r="AV57" s="274"/>
      <c r="AW57" s="1"/>
      <c r="AX57" s="274"/>
    </row>
    <row r="58" ht="6.75" customHeight="1">
      <c r="A58" s="1"/>
      <c r="B58" s="1"/>
      <c r="C58" s="510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510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ht="14.25" customHeight="1">
      <c r="A59" s="1"/>
      <c r="B59" s="1"/>
      <c r="C59" s="510" t="s">
        <v>307</v>
      </c>
      <c r="D59" s="1"/>
      <c r="E59" s="1"/>
      <c r="F59" s="85">
        <f>F54-F56</f>
        <v>4181134.091</v>
      </c>
      <c r="G59" s="1"/>
      <c r="H59" s="85">
        <f>H54-H56</f>
        <v>339692.8288</v>
      </c>
      <c r="I59" s="1"/>
      <c r="J59" s="85">
        <f>J54-J56</f>
        <v>3566932.062</v>
      </c>
      <c r="K59" s="1"/>
      <c r="L59" s="85">
        <f>L54-L56</f>
        <v>3617407.066</v>
      </c>
      <c r="M59" s="1"/>
      <c r="N59" s="85">
        <f>N54-N56</f>
        <v>4768400.224</v>
      </c>
      <c r="O59" s="400"/>
      <c r="P59" s="85">
        <f>P54-P56</f>
        <v>-1384416.78</v>
      </c>
      <c r="Q59" s="400"/>
      <c r="R59" s="85">
        <f>R54-R56</f>
        <v>15089149.49</v>
      </c>
      <c r="S59" s="1"/>
      <c r="T59" s="1"/>
      <c r="U59" s="1"/>
      <c r="V59" s="1"/>
      <c r="W59" s="89"/>
      <c r="X59" s="1"/>
      <c r="Y59" s="1"/>
      <c r="Z59" s="1"/>
      <c r="AA59" s="1"/>
      <c r="AB59" s="1"/>
      <c r="AC59" s="1"/>
      <c r="AD59" s="1"/>
      <c r="AE59" s="1"/>
      <c r="AF59" s="1"/>
      <c r="AG59" s="510" t="s">
        <v>307</v>
      </c>
      <c r="AH59" s="1"/>
      <c r="AI59" s="1"/>
      <c r="AJ59" s="85">
        <f>AJ54-AJ56</f>
        <v>2707657.474</v>
      </c>
      <c r="AK59" s="1"/>
      <c r="AL59" s="85">
        <f>AL54-AL56</f>
        <v>3698724.057</v>
      </c>
      <c r="AM59" s="1"/>
      <c r="AN59" s="85">
        <f>AN54-AN56</f>
        <v>3615947.496</v>
      </c>
      <c r="AO59" s="1"/>
      <c r="AP59" s="85">
        <f>AP54-AP56</f>
        <v>6142656.877</v>
      </c>
      <c r="AQ59" s="400"/>
      <c r="AR59" s="85">
        <f>AR54-AR56</f>
        <v>-1356728.444</v>
      </c>
      <c r="AS59" s="400"/>
      <c r="AT59" s="85">
        <f>AT54-AT56</f>
        <v>14888831.86</v>
      </c>
      <c r="AU59" s="85"/>
      <c r="AV59" s="85">
        <f>AV54-AV56</f>
        <v>0</v>
      </c>
      <c r="AW59" s="1"/>
      <c r="AX59" s="85">
        <f>AX54-AX56</f>
        <v>29977981.36</v>
      </c>
    </row>
    <row r="60" ht="4.5" customHeight="1">
      <c r="A60" s="1"/>
      <c r="B60" s="1"/>
      <c r="C60" s="555"/>
      <c r="D60" s="1"/>
      <c r="E60" s="1"/>
      <c r="F60" s="405"/>
      <c r="G60" s="1"/>
      <c r="H60" s="405"/>
      <c r="I60" s="1"/>
      <c r="J60" s="405"/>
      <c r="K60" s="1"/>
      <c r="L60" s="405"/>
      <c r="M60" s="1"/>
      <c r="N60" s="405"/>
      <c r="O60" s="85"/>
      <c r="P60" s="405"/>
      <c r="Q60" s="85"/>
      <c r="R60" s="40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555"/>
      <c r="AH60" s="1"/>
      <c r="AI60" s="1"/>
      <c r="AJ60" s="405"/>
      <c r="AK60" s="1"/>
      <c r="AL60" s="405"/>
      <c r="AM60" s="1"/>
      <c r="AN60" s="405"/>
      <c r="AO60" s="1"/>
      <c r="AP60" s="405"/>
      <c r="AQ60" s="85"/>
      <c r="AR60" s="405"/>
      <c r="AS60" s="85"/>
      <c r="AT60" s="405"/>
      <c r="AU60" s="85"/>
      <c r="AV60" s="405"/>
      <c r="AW60" s="1"/>
      <c r="AX60" s="405"/>
    </row>
    <row r="61" ht="14.25" customHeight="1">
      <c r="A61" s="1"/>
      <c r="B61" s="1"/>
      <c r="C61" s="510"/>
      <c r="D61" s="1"/>
      <c r="E61" s="1"/>
      <c r="F61" s="556"/>
      <c r="G61" s="1"/>
      <c r="H61" s="556"/>
      <c r="I61" s="1"/>
      <c r="J61" s="556"/>
      <c r="K61" s="1"/>
      <c r="L61" s="556"/>
      <c r="M61" s="1"/>
      <c r="N61" s="556"/>
      <c r="O61" s="556"/>
      <c r="P61" s="556"/>
      <c r="Q61" s="556"/>
      <c r="R61" s="556"/>
      <c r="S61" s="1"/>
      <c r="T61" s="1"/>
      <c r="U61" s="562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510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556"/>
      <c r="AT61" s="556"/>
      <c r="AU61" s="556"/>
      <c r="AV61" s="556"/>
      <c r="AW61" s="1"/>
      <c r="AX61" s="1"/>
    </row>
    <row r="62" ht="15.75" customHeight="1">
      <c r="A62" s="89"/>
      <c r="B62" s="89"/>
      <c r="C62" s="89" t="s">
        <v>355</v>
      </c>
      <c r="D62" s="89"/>
      <c r="E62" s="89"/>
      <c r="F62" s="556">
        <f>H14</f>
        <v>0.51</v>
      </c>
      <c r="G62" s="89"/>
      <c r="H62" s="556">
        <f>H40/J40*J62</f>
        <v>0.4368390929</v>
      </c>
      <c r="I62" s="89"/>
      <c r="J62" s="688">
        <f>(F34+H34)/((F32+H32)*H22/F22)</f>
        <v>0.4774752876</v>
      </c>
      <c r="K62" s="89"/>
      <c r="L62" s="688">
        <f>J34/(J32*H22/F22)</f>
        <v>0.4607843137</v>
      </c>
      <c r="M62" s="89"/>
      <c r="N62" s="688">
        <f>L34/(L32*H22/F22)</f>
        <v>0.4411764706</v>
      </c>
      <c r="O62" s="688"/>
      <c r="P62" s="688"/>
      <c r="Q62" s="688"/>
      <c r="R62" s="558">
        <f>R56/R54</f>
        <v>0.5164358785</v>
      </c>
      <c r="S62" s="89"/>
      <c r="T62" s="89"/>
      <c r="U62" s="562"/>
      <c r="V62" s="89"/>
      <c r="W62" s="1"/>
      <c r="X62" s="89"/>
      <c r="Y62" s="89"/>
      <c r="Z62" s="89"/>
      <c r="AA62" s="89"/>
      <c r="AB62" s="89"/>
      <c r="AC62" s="89"/>
      <c r="AD62" s="89"/>
      <c r="AE62" s="89"/>
      <c r="AF62" s="89"/>
      <c r="AG62" s="89" t="s">
        <v>355</v>
      </c>
      <c r="AH62" s="89"/>
      <c r="AI62" s="89"/>
      <c r="AJ62" s="556">
        <f>AJ56/AJ54</f>
        <v>0.5118173375</v>
      </c>
      <c r="AK62" s="1"/>
      <c r="AL62" s="556">
        <f>AL56/AL54</f>
        <v>0.4837584589</v>
      </c>
      <c r="AM62" s="1"/>
      <c r="AN62" s="556">
        <f>AN56/AN54</f>
        <v>0.4668478458</v>
      </c>
      <c r="AO62" s="1"/>
      <c r="AP62" s="556">
        <f>AP56/AP54</f>
        <v>0.4469819801</v>
      </c>
      <c r="AQ62" s="556"/>
      <c r="AR62" s="556"/>
      <c r="AS62" s="688"/>
      <c r="AT62" s="558">
        <f>AT56/AT54</f>
        <v>0.5134502336</v>
      </c>
      <c r="AU62" s="1"/>
      <c r="AV62" s="1"/>
      <c r="AW62" s="89"/>
      <c r="AX62" s="560">
        <f>AX56/AX54</f>
        <v>0.5149576254</v>
      </c>
    </row>
    <row r="63" ht="27.0" customHeight="1">
      <c r="A63" s="1"/>
      <c r="B63" s="1"/>
      <c r="C63" s="1" t="s">
        <v>320</v>
      </c>
      <c r="D63" s="1"/>
      <c r="E63" s="1"/>
      <c r="F63" s="561">
        <f>F59/F52*2</f>
        <v>14417.70376</v>
      </c>
      <c r="G63" s="1"/>
      <c r="H63" s="561">
        <f>H59/H52*2</f>
        <v>16570.38189</v>
      </c>
      <c r="I63" s="1"/>
      <c r="J63" s="561">
        <f>J59/J52*2</f>
        <v>15374.70717</v>
      </c>
      <c r="K63" s="1"/>
      <c r="L63" s="561">
        <f>L59/L52*2</f>
        <v>15865.82047</v>
      </c>
      <c r="M63" s="1"/>
      <c r="N63" s="561">
        <f>N59/N52*2</f>
        <v>16442.75939</v>
      </c>
      <c r="O63" s="1"/>
      <c r="P63" s="1"/>
      <c r="Q63" s="1"/>
      <c r="R63" s="693" t="s">
        <v>356</v>
      </c>
      <c r="S63" s="1"/>
      <c r="T63" s="89"/>
      <c r="U63" s="562"/>
      <c r="V63" s="562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561"/>
      <c r="AK63" s="1"/>
      <c r="AL63" s="561"/>
      <c r="AM63" s="1"/>
      <c r="AN63" s="561"/>
      <c r="AO63" s="1"/>
      <c r="AP63" s="561"/>
      <c r="AQ63" s="556"/>
      <c r="AR63" s="556"/>
      <c r="AS63" s="1"/>
      <c r="AT63" s="561"/>
      <c r="AU63" s="561"/>
      <c r="AV63" s="561"/>
      <c r="AW63" s="1"/>
      <c r="AX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566" t="s">
        <v>323</v>
      </c>
      <c r="N64" s="537"/>
      <c r="O64" s="538"/>
      <c r="P64" s="567" t="s">
        <v>324</v>
      </c>
      <c r="Q64" s="568" t="s">
        <v>326</v>
      </c>
      <c r="R64" s="569"/>
      <c r="S64" s="25"/>
      <c r="T64" s="1"/>
      <c r="U64" s="1"/>
      <c r="V64" s="562"/>
      <c r="W64" s="89"/>
      <c r="X64" s="1"/>
      <c r="Y64" s="1"/>
      <c r="Z64" s="1"/>
      <c r="AA64" s="1"/>
      <c r="AB64" s="1"/>
      <c r="AC64" s="1"/>
      <c r="AD64" s="1"/>
      <c r="AE64" s="1"/>
      <c r="AF64" s="1"/>
      <c r="AG64" s="1" t="s">
        <v>321</v>
      </c>
      <c r="AH64" s="1"/>
      <c r="AI64" s="1"/>
      <c r="AJ64" s="565">
        <f>(F56+H56)/(F52+H52)</f>
        <v>7432.028089</v>
      </c>
      <c r="AK64" s="1"/>
      <c r="AL64" s="565">
        <f>J56/J52</f>
        <v>7024.589031</v>
      </c>
      <c r="AM64" s="1"/>
      <c r="AN64" s="565">
        <f>L56/L52</f>
        <v>6779.032381</v>
      </c>
      <c r="AO64" s="1"/>
      <c r="AP64" s="565">
        <f>N56/N52</f>
        <v>6490.562918</v>
      </c>
      <c r="AQ64" s="1"/>
      <c r="AR64" s="565"/>
      <c r="AS64" s="1"/>
      <c r="AT64" s="565"/>
      <c r="AU64" s="1"/>
      <c r="AV64" s="1"/>
      <c r="AW64" s="1"/>
      <c r="AX64" s="1"/>
    </row>
    <row r="65" ht="14.25" customHeight="1">
      <c r="A65" s="1"/>
      <c r="B65" s="1"/>
      <c r="C65" s="1" t="s">
        <v>328</v>
      </c>
      <c r="D65" s="1"/>
      <c r="E65" s="1"/>
      <c r="F65" s="576">
        <f>(F63/(1-F62))*(($H$22/$F$22)^3)-((F56/F52)*2)</f>
        <v>16218.68093</v>
      </c>
      <c r="G65" s="1"/>
      <c r="H65" s="576">
        <f>(H63/(1-H62))*(($H$22/$F$22)^3)-((H56/H52)*2)</f>
        <v>18371.35906</v>
      </c>
      <c r="I65" s="1"/>
      <c r="J65" s="576">
        <f>(J63/(1-J62))*(($H$22/$F$22)^2)-((J56/J52)*2)</f>
        <v>16563.43213</v>
      </c>
      <c r="K65" s="1"/>
      <c r="L65" s="576">
        <f>(L63/(1-L62))*($H$22/$F$22)-((L56/L52)*2)</f>
        <v>16454.29817</v>
      </c>
      <c r="M65" s="579" t="s">
        <v>332</v>
      </c>
      <c r="N65" s="35"/>
      <c r="O65" s="21"/>
      <c r="P65" s="714">
        <f>R59/R52*2</f>
        <v>14148.28832</v>
      </c>
      <c r="Q65" s="584">
        <f>(R59+P56-J16)/R52*2</f>
        <v>15395.74897</v>
      </c>
      <c r="R65" s="585"/>
      <c r="S65" s="1"/>
      <c r="T65" s="89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 t="s">
        <v>327</v>
      </c>
      <c r="AH65" s="1"/>
      <c r="AI65" s="1"/>
      <c r="AJ65" s="571">
        <f>AJ52</f>
        <v>377</v>
      </c>
      <c r="AK65" s="1"/>
      <c r="AL65" s="571">
        <f>AL52</f>
        <v>487</v>
      </c>
      <c r="AM65" s="1"/>
      <c r="AN65" s="571">
        <f>AN52</f>
        <v>461</v>
      </c>
      <c r="AO65" s="1"/>
      <c r="AP65" s="571">
        <f>AP52</f>
        <v>755</v>
      </c>
      <c r="AQ65" s="1"/>
      <c r="AR65" s="572"/>
      <c r="AS65" s="1"/>
      <c r="AT65" s="571"/>
      <c r="AU65" s="1"/>
      <c r="AV65" s="1"/>
      <c r="AW65" s="1"/>
      <c r="AX65" s="1"/>
    </row>
    <row r="66" ht="6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589" t="s">
        <v>334</v>
      </c>
      <c r="N66" s="147"/>
      <c r="O66" s="27"/>
      <c r="P66" s="590">
        <f>R56/R54</f>
        <v>0.5164358785</v>
      </c>
      <c r="Q66" s="591">
        <f>(R56-P56+J16)/R54</f>
        <v>0.4737998226</v>
      </c>
      <c r="R66" s="592"/>
      <c r="S66" s="1"/>
      <c r="T66" s="1"/>
      <c r="U66" s="1"/>
      <c r="V66" s="562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ht="14.25" customHeight="1">
      <c r="A67" s="1"/>
      <c r="B67" s="1"/>
      <c r="C67" s="1" t="s">
        <v>335</v>
      </c>
      <c r="D67" s="1"/>
      <c r="E67" s="1"/>
      <c r="F67" s="556">
        <f>(F65/$N63)^(1/3)-1</f>
        <v>-0.004563389337</v>
      </c>
      <c r="G67" s="1"/>
      <c r="H67" s="556">
        <f>(H65/$N63)^(1/3)-1</f>
        <v>0.03766108022</v>
      </c>
      <c r="I67" s="1"/>
      <c r="J67" s="556">
        <f>(J65/$N63)^(1/2)-1</f>
        <v>0.003662771536</v>
      </c>
      <c r="K67" s="1"/>
      <c r="L67" s="556">
        <f>(L65/$N63)-1</f>
        <v>0.000701754386</v>
      </c>
      <c r="M67" s="597"/>
      <c r="N67" s="598"/>
      <c r="O67" s="599"/>
      <c r="P67" s="600"/>
      <c r="Q67" s="601"/>
      <c r="R67" s="602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 t="s">
        <v>333</v>
      </c>
      <c r="AH67" s="1"/>
      <c r="AI67" s="1"/>
      <c r="AJ67" s="586">
        <f>AJ64*AJ65</f>
        <v>2801874.59</v>
      </c>
      <c r="AK67" s="1"/>
      <c r="AL67" s="586">
        <f>AL64*AL65</f>
        <v>3420974.858</v>
      </c>
      <c r="AM67" s="1"/>
      <c r="AN67" s="586">
        <f>AN64*AN65</f>
        <v>3125133.928</v>
      </c>
      <c r="AO67" s="1"/>
      <c r="AP67" s="586">
        <f>AP64*AP65</f>
        <v>4900375.003</v>
      </c>
      <c r="AQ67" s="1"/>
      <c r="AR67" s="586">
        <f>AR56</f>
        <v>1356728.444</v>
      </c>
      <c r="AS67" s="1"/>
      <c r="AT67" s="586">
        <f>SUM(AJ67:AR67)</f>
        <v>15605086.82</v>
      </c>
      <c r="AU67" s="1"/>
      <c r="AV67" s="1"/>
      <c r="AW67" s="1"/>
      <c r="AX67" s="1"/>
    </row>
    <row r="68" ht="6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561"/>
      <c r="O68" s="1"/>
      <c r="P68" s="1"/>
      <c r="Q68" s="1"/>
      <c r="R68" s="561"/>
      <c r="S68" s="1"/>
      <c r="T68" s="89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561"/>
      <c r="AQ68" s="1"/>
      <c r="AR68" s="1"/>
      <c r="AS68" s="1"/>
      <c r="AT68" s="561"/>
      <c r="AU68" s="561"/>
      <c r="AV68" s="561"/>
      <c r="AW68" s="1"/>
      <c r="AX68" s="1"/>
    </row>
    <row r="69" ht="19.5" customHeight="1">
      <c r="A69" s="1"/>
      <c r="B69" s="1"/>
      <c r="C69" s="1" t="s">
        <v>339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561"/>
      <c r="O69" s="1"/>
      <c r="P69" s="1"/>
      <c r="Q69" s="1"/>
      <c r="R69" s="614">
        <f>'P Fcast 5yr'!I9</f>
        <v>29977981.36</v>
      </c>
      <c r="S69" s="1"/>
      <c r="T69" s="89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 t="s">
        <v>337</v>
      </c>
      <c r="AH69" s="1"/>
      <c r="AI69" s="1"/>
      <c r="AJ69" s="571">
        <f>AJ67*($AT69-$AR69)/($AT67-$AR67)</f>
        <v>2838744.891</v>
      </c>
      <c r="AK69" s="1"/>
      <c r="AL69" s="571">
        <f>AL67*($AT69-$AR69)/($AT67-$AR67)</f>
        <v>3465991.996</v>
      </c>
      <c r="AM69" s="1"/>
      <c r="AN69" s="571">
        <f>AN67*($AT69-$AR69)/($AT67-$AR67)</f>
        <v>3166258.049</v>
      </c>
      <c r="AO69" s="1"/>
      <c r="AP69" s="571">
        <f>AP67*($AT69-$AR69)/($AT67-$AR67)</f>
        <v>4964859.796</v>
      </c>
      <c r="AQ69" s="1"/>
      <c r="AR69" s="295">
        <f>P56*J$26</f>
        <v>1356728.444</v>
      </c>
      <c r="AS69" s="1"/>
      <c r="AT69" s="610">
        <f>R56*J$26</f>
        <v>15792583.18</v>
      </c>
      <c r="AU69" s="561"/>
      <c r="AV69" s="561"/>
      <c r="AW69" s="1"/>
      <c r="AX69" s="1"/>
    </row>
    <row r="70" ht="14.25" customHeight="1">
      <c r="A70" s="1"/>
      <c r="B70" s="1"/>
      <c r="C70" s="1"/>
      <c r="D70" s="1"/>
      <c r="E70" s="1"/>
      <c r="F70" s="726" t="s">
        <v>367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ht="14.25" customHeight="1">
      <c r="A71" s="1"/>
      <c r="B71" s="1"/>
      <c r="C71" s="1"/>
      <c r="D71" s="1"/>
      <c r="E71" s="1"/>
      <c r="F71" s="72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ht="14.25" customHeight="1">
      <c r="A72" s="1"/>
      <c r="B72" s="728" t="s">
        <v>134</v>
      </c>
      <c r="C72" s="729" t="s">
        <v>368</v>
      </c>
      <c r="D72" s="730"/>
      <c r="E72" s="730"/>
      <c r="F72" s="730"/>
      <c r="G72" s="730"/>
      <c r="H72" s="730"/>
      <c r="I72" s="732"/>
      <c r="J72" s="733"/>
      <c r="K72" s="730"/>
      <c r="L72" s="730"/>
      <c r="M72" s="730"/>
      <c r="N72" s="730"/>
      <c r="O72" s="730"/>
      <c r="P72" s="730"/>
      <c r="Q72" s="730"/>
      <c r="R72" s="730"/>
      <c r="S72" s="732"/>
      <c r="T72" s="730"/>
      <c r="U72" s="730"/>
      <c r="V72" s="730"/>
      <c r="W72" s="732"/>
      <c r="X72" s="1"/>
      <c r="Y72" s="1"/>
      <c r="Z72" s="1"/>
      <c r="AA72" s="1"/>
      <c r="AB72" s="1"/>
      <c r="AC72" s="189"/>
      <c r="AD72" s="89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ht="14.25" customHeight="1">
      <c r="A73" s="1"/>
      <c r="B73" s="734"/>
      <c r="C73" s="735" t="str">
        <f>CONCATENATE("A. New Student NTR - Fall ",H4)</f>
        <v>A. New Student NTR - Fall 2027 - 28</v>
      </c>
      <c r="D73" s="147"/>
      <c r="E73" s="147"/>
      <c r="F73" s="27"/>
      <c r="G73" s="736"/>
      <c r="H73" s="736"/>
      <c r="I73" s="737"/>
      <c r="J73" s="738"/>
      <c r="K73" s="739" t="str">
        <f>CONCATENATE("B. ",H4," Impact of Students Lost During ",F4)</f>
        <v>B. 2027 - 28 Impact of Students Lost During 2026 - 27</v>
      </c>
      <c r="L73" s="740"/>
      <c r="M73" s="741"/>
      <c r="N73" s="742"/>
      <c r="O73" s="710"/>
      <c r="P73" s="743"/>
      <c r="Q73" s="742"/>
      <c r="R73" s="744"/>
      <c r="S73" s="737"/>
      <c r="T73" s="745" t="s">
        <v>371</v>
      </c>
      <c r="U73" s="741"/>
      <c r="V73" s="741"/>
      <c r="W73" s="746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ht="14.25" customHeight="1">
      <c r="A74" s="1"/>
      <c r="B74" s="747"/>
      <c r="C74" s="37"/>
      <c r="D74" s="44"/>
      <c r="E74" s="44"/>
      <c r="F74" s="38"/>
      <c r="G74" s="115"/>
      <c r="H74" s="115"/>
      <c r="I74" s="656"/>
      <c r="J74" s="747"/>
      <c r="K74" s="115"/>
      <c r="L74" s="748"/>
      <c r="M74" s="749"/>
      <c r="N74" s="750"/>
      <c r="O74" s="749"/>
      <c r="P74" s="751" t="s">
        <v>372</v>
      </c>
      <c r="Q74" s="115"/>
      <c r="R74" s="752"/>
      <c r="S74" s="656"/>
      <c r="T74" s="753" t="s">
        <v>373</v>
      </c>
      <c r="U74" s="115"/>
      <c r="V74" s="754">
        <f>D78</f>
        <v>625</v>
      </c>
      <c r="W74" s="755">
        <f>+F78</f>
        <v>9033778.42</v>
      </c>
      <c r="X74" s="1"/>
      <c r="Y74" s="1"/>
      <c r="Z74" s="1"/>
      <c r="AA74" s="1"/>
      <c r="AB74" s="1"/>
      <c r="AC74" s="295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ht="14.25" customHeight="1">
      <c r="A75" s="1"/>
      <c r="B75" s="747"/>
      <c r="C75" s="757"/>
      <c r="D75" s="757"/>
      <c r="E75" s="115"/>
      <c r="F75" s="751" t="s">
        <v>372</v>
      </c>
      <c r="G75" s="115"/>
      <c r="H75" s="115"/>
      <c r="I75" s="656"/>
      <c r="J75" s="747"/>
      <c r="K75" s="115"/>
      <c r="L75" s="134" t="s">
        <v>375</v>
      </c>
      <c r="M75" s="115"/>
      <c r="N75" s="762">
        <f>AT30-R30</f>
        <v>-77</v>
      </c>
      <c r="O75" s="115"/>
      <c r="P75" s="762">
        <f>(AT37-R37)*2</f>
        <v>-1389715.171</v>
      </c>
      <c r="Q75" s="115"/>
      <c r="R75" s="765">
        <f>R40</f>
        <v>0.5036226083</v>
      </c>
      <c r="S75" s="656"/>
      <c r="T75" s="753" t="s">
        <v>379</v>
      </c>
      <c r="U75" s="115"/>
      <c r="V75" s="754">
        <f>N78</f>
        <v>-480</v>
      </c>
      <c r="W75" s="755">
        <f>P78</f>
        <v>-7874274.238</v>
      </c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ht="14.25" customHeight="1">
      <c r="A76" s="1"/>
      <c r="B76" s="747"/>
      <c r="C76" s="134" t="s">
        <v>60</v>
      </c>
      <c r="D76" s="767">
        <f>F52</f>
        <v>580</v>
      </c>
      <c r="E76" s="115"/>
      <c r="F76" s="762">
        <f>F37*2</f>
        <v>8459367.003</v>
      </c>
      <c r="G76" s="115"/>
      <c r="H76" s="765">
        <f>F62</f>
        <v>0.51</v>
      </c>
      <c r="I76" s="656"/>
      <c r="J76" s="747"/>
      <c r="K76" s="115"/>
      <c r="L76" s="134" t="s">
        <v>340</v>
      </c>
      <c r="M76" s="115"/>
      <c r="N76" s="762">
        <f>IF('F Population'!R43&gt;0,-'F Population'!R43,-'F Population'!P43)</f>
        <v>-342</v>
      </c>
      <c r="O76" s="115"/>
      <c r="P76" s="762">
        <f>N76/N30*N37*2</f>
        <v>-5623423.712</v>
      </c>
      <c r="Q76" s="115"/>
      <c r="R76" s="765">
        <f>N40</f>
        <v>0.43</v>
      </c>
      <c r="S76" s="656"/>
      <c r="T76" s="753" t="s">
        <v>385</v>
      </c>
      <c r="U76" s="115"/>
      <c r="V76" s="754">
        <f>AT52-R52</f>
        <v>-42</v>
      </c>
      <c r="W76" s="755">
        <f>-W74-W75-W77-W78</f>
        <v>-2104442.865</v>
      </c>
      <c r="X76" s="1"/>
      <c r="Y76" s="1"/>
      <c r="Z76" s="1"/>
      <c r="AA76" s="1"/>
      <c r="AB76" s="295"/>
      <c r="AC76" s="295"/>
      <c r="AD76" s="780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ht="14.25" customHeight="1">
      <c r="A77" s="1"/>
      <c r="B77" s="747"/>
      <c r="C77" s="134" t="s">
        <v>386</v>
      </c>
      <c r="D77" s="782">
        <f>'I Student rev'!P74</f>
        <v>45</v>
      </c>
      <c r="E77" s="115"/>
      <c r="F77" s="782">
        <f>D77/(R52-F52)*(('I Student rev'!H19-F59)*2)</f>
        <v>574411.4165</v>
      </c>
      <c r="G77" s="783"/>
      <c r="H77" s="784">
        <f>SUM(H56:P56)/SUM(H54:P54)</f>
        <v>0.5188582078</v>
      </c>
      <c r="I77" s="656"/>
      <c r="J77" s="747"/>
      <c r="K77" s="115"/>
      <c r="L77" s="134" t="s">
        <v>387</v>
      </c>
      <c r="M77" s="115"/>
      <c r="N77" s="782">
        <f>N78-N75-N76</f>
        <v>-61</v>
      </c>
      <c r="O77" s="783"/>
      <c r="P77" s="782">
        <f>N77*F22*(1-R77)</f>
        <v>-861135.3543</v>
      </c>
      <c r="Q77" s="783"/>
      <c r="R77" s="784">
        <f>R75</f>
        <v>0.5036226083</v>
      </c>
      <c r="S77" s="656"/>
      <c r="T77" s="785" t="s">
        <v>388</v>
      </c>
      <c r="U77" s="783"/>
      <c r="V77" s="786">
        <f>'F Population'!U25</f>
        <v>1508</v>
      </c>
      <c r="W77" s="787">
        <f>V77*F22*H6</f>
        <v>857750.4</v>
      </c>
      <c r="X77" s="1"/>
      <c r="Y77" s="1"/>
      <c r="Z77" s="1"/>
      <c r="AA77" s="1"/>
      <c r="AB77" s="295"/>
      <c r="AC77" s="295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ht="14.25" customHeight="1">
      <c r="A78" s="1"/>
      <c r="B78" s="747"/>
      <c r="C78" s="134" t="s">
        <v>389</v>
      </c>
      <c r="D78" s="782">
        <f>D76+D77</f>
        <v>625</v>
      </c>
      <c r="E78" s="115"/>
      <c r="F78" s="782">
        <f>F76+F77</f>
        <v>9033778.42</v>
      </c>
      <c r="G78" s="783"/>
      <c r="H78" s="784">
        <f>(H76*D76+H77*D77)/D78</f>
        <v>0.510637791</v>
      </c>
      <c r="I78" s="656"/>
      <c r="J78" s="747"/>
      <c r="K78" s="115"/>
      <c r="L78" s="134" t="s">
        <v>390</v>
      </c>
      <c r="M78" s="115"/>
      <c r="N78" s="782">
        <f>'I Student rev'!P70</f>
        <v>-480</v>
      </c>
      <c r="O78" s="783"/>
      <c r="P78" s="782">
        <f>P75+P76+P77</f>
        <v>-7874274.238</v>
      </c>
      <c r="Q78" s="783"/>
      <c r="R78" s="784">
        <f>R40</f>
        <v>0.5036226083</v>
      </c>
      <c r="S78" s="656"/>
      <c r="T78" s="785" t="s">
        <v>392</v>
      </c>
      <c r="U78" s="783"/>
      <c r="V78" s="786">
        <f>'F Population'!U20-'F Population'!P20</f>
        <v>145</v>
      </c>
      <c r="W78" s="787">
        <f>'P Fcast 5yr'!Y9</f>
        <v>87188.28301</v>
      </c>
      <c r="X78" s="1"/>
      <c r="Y78" s="1"/>
      <c r="Z78" s="1"/>
      <c r="AA78" s="1"/>
      <c r="AB78" s="1"/>
      <c r="AC78" s="295"/>
      <c r="AD78" s="780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ht="14.25" customHeight="1">
      <c r="A79" s="1"/>
      <c r="B79" s="791"/>
      <c r="C79" s="792"/>
      <c r="D79" s="793"/>
      <c r="E79" s="794"/>
      <c r="F79" s="793"/>
      <c r="G79" s="795"/>
      <c r="H79" s="796"/>
      <c r="I79" s="681"/>
      <c r="J79" s="791"/>
      <c r="K79" s="794"/>
      <c r="L79" s="792"/>
      <c r="M79" s="794"/>
      <c r="N79" s="793"/>
      <c r="O79" s="794"/>
      <c r="P79" s="793"/>
      <c r="Q79" s="795"/>
      <c r="R79" s="796"/>
      <c r="S79" s="681"/>
      <c r="T79" s="798"/>
      <c r="U79" s="794"/>
      <c r="V79" s="799"/>
      <c r="W79" s="800"/>
      <c r="X79" s="1"/>
      <c r="Y79" s="1"/>
      <c r="Z79" s="1"/>
      <c r="AA79" s="1"/>
      <c r="AB79" s="1"/>
      <c r="AC79" s="295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295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ht="14.25" customHeight="1">
      <c r="A82" s="1"/>
      <c r="B82" s="433" t="s">
        <v>159</v>
      </c>
      <c r="C82" s="433" t="s">
        <v>278</v>
      </c>
      <c r="D82" s="491" t="str">
        <f>'F Population'!W6</f>
        <v>2028 - 29</v>
      </c>
      <c r="E82" s="492"/>
      <c r="F82" s="496" t="s">
        <v>280</v>
      </c>
      <c r="G82" s="492"/>
      <c r="H82" s="496" t="s">
        <v>281</v>
      </c>
      <c r="I82" s="492"/>
      <c r="J82" s="496" t="s">
        <v>282</v>
      </c>
      <c r="K82" s="492"/>
      <c r="L82" s="496" t="s">
        <v>283</v>
      </c>
      <c r="M82" s="492"/>
      <c r="N82" s="496" t="s">
        <v>284</v>
      </c>
      <c r="O82" s="493"/>
      <c r="P82" s="496" t="s">
        <v>285</v>
      </c>
      <c r="Q82" s="493"/>
      <c r="R82" s="496" t="s">
        <v>286</v>
      </c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433" t="s">
        <v>159</v>
      </c>
      <c r="AG82" s="434" t="s">
        <v>287</v>
      </c>
      <c r="AH82" s="491" t="str">
        <f>D82</f>
        <v>2028 - 29</v>
      </c>
      <c r="AI82" s="492"/>
      <c r="AJ82" s="496" t="s">
        <v>280</v>
      </c>
      <c r="AK82" s="492"/>
      <c r="AL82" s="496" t="s">
        <v>282</v>
      </c>
      <c r="AM82" s="492"/>
      <c r="AN82" s="496" t="s">
        <v>283</v>
      </c>
      <c r="AO82" s="492"/>
      <c r="AP82" s="496" t="s">
        <v>284</v>
      </c>
      <c r="AQ82" s="493"/>
      <c r="AR82" s="496" t="s">
        <v>285</v>
      </c>
      <c r="AS82" s="493"/>
      <c r="AT82" s="496" t="s">
        <v>286</v>
      </c>
      <c r="AU82" s="1"/>
      <c r="AV82" s="497" t="s">
        <v>288</v>
      </c>
      <c r="AW82" s="1"/>
      <c r="AX82" s="498" t="str">
        <f>AH82</f>
        <v>2028 - 29</v>
      </c>
    </row>
    <row r="83" ht="5.25" customHeight="1">
      <c r="A83" s="1"/>
      <c r="B83" s="1"/>
      <c r="C83" s="1"/>
      <c r="D83" s="1"/>
      <c r="E83" s="39"/>
      <c r="F83" s="1"/>
      <c r="G83" s="39"/>
      <c r="H83" s="1"/>
      <c r="I83" s="39"/>
      <c r="J83" s="1"/>
      <c r="K83" s="39"/>
      <c r="L83" s="1"/>
      <c r="M83" s="39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39"/>
      <c r="AJ83" s="1"/>
      <c r="AK83" s="39"/>
      <c r="AL83" s="1"/>
      <c r="AM83" s="39"/>
      <c r="AN83" s="1"/>
      <c r="AO83" s="39"/>
      <c r="AP83" s="1"/>
      <c r="AQ83" s="1"/>
      <c r="AR83" s="1"/>
      <c r="AS83" s="1"/>
      <c r="AT83" s="1"/>
      <c r="AU83" s="1"/>
      <c r="AV83" s="1"/>
      <c r="AW83" s="1"/>
      <c r="AX83" s="1"/>
    </row>
    <row r="84" ht="14.25" customHeight="1">
      <c r="A84" s="1"/>
      <c r="B84" s="89"/>
      <c r="C84" s="332" t="s">
        <v>289</v>
      </c>
      <c r="D84" s="89"/>
      <c r="E84" s="501"/>
      <c r="F84" s="621">
        <f>'F Population'!W9</f>
        <v>580</v>
      </c>
      <c r="G84" s="501"/>
      <c r="H84" s="621">
        <f>'F Population'!W11</f>
        <v>42</v>
      </c>
      <c r="I84" s="501"/>
      <c r="J84" s="621">
        <f>'F Population'!W13</f>
        <v>478</v>
      </c>
      <c r="K84" s="501"/>
      <c r="L84" s="621">
        <f>'F Population'!W15</f>
        <v>504</v>
      </c>
      <c r="M84" s="501"/>
      <c r="N84" s="621">
        <f>'F Population'!W17</f>
        <v>549</v>
      </c>
      <c r="O84" s="621"/>
      <c r="P84" s="621">
        <f>'F Population'!W19</f>
        <v>13</v>
      </c>
      <c r="Q84" s="621"/>
      <c r="R84" s="627">
        <f>SUM(F84:P84)</f>
        <v>2166</v>
      </c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89"/>
      <c r="AG84" s="332" t="s">
        <v>289</v>
      </c>
      <c r="AH84" s="89"/>
      <c r="AI84" s="501"/>
      <c r="AJ84" s="621">
        <f>'F Population'!W31</f>
        <v>378</v>
      </c>
      <c r="AK84" s="501"/>
      <c r="AL84" s="621">
        <f>'F Population'!W33</f>
        <v>501</v>
      </c>
      <c r="AM84" s="501"/>
      <c r="AN84" s="621">
        <f>'F Population'!W35</f>
        <v>510</v>
      </c>
      <c r="AO84" s="501"/>
      <c r="AP84" s="621">
        <f>'F Population'!W37</f>
        <v>714</v>
      </c>
      <c r="AQ84" s="621"/>
      <c r="AR84" s="621">
        <f>'F Population'!W39</f>
        <v>12</v>
      </c>
      <c r="AS84" s="621"/>
      <c r="AT84" s="627">
        <f>SUM(AJ84:AR84)</f>
        <v>2115</v>
      </c>
      <c r="AU84" s="627"/>
      <c r="AV84" s="627"/>
      <c r="AW84" s="1"/>
      <c r="AX84" s="1"/>
    </row>
    <row r="85" ht="7.5" customHeight="1">
      <c r="A85" s="1"/>
      <c r="B85" s="1"/>
      <c r="C85" s="510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510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ht="14.25" customHeight="1">
      <c r="A86" s="1"/>
      <c r="B86" s="1"/>
      <c r="C86" s="332" t="s">
        <v>293</v>
      </c>
      <c r="D86" s="1"/>
      <c r="E86" s="1"/>
      <c r="F86" s="635">
        <f>F84/($R84-$P84)*($R86-$P86)</f>
        <v>8703585.25</v>
      </c>
      <c r="G86" s="1"/>
      <c r="H86" s="635">
        <f>H84/($R84-$P84)*($R86-$P86)</f>
        <v>630259.6216</v>
      </c>
      <c r="I86" s="1"/>
      <c r="J86" s="635">
        <f>J84/($R84-$P84)*($R86-$P86)</f>
        <v>7172954.741</v>
      </c>
      <c r="K86" s="1"/>
      <c r="L86" s="635">
        <f>L84/($R84-$P84)*($R86-$P86)</f>
        <v>7563115.459</v>
      </c>
      <c r="M86" s="1"/>
      <c r="N86" s="635">
        <f>N84/($R84-$P84)*($R86-$P86)</f>
        <v>8238393.625</v>
      </c>
      <c r="O86" s="635"/>
      <c r="P86" s="635">
        <f>IF(P52&lt;&gt;0,P84/P52*P54*(1+'G Price-Aid'!J$6),P54)</f>
        <v>0</v>
      </c>
      <c r="Q86" s="635"/>
      <c r="R86" s="85">
        <f>(R84-P84)/(R52-P52)*(R54-P54)*(1+'G Price-Aid'!J$6)+P86</f>
        <v>32308308.7</v>
      </c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332" t="s">
        <v>293</v>
      </c>
      <c r="AH86" s="1"/>
      <c r="AI86" s="1"/>
      <c r="AJ86" s="513">
        <f>AJ84/(F84+H84)*(F86+H86)</f>
        <v>5672336.594</v>
      </c>
      <c r="AK86" s="89"/>
      <c r="AL86" s="513">
        <f>AL84/J84*J86</f>
        <v>7518096.915</v>
      </c>
      <c r="AM86" s="89"/>
      <c r="AN86" s="513">
        <f>AN84/L84*L86</f>
        <v>7653152.548</v>
      </c>
      <c r="AO86" s="89"/>
      <c r="AP86" s="513">
        <f>AP84/N84*N86</f>
        <v>10714413.57</v>
      </c>
      <c r="AQ86" s="484"/>
      <c r="AR86" s="513">
        <f>IF(P84&lt;&gt;0,AR84/P84*P86,P86)</f>
        <v>0</v>
      </c>
      <c r="AS86" s="635"/>
      <c r="AT86" s="185">
        <f>SUM(AJ86:AR86)</f>
        <v>31557999.62</v>
      </c>
      <c r="AU86" s="185"/>
      <c r="AV86" s="185">
        <f>AT84/AT52*AV54*(1+'G Price-Aid'!J6)</f>
        <v>0</v>
      </c>
      <c r="AW86" s="1"/>
      <c r="AX86" s="185">
        <f>AT86+R86+AV86</f>
        <v>63866308.32</v>
      </c>
    </row>
    <row r="87" ht="6.0" customHeight="1">
      <c r="A87" s="1"/>
      <c r="B87" s="1"/>
      <c r="C87" s="510"/>
      <c r="D87" s="1"/>
      <c r="E87" s="1"/>
      <c r="F87" s="444"/>
      <c r="G87" s="1"/>
      <c r="H87" s="444"/>
      <c r="I87" s="1"/>
      <c r="J87" s="444"/>
      <c r="K87" s="1"/>
      <c r="L87" s="444"/>
      <c r="M87" s="1"/>
      <c r="N87" s="444"/>
      <c r="O87" s="444"/>
      <c r="P87" s="444"/>
      <c r="Q87" s="444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510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444"/>
      <c r="AT87" s="1"/>
      <c r="AU87" s="1"/>
      <c r="AV87" s="1"/>
      <c r="AW87" s="1"/>
      <c r="AX87" s="1"/>
    </row>
    <row r="88" ht="14.25" customHeight="1">
      <c r="A88" s="1"/>
      <c r="B88" s="1"/>
      <c r="C88" s="332" t="s">
        <v>298</v>
      </c>
      <c r="D88" s="1"/>
      <c r="E88" s="1"/>
      <c r="F88" s="635">
        <f>F86*F94</f>
        <v>4438828.478</v>
      </c>
      <c r="G88" s="444"/>
      <c r="H88" s="635">
        <f>H86*H94</f>
        <v>285579.6325</v>
      </c>
      <c r="I88" s="444"/>
      <c r="J88" s="635">
        <f>J86*J94</f>
        <v>3552509.427</v>
      </c>
      <c r="K88" s="444"/>
      <c r="L88" s="635">
        <f>L86*L94</f>
        <v>3540392.872</v>
      </c>
      <c r="M88" s="444"/>
      <c r="N88" s="635">
        <f>N86*N94</f>
        <v>3721688.777</v>
      </c>
      <c r="O88" s="657"/>
      <c r="P88" s="635">
        <f>($J18+$J20)/2+$J16</f>
        <v>1576918.68</v>
      </c>
      <c r="Q88" s="657"/>
      <c r="R88" s="85">
        <f>SUM(F88:P88)</f>
        <v>17115917.87</v>
      </c>
      <c r="S88" s="1"/>
      <c r="T88" s="295"/>
      <c r="U88" s="562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332" t="s">
        <v>298</v>
      </c>
      <c r="AH88" s="1"/>
      <c r="AI88" s="1"/>
      <c r="AJ88" s="513">
        <f>IF($J$26&gt;0,AJ100,AJ84/(F84+H84)*(F88+H88))</f>
        <v>0</v>
      </c>
      <c r="AK88" s="178"/>
      <c r="AL88" s="513">
        <f>IF($J$26&gt;0,AL100,AL84/J84*J88)</f>
        <v>0</v>
      </c>
      <c r="AM88" s="178"/>
      <c r="AN88" s="513">
        <f>IF($J$26&gt;0,AN100,AN84/L84*L88)</f>
        <v>0</v>
      </c>
      <c r="AO88" s="178"/>
      <c r="AP88" s="513">
        <f>IF($J$26&gt;0,AP100,AP84/N84*N88)</f>
        <v>0</v>
      </c>
      <c r="AQ88" s="523"/>
      <c r="AR88" s="513">
        <f>IF($J$26&gt;0,AR100,AR84/P84*P88)</f>
        <v>0</v>
      </c>
      <c r="AS88" s="523"/>
      <c r="AT88" s="185">
        <f>IF($J$26&gt;0,R88*$J$26,SUM(AJ88:AR88))</f>
        <v>16773599.51</v>
      </c>
      <c r="AU88" s="85"/>
      <c r="AV88" s="85"/>
      <c r="AW88" s="1"/>
      <c r="AX88" s="185">
        <f>AT88+R88</f>
        <v>33889517.37</v>
      </c>
    </row>
    <row r="8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05"/>
      <c r="AK89" s="1"/>
      <c r="AL89" s="405"/>
      <c r="AM89" s="1"/>
      <c r="AN89" s="405"/>
      <c r="AO89" s="1"/>
      <c r="AP89" s="405"/>
      <c r="AQ89" s="1"/>
      <c r="AR89" s="405"/>
      <c r="AS89" s="1"/>
      <c r="AT89" s="405"/>
      <c r="AU89" s="1"/>
      <c r="AV89" s="405"/>
      <c r="AW89" s="1"/>
      <c r="AX89" s="405"/>
    </row>
    <row r="9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ht="14.25" customHeight="1">
      <c r="A91" s="1"/>
      <c r="B91" s="1"/>
      <c r="C91" s="510" t="s">
        <v>307</v>
      </c>
      <c r="D91" s="1"/>
      <c r="E91" s="1"/>
      <c r="F91" s="85">
        <f>F86-F88</f>
        <v>4264756.773</v>
      </c>
      <c r="G91" s="1"/>
      <c r="H91" s="85">
        <f>H86-H88</f>
        <v>344679.989</v>
      </c>
      <c r="I91" s="1"/>
      <c r="J91" s="85">
        <f>J86-J88</f>
        <v>3620445.314</v>
      </c>
      <c r="K91" s="1"/>
      <c r="L91" s="85">
        <f>L86-L88</f>
        <v>4022722.587</v>
      </c>
      <c r="M91" s="1"/>
      <c r="N91" s="85">
        <f>N86-N88</f>
        <v>4516704.848</v>
      </c>
      <c r="O91" s="400"/>
      <c r="P91" s="85">
        <f>P86-P88</f>
        <v>-1576918.68</v>
      </c>
      <c r="Q91" s="400"/>
      <c r="R91" s="85">
        <f>R86-R88</f>
        <v>15192390.83</v>
      </c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510" t="s">
        <v>307</v>
      </c>
      <c r="AH91" s="1"/>
      <c r="AI91" s="1"/>
      <c r="AJ91" s="85">
        <f>AJ86-AJ88</f>
        <v>5672336.594</v>
      </c>
      <c r="AK91" s="1"/>
      <c r="AL91" s="85">
        <f>AL86-AL88</f>
        <v>7518096.915</v>
      </c>
      <c r="AM91" s="1"/>
      <c r="AN91" s="85">
        <f>AN86-AN88</f>
        <v>7653152.548</v>
      </c>
      <c r="AO91" s="1"/>
      <c r="AP91" s="85">
        <f>AP86-AP88</f>
        <v>10714413.57</v>
      </c>
      <c r="AQ91" s="400"/>
      <c r="AR91" s="85">
        <f>AR86-AR88</f>
        <v>0</v>
      </c>
      <c r="AS91" s="400"/>
      <c r="AT91" s="85">
        <f>AT86-AT88</f>
        <v>14784400.12</v>
      </c>
      <c r="AU91" s="85"/>
      <c r="AV91" s="85">
        <f>AV86-AV88</f>
        <v>0</v>
      </c>
      <c r="AW91" s="1"/>
      <c r="AX91" s="85">
        <f>AX86-AX88</f>
        <v>29976790.95</v>
      </c>
    </row>
    <row r="92" ht="6.75" customHeight="1">
      <c r="A92" s="1"/>
      <c r="B92" s="1"/>
      <c r="C92" s="555"/>
      <c r="D92" s="1"/>
      <c r="E92" s="1"/>
      <c r="F92" s="405"/>
      <c r="G92" s="1"/>
      <c r="H92" s="405"/>
      <c r="I92" s="1"/>
      <c r="J92" s="405"/>
      <c r="K92" s="1"/>
      <c r="L92" s="405"/>
      <c r="M92" s="1"/>
      <c r="N92" s="405"/>
      <c r="O92" s="85"/>
      <c r="P92" s="405"/>
      <c r="Q92" s="85"/>
      <c r="R92" s="40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555"/>
      <c r="AH92" s="1"/>
      <c r="AI92" s="1"/>
      <c r="AJ92" s="405"/>
      <c r="AK92" s="1"/>
      <c r="AL92" s="405"/>
      <c r="AM92" s="1"/>
      <c r="AN92" s="405"/>
      <c r="AO92" s="1"/>
      <c r="AP92" s="405"/>
      <c r="AQ92" s="85"/>
      <c r="AR92" s="405"/>
      <c r="AS92" s="85"/>
      <c r="AT92" s="405"/>
      <c r="AU92" s="85"/>
      <c r="AV92" s="405"/>
      <c r="AW92" s="1"/>
      <c r="AX92" s="405"/>
    </row>
    <row r="93" ht="9.0" customHeight="1">
      <c r="A93" s="1"/>
      <c r="B93" s="1"/>
      <c r="C93" s="510"/>
      <c r="D93" s="1"/>
      <c r="E93" s="1"/>
      <c r="F93" s="556"/>
      <c r="G93" s="1"/>
      <c r="H93" s="556"/>
      <c r="I93" s="1"/>
      <c r="J93" s="556"/>
      <c r="K93" s="1"/>
      <c r="L93" s="556"/>
      <c r="M93" s="1"/>
      <c r="N93" s="556"/>
      <c r="O93" s="556"/>
      <c r="P93" s="556"/>
      <c r="Q93" s="556"/>
      <c r="R93" s="556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510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556"/>
      <c r="AT93" s="556"/>
      <c r="AU93" s="556"/>
      <c r="AV93" s="556"/>
      <c r="AW93" s="1"/>
      <c r="AX93" s="1"/>
    </row>
    <row r="94" ht="14.25" customHeight="1">
      <c r="A94" s="1"/>
      <c r="B94" s="89"/>
      <c r="C94" s="89" t="s">
        <v>355</v>
      </c>
      <c r="D94" s="89"/>
      <c r="E94" s="89"/>
      <c r="F94" s="859">
        <f>'G Price-Aid'!J14</f>
        <v>0.51</v>
      </c>
      <c r="G94" s="89"/>
      <c r="H94" s="556">
        <f>H62/J62*J94</f>
        <v>0.4531142767</v>
      </c>
      <c r="I94" s="89"/>
      <c r="J94" s="859">
        <f>(F56+H56)/((F54+H54)*(1+'G Price-Aid'!J6))</f>
        <v>0.4952644419</v>
      </c>
      <c r="K94" s="89"/>
      <c r="L94" s="556">
        <f>J56/(J54*(1+'G Price-Aid'!N6))</f>
        <v>0.4681130271</v>
      </c>
      <c r="M94" s="89"/>
      <c r="N94" s="556">
        <f>L56/(L54*(1+'G Price-Aid'!P6))</f>
        <v>0.4517493272</v>
      </c>
      <c r="O94" s="688"/>
      <c r="P94" s="688"/>
      <c r="Q94" s="688"/>
      <c r="R94" s="558">
        <f>R88/R86</f>
        <v>0.5297683028</v>
      </c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89"/>
      <c r="AG94" s="89" t="s">
        <v>355</v>
      </c>
      <c r="AH94" s="89"/>
      <c r="AI94" s="89"/>
      <c r="AJ94" s="556">
        <f>AJ88/AJ86</f>
        <v>0</v>
      </c>
      <c r="AK94" s="1"/>
      <c r="AL94" s="556">
        <f>AL88/AL86</f>
        <v>0</v>
      </c>
      <c r="AM94" s="1"/>
      <c r="AN94" s="556">
        <f>AN88/AN86</f>
        <v>0</v>
      </c>
      <c r="AO94" s="1"/>
      <c r="AP94" s="556">
        <f>AP88/AP86</f>
        <v>0</v>
      </c>
      <c r="AQ94" s="556"/>
      <c r="AR94" s="556"/>
      <c r="AS94" s="688"/>
      <c r="AT94" s="558">
        <f>AT88/AT86</f>
        <v>0.5315165634</v>
      </c>
      <c r="AU94" s="1"/>
      <c r="AV94" s="1"/>
      <c r="AW94" s="89"/>
      <c r="AX94" s="560">
        <f>AX88/AX86</f>
        <v>0.5306321637</v>
      </c>
    </row>
    <row r="95" ht="21.75" customHeight="1">
      <c r="A95" s="1"/>
      <c r="B95" s="1"/>
      <c r="C95" s="1" t="s">
        <v>320</v>
      </c>
      <c r="D95" s="1"/>
      <c r="E95" s="1"/>
      <c r="F95" s="561">
        <f>F91/F84*2</f>
        <v>14706.05784</v>
      </c>
      <c r="G95" s="1"/>
      <c r="H95" s="561">
        <f>H91/H84*2</f>
        <v>16413.33281</v>
      </c>
      <c r="I95" s="1"/>
      <c r="J95" s="561">
        <f>J91/J84*2</f>
        <v>15148.30675</v>
      </c>
      <c r="K95" s="1"/>
      <c r="L95" s="561">
        <f>L91/L84*2</f>
        <v>15963.18487</v>
      </c>
      <c r="M95" s="1"/>
      <c r="N95" s="561">
        <f>N91/N84*2</f>
        <v>16454.29817</v>
      </c>
      <c r="O95" s="1"/>
      <c r="P95" s="1"/>
      <c r="Q95" s="1"/>
      <c r="R95" s="561">
        <f>R91/R84*2</f>
        <v>14028.06171</v>
      </c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561"/>
      <c r="AK95" s="1"/>
      <c r="AL95" s="561"/>
      <c r="AM95" s="1"/>
      <c r="AN95" s="561"/>
      <c r="AO95" s="1"/>
      <c r="AP95" s="561"/>
      <c r="AQ95" s="1"/>
      <c r="AR95" s="1"/>
      <c r="AS95" s="1"/>
      <c r="AT95" s="561"/>
      <c r="AU95" s="1"/>
      <c r="AV95" s="1"/>
      <c r="AW95" s="1"/>
      <c r="AX95" s="1"/>
    </row>
    <row r="96" ht="12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566" t="s">
        <v>323</v>
      </c>
      <c r="N96" s="537"/>
      <c r="O96" s="538"/>
      <c r="P96" s="567" t="s">
        <v>324</v>
      </c>
      <c r="Q96" s="568" t="s">
        <v>326</v>
      </c>
      <c r="R96" s="569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 t="s">
        <v>321</v>
      </c>
      <c r="AH96" s="1"/>
      <c r="AI96" s="1"/>
      <c r="AJ96" s="565">
        <f>(F88+H88)/(F84+H84)</f>
        <v>7595.511431</v>
      </c>
      <c r="AK96" s="1"/>
      <c r="AL96" s="565">
        <f>J88/J84</f>
        <v>7432.028089</v>
      </c>
      <c r="AM96" s="1"/>
      <c r="AN96" s="565">
        <f>L88/L84</f>
        <v>7024.589031</v>
      </c>
      <c r="AO96" s="1"/>
      <c r="AP96" s="565">
        <f>N88/N84</f>
        <v>6779.032381</v>
      </c>
      <c r="AQ96" s="1"/>
      <c r="AR96" s="565"/>
      <c r="AS96" s="1"/>
      <c r="AT96" s="565"/>
      <c r="AU96" s="1"/>
      <c r="AV96" s="1"/>
      <c r="AW96" s="1"/>
      <c r="AX96" s="1"/>
    </row>
    <row r="97" ht="14.25" customHeight="1">
      <c r="A97" s="1"/>
      <c r="B97" s="1"/>
      <c r="C97" s="1" t="s">
        <v>328</v>
      </c>
      <c r="D97" s="1"/>
      <c r="E97" s="1"/>
      <c r="F97" s="576">
        <f>(F95/(1-F94))*((1+'G Price-Aid'!$J6)^3)-((F88/F84)*2)</f>
        <v>16543.05455</v>
      </c>
      <c r="G97" s="1"/>
      <c r="H97" s="576">
        <f>(H95/(1-H94))*((1+'G Price-Aid'!$J6)^3)-((H88/H84)*2)</f>
        <v>18250.32952</v>
      </c>
      <c r="I97" s="1"/>
      <c r="J97" s="576">
        <f>(J95/(1-J94))*((1+'G Price-Aid'!$J6)^2)-((J88/J84)*2)</f>
        <v>16360.80622</v>
      </c>
      <c r="K97" s="1"/>
      <c r="L97" s="576">
        <f>(L95/(1-L94))*(1+'G Price-Aid'!$J6)-((L88/L84)*2)</f>
        <v>16563.43213</v>
      </c>
      <c r="M97" s="579" t="s">
        <v>332</v>
      </c>
      <c r="N97" s="35"/>
      <c r="O97" s="21"/>
      <c r="P97" s="714">
        <f>R91/R84*2</f>
        <v>14028.06171</v>
      </c>
      <c r="Q97" s="584">
        <f>(R91+P88-T88)/R84*2</f>
        <v>15484.12697</v>
      </c>
      <c r="R97" s="58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 t="s">
        <v>327</v>
      </c>
      <c r="AH97" s="1"/>
      <c r="AI97" s="1"/>
      <c r="AJ97" s="571">
        <f>AJ84</f>
        <v>378</v>
      </c>
      <c r="AK97" s="1"/>
      <c r="AL97" s="571">
        <f>AL84</f>
        <v>501</v>
      </c>
      <c r="AM97" s="1"/>
      <c r="AN97" s="571">
        <f>AN84</f>
        <v>510</v>
      </c>
      <c r="AO97" s="1"/>
      <c r="AP97" s="571">
        <f>AP84</f>
        <v>714</v>
      </c>
      <c r="AQ97" s="1"/>
      <c r="AR97" s="572"/>
      <c r="AS97" s="1"/>
      <c r="AT97" s="571"/>
      <c r="AU97" s="1"/>
      <c r="AV97" s="1"/>
      <c r="AW97" s="1"/>
      <c r="AX97" s="1"/>
    </row>
    <row r="98" ht="6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589" t="s">
        <v>334</v>
      </c>
      <c r="N98" s="147"/>
      <c r="O98" s="27"/>
      <c r="P98" s="590">
        <f>R88/R86</f>
        <v>0.5297683028</v>
      </c>
      <c r="Q98" s="591">
        <f>(R88-P88+T88)/R86</f>
        <v>0.4809598463</v>
      </c>
      <c r="R98" s="592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ht="14.25" customHeight="1">
      <c r="A99" s="1"/>
      <c r="B99" s="1"/>
      <c r="C99" s="1" t="s">
        <v>335</v>
      </c>
      <c r="D99" s="1"/>
      <c r="E99" s="1"/>
      <c r="F99" s="556">
        <f>(F97/$N95)^(1/3)-1</f>
        <v>0.001794815047</v>
      </c>
      <c r="G99" s="1"/>
      <c r="H99" s="556">
        <f>(H97/$N95)^(1/3)-1</f>
        <v>0.03513529219</v>
      </c>
      <c r="I99" s="1"/>
      <c r="J99" s="556">
        <f>(J97/$N95)^(1/2)-1</f>
        <v>-0.002845005469</v>
      </c>
      <c r="K99" s="1"/>
      <c r="L99" s="556">
        <f>(L97/$N95)-1</f>
        <v>0.006632550161</v>
      </c>
      <c r="M99" s="597"/>
      <c r="N99" s="598"/>
      <c r="O99" s="599"/>
      <c r="P99" s="600"/>
      <c r="Q99" s="601"/>
      <c r="R99" s="602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 t="s">
        <v>333</v>
      </c>
      <c r="AH99" s="1"/>
      <c r="AI99" s="1"/>
      <c r="AJ99" s="586">
        <f>AJ96*AJ97</f>
        <v>2871103.321</v>
      </c>
      <c r="AK99" s="1"/>
      <c r="AL99" s="586">
        <f>AL96*AL97</f>
        <v>3723446.073</v>
      </c>
      <c r="AM99" s="1"/>
      <c r="AN99" s="586">
        <f>AN96*AN97</f>
        <v>3582540.406</v>
      </c>
      <c r="AO99" s="1"/>
      <c r="AP99" s="586">
        <f>AP96*AP97</f>
        <v>4840229.12</v>
      </c>
      <c r="AQ99" s="1"/>
      <c r="AR99" s="586">
        <f>AR88</f>
        <v>0</v>
      </c>
      <c r="AS99" s="1"/>
      <c r="AT99" s="586">
        <f>SUM(AJ99:AR99)</f>
        <v>15017318.92</v>
      </c>
      <c r="AU99" s="1"/>
      <c r="AV99" s="1"/>
      <c r="AW99" s="1"/>
      <c r="AX99" s="1"/>
    </row>
    <row r="100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 t="s">
        <v>337</v>
      </c>
      <c r="AH100" s="1"/>
      <c r="AI100" s="1"/>
      <c r="AJ100" s="571">
        <f>AJ99*($AT100-$AR100)/($AT99-$AR99)</f>
        <v>0</v>
      </c>
      <c r="AK100" s="1"/>
      <c r="AL100" s="571">
        <f>AL99*($AT100-$AR100)/($AT99-$AR99)</f>
        <v>0</v>
      </c>
      <c r="AM100" s="1"/>
      <c r="AN100" s="571">
        <f>AN99*($AT100-$AR100)/($AT99-$AR99)</f>
        <v>0</v>
      </c>
      <c r="AO100" s="1"/>
      <c r="AP100" s="571">
        <f>AP99*($AT100-$AR100)/($AT99-$AR99)</f>
        <v>0</v>
      </c>
      <c r="AQ100" s="1"/>
      <c r="AR100" s="295">
        <f>P88*L$26</f>
        <v>0</v>
      </c>
      <c r="AS100" s="1"/>
      <c r="AT100" s="610">
        <f>R88*L$26</f>
        <v>0</v>
      </c>
      <c r="AU100" s="1"/>
      <c r="AV100" s="1"/>
      <c r="AW100" s="1"/>
      <c r="AX100" s="1"/>
    </row>
    <row r="101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 ht="14.25" customHeight="1">
      <c r="A102" s="1"/>
      <c r="B102" s="433" t="s">
        <v>163</v>
      </c>
      <c r="C102" s="433" t="s">
        <v>278</v>
      </c>
      <c r="D102" s="491" t="str">
        <f>'F Population'!Y6</f>
        <v>2029 - 30</v>
      </c>
      <c r="E102" s="492"/>
      <c r="F102" s="496" t="s">
        <v>280</v>
      </c>
      <c r="G102" s="492"/>
      <c r="H102" s="496" t="s">
        <v>281</v>
      </c>
      <c r="I102" s="492"/>
      <c r="J102" s="496" t="s">
        <v>282</v>
      </c>
      <c r="K102" s="492"/>
      <c r="L102" s="496" t="s">
        <v>283</v>
      </c>
      <c r="M102" s="492"/>
      <c r="N102" s="496" t="s">
        <v>284</v>
      </c>
      <c r="O102" s="493"/>
      <c r="P102" s="496" t="s">
        <v>285</v>
      </c>
      <c r="Q102" s="493"/>
      <c r="R102" s="496" t="s">
        <v>286</v>
      </c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433" t="s">
        <v>163</v>
      </c>
      <c r="AG102" s="434" t="s">
        <v>287</v>
      </c>
      <c r="AH102" s="491" t="str">
        <f>D102</f>
        <v>2029 - 30</v>
      </c>
      <c r="AI102" s="492"/>
      <c r="AJ102" s="496" t="s">
        <v>280</v>
      </c>
      <c r="AK102" s="492"/>
      <c r="AL102" s="496" t="s">
        <v>282</v>
      </c>
      <c r="AM102" s="492"/>
      <c r="AN102" s="496" t="s">
        <v>283</v>
      </c>
      <c r="AO102" s="492"/>
      <c r="AP102" s="496" t="s">
        <v>284</v>
      </c>
      <c r="AQ102" s="493"/>
      <c r="AR102" s="496" t="s">
        <v>285</v>
      </c>
      <c r="AS102" s="493"/>
      <c r="AT102" s="496" t="s">
        <v>286</v>
      </c>
      <c r="AU102" s="1"/>
      <c r="AV102" s="497" t="s">
        <v>288</v>
      </c>
      <c r="AW102" s="1"/>
      <c r="AX102" s="498" t="str">
        <f>AH102</f>
        <v>2029 - 30</v>
      </c>
    </row>
    <row r="103" ht="5.25" customHeight="1">
      <c r="A103" s="1"/>
      <c r="B103" s="1"/>
      <c r="C103" s="1"/>
      <c r="D103" s="1"/>
      <c r="E103" s="39"/>
      <c r="F103" s="1"/>
      <c r="G103" s="39"/>
      <c r="H103" s="1"/>
      <c r="I103" s="39"/>
      <c r="J103" s="1"/>
      <c r="K103" s="39"/>
      <c r="L103" s="1"/>
      <c r="M103" s="39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39"/>
      <c r="AJ103" s="1"/>
      <c r="AK103" s="39"/>
      <c r="AL103" s="1"/>
      <c r="AM103" s="39"/>
      <c r="AN103" s="1"/>
      <c r="AO103" s="39"/>
      <c r="AP103" s="1"/>
      <c r="AQ103" s="1"/>
      <c r="AR103" s="1"/>
      <c r="AS103" s="1"/>
      <c r="AT103" s="1"/>
      <c r="AU103" s="1"/>
      <c r="AV103" s="1"/>
      <c r="AW103" s="1"/>
      <c r="AX103" s="1"/>
    </row>
    <row r="104" ht="14.25" customHeight="1">
      <c r="A104" s="1"/>
      <c r="B104" s="89"/>
      <c r="C104" s="332" t="s">
        <v>289</v>
      </c>
      <c r="D104" s="89"/>
      <c r="E104" s="501"/>
      <c r="F104" s="621">
        <f>'F Population'!Y9</f>
        <v>580</v>
      </c>
      <c r="G104" s="501"/>
      <c r="H104" s="621">
        <f>'F Population'!Y11</f>
        <v>42</v>
      </c>
      <c r="I104" s="501"/>
      <c r="J104" s="621">
        <f>'F Population'!Y13</f>
        <v>479</v>
      </c>
      <c r="K104" s="501"/>
      <c r="L104" s="621">
        <f>'F Population'!Y15</f>
        <v>518</v>
      </c>
      <c r="M104" s="501"/>
      <c r="N104" s="621">
        <f>'F Population'!Y17</f>
        <v>604</v>
      </c>
      <c r="O104" s="621"/>
      <c r="P104" s="621">
        <f>'F Population'!Y19</f>
        <v>15</v>
      </c>
      <c r="Q104" s="621"/>
      <c r="R104" s="627">
        <f>SUM(F104:P104)</f>
        <v>2238</v>
      </c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89"/>
      <c r="AG104" s="332" t="s">
        <v>289</v>
      </c>
      <c r="AH104" s="89"/>
      <c r="AI104" s="501"/>
      <c r="AJ104" s="621">
        <f>'F Population'!Y31</f>
        <v>378</v>
      </c>
      <c r="AK104" s="501"/>
      <c r="AL104" s="621">
        <f>'F Population'!Y33</f>
        <v>503</v>
      </c>
      <c r="AM104" s="501"/>
      <c r="AN104" s="621">
        <f>'F Population'!Y35</f>
        <v>524</v>
      </c>
      <c r="AO104" s="501"/>
      <c r="AP104" s="621">
        <f>'F Population'!Y37</f>
        <v>786</v>
      </c>
      <c r="AQ104" s="621"/>
      <c r="AR104" s="621">
        <f>'F Population'!Y39</f>
        <v>14</v>
      </c>
      <c r="AS104" s="621"/>
      <c r="AT104" s="627">
        <f>SUM(AJ104:AR104)</f>
        <v>2205</v>
      </c>
      <c r="AU104" s="1"/>
      <c r="AV104" s="627"/>
      <c r="AW104" s="1"/>
      <c r="AX104" s="1"/>
    </row>
    <row r="105" ht="7.5" customHeight="1">
      <c r="A105" s="1"/>
      <c r="B105" s="1"/>
      <c r="C105" s="510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510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 ht="14.25" customHeight="1">
      <c r="A106" s="1"/>
      <c r="B106" s="1"/>
      <c r="C106" s="332" t="s">
        <v>293</v>
      </c>
      <c r="D106" s="1"/>
      <c r="E106" s="1"/>
      <c r="F106" s="635">
        <f>F104/($R104-$P104)*($R106-$P106)</f>
        <v>8877656.955</v>
      </c>
      <c r="G106" s="1"/>
      <c r="H106" s="635">
        <f>H104/($R104-$P104)*($R106-$P106)</f>
        <v>642864.814</v>
      </c>
      <c r="I106" s="1"/>
      <c r="J106" s="635">
        <f>J104/($R104-$P104)*($R106-$P106)</f>
        <v>7331720.141</v>
      </c>
      <c r="K106" s="1"/>
      <c r="L106" s="635">
        <f>L104/($R104-$P104)*($R106-$P106)</f>
        <v>7928666.04</v>
      </c>
      <c r="M106" s="1"/>
      <c r="N106" s="635">
        <f>N104/($R104-$P104)*($R106-$P106)</f>
        <v>9245008.278</v>
      </c>
      <c r="O106" s="635"/>
      <c r="P106" s="635">
        <f>IF(P84&lt;&gt;0,P104/P84*P86*(1+'G Price-Aid'!L$6),P86)</f>
        <v>0</v>
      </c>
      <c r="Q106" s="635"/>
      <c r="R106" s="85">
        <f>(R104-P104)/(R84-P84)*(R86-P86)*(1+'G Price-Aid'!L$6)+P106</f>
        <v>34025916.23</v>
      </c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332" t="s">
        <v>293</v>
      </c>
      <c r="AH106" s="1"/>
      <c r="AI106" s="1"/>
      <c r="AJ106" s="513">
        <f>AJ104/(F104+H104)*(F106+H106)</f>
        <v>5785783.326</v>
      </c>
      <c r="AK106" s="89"/>
      <c r="AL106" s="513">
        <f>AL104/J104*J106</f>
        <v>7699071.463</v>
      </c>
      <c r="AM106" s="89"/>
      <c r="AN106" s="513">
        <f>AN104/L104*L106</f>
        <v>8020503.87</v>
      </c>
      <c r="AO106" s="89"/>
      <c r="AP106" s="513">
        <f>AP104/N104*N106</f>
        <v>12030755.81</v>
      </c>
      <c r="AQ106" s="484"/>
      <c r="AR106" s="513">
        <f>IF(P104&lt;&gt;0,AR104/P104*P106,P106)</f>
        <v>0</v>
      </c>
      <c r="AS106" s="635"/>
      <c r="AT106" s="185">
        <f>SUM(AJ106:AR106)</f>
        <v>33536114.46</v>
      </c>
      <c r="AU106" s="1"/>
      <c r="AV106" s="185">
        <f>AT104/AT84*AV86*(1+'G Price-Aid'!L6)</f>
        <v>0</v>
      </c>
      <c r="AW106" s="1"/>
      <c r="AX106" s="185">
        <f>AT106+R106+AV106</f>
        <v>67562030.69</v>
      </c>
    </row>
    <row r="107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 ht="14.25" customHeight="1">
      <c r="A108" s="1"/>
      <c r="B108" s="1"/>
      <c r="C108" s="332" t="s">
        <v>298</v>
      </c>
      <c r="D108" s="1"/>
      <c r="E108" s="1"/>
      <c r="F108" s="635">
        <f>F106*F114</f>
        <v>4527605.047</v>
      </c>
      <c r="G108" s="444"/>
      <c r="H108" s="635">
        <f>H106*H114</f>
        <v>291861.5669</v>
      </c>
      <c r="I108" s="444"/>
      <c r="J108" s="635">
        <f>J106*J114</f>
        <v>3638249.976</v>
      </c>
      <c r="K108" s="444"/>
      <c r="L108" s="635">
        <f>L106*L114</f>
        <v>3849790.55</v>
      </c>
      <c r="M108" s="444"/>
      <c r="N108" s="635">
        <f>N106*N114</f>
        <v>4242851.775</v>
      </c>
      <c r="O108" s="657"/>
      <c r="P108" s="635">
        <f>($L$18+$L$20)/2+$L$16</f>
        <v>1760805.555</v>
      </c>
      <c r="Q108" s="657"/>
      <c r="R108" s="85">
        <f>SUM(F108:P108)</f>
        <v>18311164.47</v>
      </c>
      <c r="S108" s="1"/>
      <c r="T108" s="295"/>
      <c r="U108" s="562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332" t="s">
        <v>298</v>
      </c>
      <c r="AH108" s="1"/>
      <c r="AI108" s="1"/>
      <c r="AJ108" s="513">
        <f>IF($L$26&gt;0,AJ120,AJ104/(F104+H104)*(F108+H108))</f>
        <v>2928871.994</v>
      </c>
      <c r="AK108" s="178"/>
      <c r="AL108" s="513">
        <f>IF($L$26&gt;0,AL120,AL104/J104*J108)</f>
        <v>3820542.25</v>
      </c>
      <c r="AM108" s="178"/>
      <c r="AN108" s="513">
        <f>IF($L$26&gt;0,AN120,AN104/L104*L108)</f>
        <v>3894382.719</v>
      </c>
      <c r="AO108" s="178"/>
      <c r="AP108" s="513">
        <f>IF($L$26&gt;0,AP120,AP104/N104*N108)</f>
        <v>5521326.979</v>
      </c>
      <c r="AQ108" s="523"/>
      <c r="AR108" s="513">
        <f>IF($L$26&gt;0,AR120,AR104/P104*P108)</f>
        <v>1643418.518</v>
      </c>
      <c r="AS108" s="523"/>
      <c r="AT108" s="185">
        <f>IF($L$26&gt;0,R108*$L$26,SUM(AJ108:AR108))</f>
        <v>17808542.46</v>
      </c>
      <c r="AU108" s="1"/>
      <c r="AV108" s="85"/>
      <c r="AW108" s="1"/>
      <c r="AX108" s="185">
        <f>AT108+R108</f>
        <v>36119706.93</v>
      </c>
    </row>
    <row r="109" ht="5.25" customHeight="1">
      <c r="A109" s="1"/>
      <c r="B109" s="1"/>
      <c r="C109" s="555"/>
      <c r="D109" s="1"/>
      <c r="E109" s="1"/>
      <c r="F109" s="294"/>
      <c r="G109" s="1"/>
      <c r="H109" s="294"/>
      <c r="I109" s="1"/>
      <c r="J109" s="294"/>
      <c r="K109" s="1"/>
      <c r="L109" s="294"/>
      <c r="M109" s="1"/>
      <c r="N109" s="294"/>
      <c r="O109" s="1"/>
      <c r="P109" s="294"/>
      <c r="Q109" s="1"/>
      <c r="R109" s="294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555"/>
      <c r="AH109" s="1"/>
      <c r="AI109" s="1"/>
      <c r="AJ109" s="294"/>
      <c r="AK109" s="1"/>
      <c r="AL109" s="294"/>
      <c r="AM109" s="1"/>
      <c r="AN109" s="294"/>
      <c r="AO109" s="1"/>
      <c r="AP109" s="294"/>
      <c r="AQ109" s="1"/>
      <c r="AR109" s="294"/>
      <c r="AS109" s="1"/>
      <c r="AT109" s="294"/>
      <c r="AU109" s="1"/>
      <c r="AV109" s="274"/>
      <c r="AW109" s="1"/>
      <c r="AX109" s="274"/>
    </row>
    <row r="110" ht="4.5" customHeight="1">
      <c r="A110" s="1"/>
      <c r="B110" s="1"/>
      <c r="C110" s="510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510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 ht="14.25" customHeight="1">
      <c r="A111" s="1"/>
      <c r="B111" s="1"/>
      <c r="C111" s="510" t="s">
        <v>307</v>
      </c>
      <c r="D111" s="1"/>
      <c r="E111" s="1"/>
      <c r="F111" s="85">
        <f>F106-F108</f>
        <v>4350051.908</v>
      </c>
      <c r="G111" s="1"/>
      <c r="H111" s="85">
        <f>H106-H108</f>
        <v>351003.2471</v>
      </c>
      <c r="I111" s="1"/>
      <c r="J111" s="85">
        <f>J106-J108</f>
        <v>3693470.165</v>
      </c>
      <c r="K111" s="1"/>
      <c r="L111" s="85">
        <f>L106-L108</f>
        <v>4078875.489</v>
      </c>
      <c r="M111" s="1"/>
      <c r="N111" s="85">
        <f>N106-N108</f>
        <v>5002156.503</v>
      </c>
      <c r="O111" s="400"/>
      <c r="P111" s="85">
        <f>P106-P108</f>
        <v>-1760805.555</v>
      </c>
      <c r="Q111" s="400"/>
      <c r="R111" s="85">
        <f>R106-R108</f>
        <v>15714751.76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510" t="s">
        <v>307</v>
      </c>
      <c r="AH111" s="1"/>
      <c r="AI111" s="1"/>
      <c r="AJ111" s="85">
        <f>AJ106-AJ108</f>
        <v>2856911.332</v>
      </c>
      <c r="AK111" s="1"/>
      <c r="AL111" s="85">
        <f>AL106-AL108</f>
        <v>3878529.213</v>
      </c>
      <c r="AM111" s="1"/>
      <c r="AN111" s="85">
        <f>AN106-AN108</f>
        <v>4126121.151</v>
      </c>
      <c r="AO111" s="1"/>
      <c r="AP111" s="85">
        <f>AP106-AP108</f>
        <v>6509428.827</v>
      </c>
      <c r="AQ111" s="400"/>
      <c r="AR111" s="85">
        <f>AR106-AR108</f>
        <v>-1643418.518</v>
      </c>
      <c r="AS111" s="400"/>
      <c r="AT111" s="85">
        <f>AT106-AT108</f>
        <v>15727572.01</v>
      </c>
      <c r="AU111" s="1"/>
      <c r="AV111" s="85">
        <f>AV106-AV108</f>
        <v>0</v>
      </c>
      <c r="AW111" s="1"/>
      <c r="AX111" s="85">
        <f>AX106-AX108</f>
        <v>31442323.76</v>
      </c>
    </row>
    <row r="112" ht="6.75" customHeight="1">
      <c r="A112" s="1"/>
      <c r="B112" s="1"/>
      <c r="C112" s="555"/>
      <c r="D112" s="1"/>
      <c r="E112" s="1"/>
      <c r="F112" s="405"/>
      <c r="G112" s="1"/>
      <c r="H112" s="405"/>
      <c r="I112" s="1"/>
      <c r="J112" s="405"/>
      <c r="K112" s="1"/>
      <c r="L112" s="405"/>
      <c r="M112" s="1"/>
      <c r="N112" s="405"/>
      <c r="O112" s="85"/>
      <c r="P112" s="405"/>
      <c r="Q112" s="85"/>
      <c r="R112" s="40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555"/>
      <c r="AH112" s="1"/>
      <c r="AI112" s="1"/>
      <c r="AJ112" s="405"/>
      <c r="AK112" s="1"/>
      <c r="AL112" s="405"/>
      <c r="AM112" s="1"/>
      <c r="AN112" s="405"/>
      <c r="AO112" s="1"/>
      <c r="AP112" s="405"/>
      <c r="AQ112" s="85"/>
      <c r="AR112" s="405"/>
      <c r="AS112" s="85"/>
      <c r="AT112" s="405"/>
      <c r="AU112" s="1"/>
      <c r="AV112" s="405"/>
      <c r="AW112" s="1"/>
      <c r="AX112" s="405"/>
    </row>
    <row r="113" ht="9.0" customHeight="1">
      <c r="A113" s="1"/>
      <c r="B113" s="1"/>
      <c r="C113" s="510"/>
      <c r="D113" s="1"/>
      <c r="E113" s="1"/>
      <c r="F113" s="556"/>
      <c r="G113" s="1"/>
      <c r="H113" s="556"/>
      <c r="I113" s="1"/>
      <c r="J113" s="556"/>
      <c r="K113" s="1"/>
      <c r="L113" s="556"/>
      <c r="M113" s="1"/>
      <c r="N113" s="556"/>
      <c r="O113" s="556"/>
      <c r="P113" s="556"/>
      <c r="Q113" s="556"/>
      <c r="R113" s="556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510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556"/>
      <c r="AT113" s="556"/>
      <c r="AU113" s="1"/>
      <c r="AV113" s="1"/>
      <c r="AW113" s="1"/>
      <c r="AX113" s="1"/>
    </row>
    <row r="114" ht="14.25" customHeight="1">
      <c r="A114" s="1"/>
      <c r="B114" s="89"/>
      <c r="C114" s="89" t="s">
        <v>355</v>
      </c>
      <c r="D114" s="89"/>
      <c r="E114" s="89"/>
      <c r="F114" s="859">
        <f>'G Price-Aid'!L14</f>
        <v>0.51</v>
      </c>
      <c r="G114" s="89"/>
      <c r="H114" s="556">
        <f>H94/J94*J114</f>
        <v>0.4540014643</v>
      </c>
      <c r="I114" s="89"/>
      <c r="J114" s="859">
        <f>(F88+H88)/((F86+H86)*(1+'G Price-Aid'!L6))</f>
        <v>0.4962341587</v>
      </c>
      <c r="K114" s="89"/>
      <c r="L114" s="556">
        <f>J88/(J86*(1+'G Price-Aid'!L6))</f>
        <v>0.4855533744</v>
      </c>
      <c r="M114" s="89"/>
      <c r="N114" s="556">
        <f>L88/(L86*(1+'G Price-Aid'!L6))</f>
        <v>0.4589343403</v>
      </c>
      <c r="O114" s="688"/>
      <c r="P114" s="688"/>
      <c r="Q114" s="688"/>
      <c r="R114" s="558">
        <f>R108/R106</f>
        <v>0.5381534577</v>
      </c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89"/>
      <c r="AG114" s="89" t="s">
        <v>355</v>
      </c>
      <c r="AH114" s="89"/>
      <c r="AI114" s="89"/>
      <c r="AJ114" s="556">
        <f>AJ108/AJ106</f>
        <v>0.5062187484</v>
      </c>
      <c r="AK114" s="1"/>
      <c r="AL114" s="556">
        <f>AL108/AL106</f>
        <v>0.4962341587</v>
      </c>
      <c r="AM114" s="1"/>
      <c r="AN114" s="556">
        <f>AN108/AN106</f>
        <v>0.4855533744</v>
      </c>
      <c r="AO114" s="1"/>
      <c r="AP114" s="556">
        <f>AP108/AP106</f>
        <v>0.4589343403</v>
      </c>
      <c r="AQ114" s="556"/>
      <c r="AR114" s="556"/>
      <c r="AS114" s="688"/>
      <c r="AT114" s="558">
        <f>AT108/AT106</f>
        <v>0.5310258133</v>
      </c>
      <c r="AU114" s="1"/>
      <c r="AV114" s="1"/>
      <c r="AW114" s="89"/>
      <c r="AX114" s="560">
        <f>AX108/AX106</f>
        <v>0.534615472</v>
      </c>
    </row>
    <row r="115" ht="21.75" customHeight="1">
      <c r="A115" s="1"/>
      <c r="B115" s="1"/>
      <c r="C115" s="1" t="s">
        <v>320</v>
      </c>
      <c r="D115" s="1"/>
      <c r="E115" s="1"/>
      <c r="F115" s="561">
        <f>F111/F104*2</f>
        <v>15000.17899</v>
      </c>
      <c r="G115" s="1"/>
      <c r="H115" s="561">
        <f>H111/H104*2</f>
        <v>16714.44034</v>
      </c>
      <c r="I115" s="1"/>
      <c r="J115" s="561">
        <f>J111/J104*2</f>
        <v>15421.58733</v>
      </c>
      <c r="K115" s="1"/>
      <c r="L115" s="561">
        <f>L111/L104*2</f>
        <v>15748.55401</v>
      </c>
      <c r="M115" s="1"/>
      <c r="N115" s="561">
        <f>N111/N104*2</f>
        <v>16563.43213</v>
      </c>
      <c r="O115" s="1"/>
      <c r="P115" s="1"/>
      <c r="Q115" s="1"/>
      <c r="R115" s="561">
        <f>R111/R104*2</f>
        <v>14043.56725</v>
      </c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561"/>
      <c r="AK115" s="1"/>
      <c r="AL115" s="561"/>
      <c r="AM115" s="1"/>
      <c r="AN115" s="561"/>
      <c r="AO115" s="1"/>
      <c r="AP115" s="561"/>
      <c r="AQ115" s="1"/>
      <c r="AR115" s="1"/>
      <c r="AS115" s="1"/>
      <c r="AT115" s="561"/>
      <c r="AU115" s="1"/>
      <c r="AV115" s="1"/>
      <c r="AW115" s="1"/>
      <c r="AX115" s="1"/>
    </row>
    <row r="116" ht="12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566" t="s">
        <v>323</v>
      </c>
      <c r="N116" s="537"/>
      <c r="O116" s="538"/>
      <c r="P116" s="567" t="s">
        <v>324</v>
      </c>
      <c r="Q116" s="568" t="s">
        <v>326</v>
      </c>
      <c r="R116" s="569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 t="s">
        <v>321</v>
      </c>
      <c r="AH116" s="1"/>
      <c r="AI116" s="1"/>
      <c r="AJ116" s="565">
        <f>(F108+H108)/(F104+H104)</f>
        <v>7748.338608</v>
      </c>
      <c r="AK116" s="1"/>
      <c r="AL116" s="565">
        <f>J108/J104</f>
        <v>7595.511431</v>
      </c>
      <c r="AM116" s="1"/>
      <c r="AN116" s="565">
        <f>L108/L104</f>
        <v>7432.028089</v>
      </c>
      <c r="AO116" s="1"/>
      <c r="AP116" s="565">
        <f>N108/N104</f>
        <v>7024.589031</v>
      </c>
      <c r="AQ116" s="1"/>
      <c r="AR116" s="565"/>
      <c r="AS116" s="1"/>
      <c r="AT116" s="565"/>
      <c r="AU116" s="1"/>
      <c r="AV116" s="1"/>
      <c r="AW116" s="1"/>
      <c r="AX116" s="1"/>
    </row>
    <row r="117" ht="14.25" customHeight="1">
      <c r="A117" s="1"/>
      <c r="B117" s="1"/>
      <c r="C117" s="1" t="s">
        <v>328</v>
      </c>
      <c r="D117" s="1"/>
      <c r="E117" s="1"/>
      <c r="F117" s="576">
        <f>(F115/(1-F114))*((1+'G Price-Aid'!$L6)^3)-((F108/F104)*2)</f>
        <v>16873.91564</v>
      </c>
      <c r="G117" s="1"/>
      <c r="H117" s="576">
        <f>(H115/(1-H114))*((1+'G Price-Aid'!$L6)^3)-((H108/H104)*2)</f>
        <v>18588.17698</v>
      </c>
      <c r="I117" s="1"/>
      <c r="J117" s="576">
        <f>(J115/(1-J114))*((1+'G Price-Aid'!$L6)^2)-((J108/J104)*2)</f>
        <v>16658.33678</v>
      </c>
      <c r="K117" s="1"/>
      <c r="L117" s="576">
        <f>(L115/(1-L114))*(1+'G Price-Aid'!$L6)-((L108/L104)*2)</f>
        <v>16360.80622</v>
      </c>
      <c r="M117" s="579" t="s">
        <v>332</v>
      </c>
      <c r="N117" s="35"/>
      <c r="O117" s="21"/>
      <c r="P117" s="714">
        <f>R111/R104*2</f>
        <v>14043.56725</v>
      </c>
      <c r="Q117" s="584">
        <f>(R111+P108-T108)/R104*2</f>
        <v>15617.12003</v>
      </c>
      <c r="R117" s="58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 t="s">
        <v>327</v>
      </c>
      <c r="AH117" s="1"/>
      <c r="AI117" s="1"/>
      <c r="AJ117" s="571">
        <f>AJ104</f>
        <v>378</v>
      </c>
      <c r="AK117" s="1"/>
      <c r="AL117" s="571">
        <f>AL104</f>
        <v>503</v>
      </c>
      <c r="AM117" s="1"/>
      <c r="AN117" s="571">
        <f>AN104</f>
        <v>524</v>
      </c>
      <c r="AO117" s="1"/>
      <c r="AP117" s="571">
        <f>AP104</f>
        <v>786</v>
      </c>
      <c r="AQ117" s="1"/>
      <c r="AR117" s="572"/>
      <c r="AS117" s="1"/>
      <c r="AT117" s="571"/>
      <c r="AU117" s="1"/>
      <c r="AV117" s="1"/>
      <c r="AW117" s="1"/>
      <c r="AX117" s="1"/>
    </row>
    <row r="118" ht="6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589" t="s">
        <v>334</v>
      </c>
      <c r="N118" s="147"/>
      <c r="O118" s="27"/>
      <c r="P118" s="590">
        <f>R108/R106</f>
        <v>0.5381534577</v>
      </c>
      <c r="Q118" s="591">
        <f>(R108-P108+T108)/R106</f>
        <v>0.4864045043</v>
      </c>
      <c r="R118" s="592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 ht="14.25" customHeight="1">
      <c r="A119" s="1"/>
      <c r="B119" s="1"/>
      <c r="C119" s="1" t="s">
        <v>335</v>
      </c>
      <c r="D119" s="1"/>
      <c r="E119" s="1"/>
      <c r="F119" s="556">
        <f>(F117/$N115)^(1/3)-1</f>
        <v>0.006209732473</v>
      </c>
      <c r="G119" s="1"/>
      <c r="H119" s="556">
        <f>(H117/$N115)^(1/3)-1</f>
        <v>0.03919126791</v>
      </c>
      <c r="I119" s="1"/>
      <c r="J119" s="556">
        <f>(J117/$N115)^(1/2)-1</f>
        <v>0.002860792788</v>
      </c>
      <c r="K119" s="1"/>
      <c r="L119" s="556">
        <f>(L117/$N115)-1</f>
        <v>-0.01223332888</v>
      </c>
      <c r="M119" s="597"/>
      <c r="N119" s="598"/>
      <c r="O119" s="599"/>
      <c r="P119" s="600"/>
      <c r="Q119" s="601"/>
      <c r="R119" s="602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 t="s">
        <v>333</v>
      </c>
      <c r="AH119" s="1"/>
      <c r="AI119" s="1"/>
      <c r="AJ119" s="586">
        <f>AJ116*AJ117</f>
        <v>2928871.994</v>
      </c>
      <c r="AK119" s="1"/>
      <c r="AL119" s="586">
        <f>AL116*AL117</f>
        <v>3820542.25</v>
      </c>
      <c r="AM119" s="1"/>
      <c r="AN119" s="586">
        <f>AN116*AN117</f>
        <v>3894382.719</v>
      </c>
      <c r="AO119" s="1"/>
      <c r="AP119" s="586">
        <f>AP116*AP117</f>
        <v>5521326.979</v>
      </c>
      <c r="AQ119" s="1"/>
      <c r="AR119" s="586">
        <f>AR108</f>
        <v>1643418.518</v>
      </c>
      <c r="AS119" s="1"/>
      <c r="AT119" s="586">
        <f>SUM(AJ119:AR119)</f>
        <v>17808542.46</v>
      </c>
      <c r="AU119" s="1"/>
      <c r="AV119" s="1"/>
      <c r="AW119" s="1"/>
      <c r="AX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 t="s">
        <v>337</v>
      </c>
      <c r="AH120" s="1"/>
      <c r="AI120" s="1"/>
      <c r="AJ120" s="571">
        <f>AJ119*($AT120-$AR120)/($AT119-$AR119)</f>
        <v>0</v>
      </c>
      <c r="AK120" s="1"/>
      <c r="AL120" s="571">
        <f>AL119*($AT120-$AR120)/($AT119-$AR119)</f>
        <v>0</v>
      </c>
      <c r="AM120" s="1"/>
      <c r="AN120" s="571">
        <f>AN119*($AT120-$AR120)/($AT119-$AR119)</f>
        <v>0</v>
      </c>
      <c r="AO120" s="1"/>
      <c r="AP120" s="571">
        <f>AP119*($AT120-$AR120)/($AT119-$AR119)</f>
        <v>0</v>
      </c>
      <c r="AQ120" s="1"/>
      <c r="AR120" s="295">
        <f>P108*N$26</f>
        <v>0</v>
      </c>
      <c r="AS120" s="1"/>
      <c r="AT120" s="610">
        <f>R108*N$26</f>
        <v>0</v>
      </c>
      <c r="AU120" s="1"/>
      <c r="AV120" s="1"/>
      <c r="AW120" s="1"/>
      <c r="AX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 ht="14.25" customHeight="1">
      <c r="A122" s="1"/>
      <c r="B122" s="433" t="s">
        <v>459</v>
      </c>
      <c r="C122" s="433" t="s">
        <v>278</v>
      </c>
      <c r="D122" s="491" t="str">
        <f>'F Population'!AA6</f>
        <v>2030 - 31</v>
      </c>
      <c r="E122" s="492"/>
      <c r="F122" s="496" t="s">
        <v>280</v>
      </c>
      <c r="G122" s="492"/>
      <c r="H122" s="496" t="s">
        <v>281</v>
      </c>
      <c r="I122" s="492"/>
      <c r="J122" s="496" t="s">
        <v>282</v>
      </c>
      <c r="K122" s="492"/>
      <c r="L122" s="496" t="s">
        <v>283</v>
      </c>
      <c r="M122" s="492"/>
      <c r="N122" s="496" t="s">
        <v>284</v>
      </c>
      <c r="O122" s="493"/>
      <c r="P122" s="496" t="s">
        <v>285</v>
      </c>
      <c r="Q122" s="493"/>
      <c r="R122" s="496" t="s">
        <v>286</v>
      </c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433" t="s">
        <v>459</v>
      </c>
      <c r="AG122" s="434" t="s">
        <v>287</v>
      </c>
      <c r="AH122" s="491" t="str">
        <f>D122</f>
        <v>2030 - 31</v>
      </c>
      <c r="AI122" s="492"/>
      <c r="AJ122" s="496" t="s">
        <v>280</v>
      </c>
      <c r="AK122" s="492"/>
      <c r="AL122" s="496" t="s">
        <v>282</v>
      </c>
      <c r="AM122" s="492"/>
      <c r="AN122" s="496" t="s">
        <v>283</v>
      </c>
      <c r="AO122" s="492"/>
      <c r="AP122" s="496" t="s">
        <v>284</v>
      </c>
      <c r="AQ122" s="493"/>
      <c r="AR122" s="496" t="s">
        <v>285</v>
      </c>
      <c r="AS122" s="493"/>
      <c r="AT122" s="496" t="s">
        <v>286</v>
      </c>
      <c r="AU122" s="1"/>
      <c r="AV122" s="497" t="s">
        <v>288</v>
      </c>
      <c r="AW122" s="1"/>
      <c r="AX122" s="498" t="str">
        <f>AH122</f>
        <v>2030 - 31</v>
      </c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 ht="14.25" customHeight="1">
      <c r="A124" s="1"/>
      <c r="B124" s="1"/>
      <c r="C124" s="332" t="s">
        <v>289</v>
      </c>
      <c r="D124" s="89"/>
      <c r="E124" s="501"/>
      <c r="F124" s="621">
        <f>'F Population'!AA9</f>
        <v>580</v>
      </c>
      <c r="G124" s="501"/>
      <c r="H124" s="621">
        <f>'F Population'!AA11</f>
        <v>42</v>
      </c>
      <c r="I124" s="501"/>
      <c r="J124" s="621">
        <f>'F Population'!AA13</f>
        <v>479</v>
      </c>
      <c r="K124" s="501"/>
      <c r="L124" s="621">
        <f>'F Population'!AA15</f>
        <v>520</v>
      </c>
      <c r="M124" s="501"/>
      <c r="N124" s="621">
        <f>'F Population'!AA17</f>
        <v>620</v>
      </c>
      <c r="O124" s="621"/>
      <c r="P124" s="621">
        <f>'F Population'!AA19</f>
        <v>15</v>
      </c>
      <c r="Q124" s="621"/>
      <c r="R124" s="627">
        <f>SUM(F124:P124)</f>
        <v>2256</v>
      </c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89"/>
      <c r="AG124" s="332" t="s">
        <v>289</v>
      </c>
      <c r="AH124" s="89"/>
      <c r="AI124" s="501"/>
      <c r="AJ124" s="621">
        <f>'F Population'!AA31</f>
        <v>378</v>
      </c>
      <c r="AK124" s="501"/>
      <c r="AL124" s="621">
        <f>'F Population'!AA33</f>
        <v>503</v>
      </c>
      <c r="AM124" s="501"/>
      <c r="AN124" s="621">
        <f>'F Population'!AA35</f>
        <v>526</v>
      </c>
      <c r="AO124" s="501"/>
      <c r="AP124" s="621">
        <f>'F Population'!AA37</f>
        <v>807</v>
      </c>
      <c r="AQ124" s="621"/>
      <c r="AR124" s="621">
        <f>'F Population'!AA39</f>
        <v>14</v>
      </c>
      <c r="AS124" s="621"/>
      <c r="AT124" s="627">
        <f>SUM(AJ124:AR124)</f>
        <v>2228</v>
      </c>
      <c r="AU124" s="1"/>
      <c r="AV124" s="627"/>
      <c r="AW124" s="1"/>
      <c r="AX124" s="1"/>
    </row>
    <row r="125" ht="7.5" customHeight="1">
      <c r="A125" s="1"/>
      <c r="B125" s="1"/>
      <c r="C125" s="510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510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ht="14.25" customHeight="1">
      <c r="A126" s="1"/>
      <c r="B126" s="1"/>
      <c r="C126" s="332" t="s">
        <v>293</v>
      </c>
      <c r="D126" s="1"/>
      <c r="E126" s="1"/>
      <c r="F126" s="635">
        <f>F124/($R124-$P124)*($R126-$P126)</f>
        <v>9055210.095</v>
      </c>
      <c r="G126" s="1"/>
      <c r="H126" s="635">
        <f>H124/($R124-$P124)*($R126-$P126)</f>
        <v>655722.1103</v>
      </c>
      <c r="I126" s="1"/>
      <c r="J126" s="635">
        <f>J124/($R124-$P124)*($R126-$P126)</f>
        <v>7478354.544</v>
      </c>
      <c r="K126" s="1"/>
      <c r="L126" s="635">
        <f>L124/($R124-$P124)*($R126-$P126)</f>
        <v>8118464.223</v>
      </c>
      <c r="M126" s="1"/>
      <c r="N126" s="635">
        <f>N124/($R124-$P124)*($R126-$P126)</f>
        <v>9679707.342</v>
      </c>
      <c r="O126" s="635"/>
      <c r="P126" s="635">
        <f>IF(P104&lt;&gt;0,P124/P104*P106*(1+'G Price-Aid'!N$6),P106)</f>
        <v>0</v>
      </c>
      <c r="Q126" s="635"/>
      <c r="R126" s="85">
        <f>(R124-P124)/(R104-P104)*(R106-P106)*(1+'G Price-Aid'!N$6)+P126</f>
        <v>34987458.31</v>
      </c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332" t="s">
        <v>293</v>
      </c>
      <c r="AH126" s="1"/>
      <c r="AI126" s="1"/>
      <c r="AJ126" s="513">
        <f>AJ124/(F124+H124)*(F126+H126)</f>
        <v>5901498.993</v>
      </c>
      <c r="AK126" s="89"/>
      <c r="AL126" s="513">
        <f>AL124/J124*J126</f>
        <v>7853052.892</v>
      </c>
      <c r="AM126" s="89"/>
      <c r="AN126" s="513">
        <f>AN124/L124*L126</f>
        <v>8212138.81</v>
      </c>
      <c r="AO126" s="89"/>
      <c r="AP126" s="513">
        <f>AP124/N124*N126</f>
        <v>12599231.98</v>
      </c>
      <c r="AQ126" s="484"/>
      <c r="AR126" s="513">
        <f>IF(P124&lt;&gt;0,AR124/P124*P126,P126)</f>
        <v>0</v>
      </c>
      <c r="AS126" s="635"/>
      <c r="AT126" s="185">
        <f>SUM(AJ126:AR126)</f>
        <v>34565922.67</v>
      </c>
      <c r="AU126" s="1"/>
      <c r="AV126" s="185">
        <f>AT124/AT104*AV106*(1+'G Price-Aid'!N6)</f>
        <v>0</v>
      </c>
      <c r="AW126" s="1"/>
      <c r="AX126" s="185">
        <f>AT126+R126+AV126</f>
        <v>69553380.98</v>
      </c>
    </row>
    <row r="127" ht="6.0" customHeight="1">
      <c r="A127" s="1"/>
      <c r="B127" s="1"/>
      <c r="C127" s="510"/>
      <c r="D127" s="1"/>
      <c r="E127" s="1"/>
      <c r="F127" s="444"/>
      <c r="G127" s="1"/>
      <c r="H127" s="444"/>
      <c r="I127" s="1"/>
      <c r="J127" s="444"/>
      <c r="K127" s="1"/>
      <c r="L127" s="444"/>
      <c r="M127" s="1"/>
      <c r="N127" s="444"/>
      <c r="O127" s="444"/>
      <c r="P127" s="444"/>
      <c r="Q127" s="444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510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444"/>
      <c r="AT127" s="1"/>
      <c r="AU127" s="1"/>
      <c r="AV127" s="1"/>
      <c r="AW127" s="1"/>
      <c r="AX127" s="1"/>
    </row>
    <row r="128" ht="14.25" customHeight="1">
      <c r="A128" s="1"/>
      <c r="B128" s="1"/>
      <c r="C128" s="332" t="s">
        <v>298</v>
      </c>
      <c r="D128" s="1"/>
      <c r="E128" s="1"/>
      <c r="F128" s="635">
        <f>F126*F134</f>
        <v>4618157.148</v>
      </c>
      <c r="G128" s="444"/>
      <c r="H128" s="635">
        <f>H126*H134</f>
        <v>297734.0325</v>
      </c>
      <c r="I128" s="444"/>
      <c r="J128" s="635">
        <f>J126*J134</f>
        <v>3711454.193</v>
      </c>
      <c r="K128" s="444"/>
      <c r="L128" s="635">
        <f>L126*L134</f>
        <v>3949665.944</v>
      </c>
      <c r="M128" s="444"/>
      <c r="N128" s="635">
        <f>N126*N134</f>
        <v>4607857.415</v>
      </c>
      <c r="O128" s="657"/>
      <c r="P128" s="635">
        <f>($N$18+$N$20)/2+$N$16</f>
        <v>1945615.65</v>
      </c>
      <c r="Q128" s="657"/>
      <c r="R128" s="85">
        <f>SUM(F128:P128)</f>
        <v>19130484.38</v>
      </c>
      <c r="S128" s="1"/>
      <c r="T128" s="295"/>
      <c r="U128" s="562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332" t="s">
        <v>298</v>
      </c>
      <c r="AH128" s="1"/>
      <c r="AI128" s="1"/>
      <c r="AJ128" s="513">
        <f>IF($N$26&gt;0,AJ140,AJ124/(F124+H124)*(F128+H128))</f>
        <v>2987470.846</v>
      </c>
      <c r="AK128" s="178"/>
      <c r="AL128" s="513">
        <f>IF($N$26&gt;0,AL140,AL124/J124*J128)</f>
        <v>3897414.32</v>
      </c>
      <c r="AM128" s="178"/>
      <c r="AN128" s="513">
        <f>IF($N$26&gt;0,AN140,AN124/L124*L128)</f>
        <v>3995239.013</v>
      </c>
      <c r="AO128" s="178"/>
      <c r="AP128" s="513">
        <f>IF($N$26&gt;0,AP140,AP124/N124*N128)</f>
        <v>5997646.668</v>
      </c>
      <c r="AQ128" s="523"/>
      <c r="AR128" s="513">
        <f>IF($N$26&gt;0,AR140,AR124/P124*P128)</f>
        <v>1815907.94</v>
      </c>
      <c r="AS128" s="523"/>
      <c r="AT128" s="185">
        <f>IF($N$26&gt;0,R128*$N$26,SUM(AJ128:AR128))</f>
        <v>18693678.79</v>
      </c>
      <c r="AU128" s="1"/>
      <c r="AV128" s="85"/>
      <c r="AW128" s="1"/>
      <c r="AX128" s="185">
        <f>AT128+R128</f>
        <v>37824163.17</v>
      </c>
    </row>
    <row r="129" ht="5.25" customHeight="1">
      <c r="A129" s="1"/>
      <c r="B129" s="1"/>
      <c r="C129" s="555"/>
      <c r="D129" s="1"/>
      <c r="E129" s="1"/>
      <c r="F129" s="294"/>
      <c r="G129" s="1"/>
      <c r="H129" s="294"/>
      <c r="I129" s="1"/>
      <c r="J129" s="294"/>
      <c r="K129" s="1"/>
      <c r="L129" s="294"/>
      <c r="M129" s="1"/>
      <c r="N129" s="294"/>
      <c r="O129" s="1"/>
      <c r="P129" s="294"/>
      <c r="Q129" s="1"/>
      <c r="R129" s="294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555"/>
      <c r="AH129" s="1"/>
      <c r="AI129" s="1"/>
      <c r="AJ129" s="294"/>
      <c r="AK129" s="1"/>
      <c r="AL129" s="294"/>
      <c r="AM129" s="1"/>
      <c r="AN129" s="294"/>
      <c r="AO129" s="1"/>
      <c r="AP129" s="294"/>
      <c r="AQ129" s="1"/>
      <c r="AR129" s="294"/>
      <c r="AS129" s="1"/>
      <c r="AT129" s="294"/>
      <c r="AU129" s="1"/>
      <c r="AV129" s="274"/>
      <c r="AW129" s="1"/>
      <c r="AX129" s="274"/>
    </row>
    <row r="130" ht="4.5" customHeight="1">
      <c r="A130" s="1"/>
      <c r="B130" s="1"/>
      <c r="C130" s="510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510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 ht="14.25" customHeight="1">
      <c r="A131" s="1"/>
      <c r="B131" s="1"/>
      <c r="C131" s="510" t="s">
        <v>307</v>
      </c>
      <c r="D131" s="1"/>
      <c r="E131" s="1"/>
      <c r="F131" s="85">
        <f>F126-F128</f>
        <v>4437052.946</v>
      </c>
      <c r="G131" s="1"/>
      <c r="H131" s="85">
        <f>H126-H128</f>
        <v>357988.0778</v>
      </c>
      <c r="I131" s="1"/>
      <c r="J131" s="85">
        <f>J126-J128</f>
        <v>3766900.35</v>
      </c>
      <c r="K131" s="1"/>
      <c r="L131" s="85">
        <f>L126-L128</f>
        <v>4168798.278</v>
      </c>
      <c r="M131" s="1"/>
      <c r="N131" s="85">
        <f>N126-N128</f>
        <v>5071849.927</v>
      </c>
      <c r="O131" s="400"/>
      <c r="P131" s="85">
        <f>P126-P128</f>
        <v>-1945615.65</v>
      </c>
      <c r="Q131" s="400"/>
      <c r="R131" s="85">
        <f>R126-R128</f>
        <v>15856973.93</v>
      </c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510" t="s">
        <v>307</v>
      </c>
      <c r="AH131" s="1"/>
      <c r="AI131" s="1"/>
      <c r="AJ131" s="85">
        <f>AJ126-AJ128</f>
        <v>2914028.147</v>
      </c>
      <c r="AK131" s="1"/>
      <c r="AL131" s="85">
        <f>AL126-AL128</f>
        <v>3955638.573</v>
      </c>
      <c r="AM131" s="1"/>
      <c r="AN131" s="85">
        <f>AN126-AN128</f>
        <v>4216899.797</v>
      </c>
      <c r="AO131" s="1"/>
      <c r="AP131" s="85">
        <f>AP126-AP128</f>
        <v>6601585.308</v>
      </c>
      <c r="AQ131" s="400"/>
      <c r="AR131" s="85">
        <f>AR126-AR128</f>
        <v>-1815907.94</v>
      </c>
      <c r="AS131" s="400"/>
      <c r="AT131" s="85">
        <f>AT126-AT128</f>
        <v>15872243.88</v>
      </c>
      <c r="AU131" s="1"/>
      <c r="AV131" s="85">
        <f>AV126-AV128</f>
        <v>0</v>
      </c>
      <c r="AW131" s="1"/>
      <c r="AX131" s="85">
        <f>AX126-AX128</f>
        <v>31729217.81</v>
      </c>
    </row>
    <row r="132" ht="6.75" customHeight="1">
      <c r="A132" s="1"/>
      <c r="B132" s="1"/>
      <c r="C132" s="555"/>
      <c r="D132" s="1"/>
      <c r="E132" s="1"/>
      <c r="F132" s="405"/>
      <c r="G132" s="1"/>
      <c r="H132" s="405"/>
      <c r="I132" s="1"/>
      <c r="J132" s="405"/>
      <c r="K132" s="1"/>
      <c r="L132" s="405"/>
      <c r="M132" s="1"/>
      <c r="N132" s="405"/>
      <c r="O132" s="85"/>
      <c r="P132" s="405"/>
      <c r="Q132" s="85"/>
      <c r="R132" s="40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555"/>
      <c r="AH132" s="1"/>
      <c r="AI132" s="1"/>
      <c r="AJ132" s="405"/>
      <c r="AK132" s="1"/>
      <c r="AL132" s="405"/>
      <c r="AM132" s="1"/>
      <c r="AN132" s="405"/>
      <c r="AO132" s="1"/>
      <c r="AP132" s="405"/>
      <c r="AQ132" s="85"/>
      <c r="AR132" s="405"/>
      <c r="AS132" s="85"/>
      <c r="AT132" s="405"/>
      <c r="AU132" s="1"/>
      <c r="AV132" s="405"/>
      <c r="AW132" s="1"/>
      <c r="AX132" s="405"/>
    </row>
    <row r="133" ht="9.0" customHeight="1">
      <c r="A133" s="1"/>
      <c r="B133" s="1"/>
      <c r="C133" s="510"/>
      <c r="D133" s="1"/>
      <c r="E133" s="1"/>
      <c r="F133" s="556"/>
      <c r="G133" s="1"/>
      <c r="H133" s="556"/>
      <c r="I133" s="1"/>
      <c r="J133" s="556"/>
      <c r="K133" s="1"/>
      <c r="L133" s="556"/>
      <c r="M133" s="1"/>
      <c r="N133" s="556"/>
      <c r="O133" s="556"/>
      <c r="P133" s="556"/>
      <c r="Q133" s="556"/>
      <c r="R133" s="556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510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556"/>
      <c r="AT133" s="556"/>
      <c r="AU133" s="1"/>
      <c r="AV133" s="1"/>
      <c r="AW133" s="1"/>
      <c r="AX133" s="1"/>
    </row>
    <row r="134" ht="14.25" customHeight="1">
      <c r="A134" s="1"/>
      <c r="B134" s="1"/>
      <c r="C134" s="89" t="s">
        <v>355</v>
      </c>
      <c r="D134" s="89"/>
      <c r="E134" s="89"/>
      <c r="F134" s="859">
        <f>'G Price-Aid'!N14</f>
        <v>0.51</v>
      </c>
      <c r="G134" s="89"/>
      <c r="H134" s="556">
        <f>H114/J114*J134</f>
        <v>0.4540551978</v>
      </c>
      <c r="I134" s="89"/>
      <c r="J134" s="859">
        <f>(F108+H108)/((F106+H106)*(1+'G Price-Aid'!N6))</f>
        <v>0.4962928906</v>
      </c>
      <c r="K134" s="89"/>
      <c r="L134" s="556">
        <f>J108/(J106*(1+'G Price-Aid'!N6))</f>
        <v>0.4865040771</v>
      </c>
      <c r="M134" s="89"/>
      <c r="N134" s="556">
        <f>L108/(L106*(1+'G Price-Aid'!N6))</f>
        <v>0.47603272</v>
      </c>
      <c r="O134" s="688"/>
      <c r="P134" s="688"/>
      <c r="Q134" s="688"/>
      <c r="R134" s="558">
        <f>R128/R126</f>
        <v>0.5467811983</v>
      </c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89"/>
      <c r="AG134" s="89" t="s">
        <v>355</v>
      </c>
      <c r="AH134" s="89"/>
      <c r="AI134" s="89"/>
      <c r="AJ134" s="556">
        <f>AJ128/AJ126</f>
        <v>0.5062223767</v>
      </c>
      <c r="AK134" s="1"/>
      <c r="AL134" s="556">
        <f>AL128/AL126</f>
        <v>0.4962928906</v>
      </c>
      <c r="AM134" s="1"/>
      <c r="AN134" s="556">
        <f>AN128/AN126</f>
        <v>0.4865040771</v>
      </c>
      <c r="AO134" s="1"/>
      <c r="AP134" s="556">
        <f>AP128/AP126</f>
        <v>0.47603272</v>
      </c>
      <c r="AQ134" s="556"/>
      <c r="AR134" s="556"/>
      <c r="AS134" s="688"/>
      <c r="AT134" s="558">
        <f>AT128/AT126</f>
        <v>0.5408123765</v>
      </c>
      <c r="AU134" s="1"/>
      <c r="AV134" s="1"/>
      <c r="AW134" s="89"/>
      <c r="AX134" s="560">
        <f>AX128/AX126</f>
        <v>0.5438148748</v>
      </c>
    </row>
    <row r="135" ht="21.75" customHeight="1">
      <c r="A135" s="1"/>
      <c r="B135" s="1"/>
      <c r="C135" s="1" t="s">
        <v>320</v>
      </c>
      <c r="D135" s="1"/>
      <c r="E135" s="1"/>
      <c r="F135" s="561">
        <f>F131/F124*2</f>
        <v>15300.18257</v>
      </c>
      <c r="G135" s="1"/>
      <c r="H135" s="561">
        <f>H131/H124*2</f>
        <v>17047.05133</v>
      </c>
      <c r="I135" s="1"/>
      <c r="J135" s="561">
        <f>J131/J124*2</f>
        <v>15728.18518</v>
      </c>
      <c r="K135" s="1"/>
      <c r="L135" s="561">
        <f>L131/L124*2</f>
        <v>16033.83953</v>
      </c>
      <c r="M135" s="1"/>
      <c r="N135" s="561">
        <f>N131/N124*2</f>
        <v>16360.80622</v>
      </c>
      <c r="O135" s="1"/>
      <c r="P135" s="1"/>
      <c r="Q135" s="1"/>
      <c r="R135" s="561">
        <f>R131/R124*2</f>
        <v>14057.601</v>
      </c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561"/>
      <c r="AK135" s="1"/>
      <c r="AL135" s="561"/>
      <c r="AM135" s="1"/>
      <c r="AN135" s="561"/>
      <c r="AO135" s="1"/>
      <c r="AP135" s="561"/>
      <c r="AQ135" s="1"/>
      <c r="AR135" s="1"/>
      <c r="AS135" s="1"/>
      <c r="AT135" s="561"/>
      <c r="AU135" s="1"/>
      <c r="AV135" s="1"/>
      <c r="AW135" s="1"/>
      <c r="AX135" s="1"/>
    </row>
    <row r="136" ht="12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566" t="s">
        <v>323</v>
      </c>
      <c r="N136" s="537"/>
      <c r="O136" s="538"/>
      <c r="P136" s="567" t="s">
        <v>324</v>
      </c>
      <c r="Q136" s="568" t="s">
        <v>326</v>
      </c>
      <c r="R136" s="569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 t="s">
        <v>321</v>
      </c>
      <c r="AH136" s="1"/>
      <c r="AI136" s="1"/>
      <c r="AJ136" s="565">
        <f>(F128+H128)/(F124+H124)</f>
        <v>7903.362027</v>
      </c>
      <c r="AK136" s="1"/>
      <c r="AL136" s="565">
        <f>J128/J124</f>
        <v>7748.338608</v>
      </c>
      <c r="AM136" s="1"/>
      <c r="AN136" s="565">
        <f>L128/L124</f>
        <v>7595.511431</v>
      </c>
      <c r="AO136" s="1"/>
      <c r="AP136" s="565">
        <f>N128/N124</f>
        <v>7432.028089</v>
      </c>
      <c r="AQ136" s="1"/>
      <c r="AR136" s="565"/>
      <c r="AS136" s="1"/>
      <c r="AT136" s="565"/>
      <c r="AU136" s="1"/>
      <c r="AV136" s="1"/>
      <c r="AW136" s="1"/>
      <c r="AX136" s="1"/>
    </row>
    <row r="137" ht="14.25" customHeight="1">
      <c r="A137" s="1"/>
      <c r="B137" s="1"/>
      <c r="C137" s="1" t="s">
        <v>328</v>
      </c>
      <c r="D137" s="1"/>
      <c r="E137" s="1"/>
      <c r="F137" s="576">
        <f>(F135/(1-F134))*((1+'G Price-Aid'!$N6)^3)-((F128/F124)*2)</f>
        <v>17211.39395</v>
      </c>
      <c r="G137" s="1"/>
      <c r="H137" s="576">
        <f>(H135/(1-H134))*((1+'G Price-Aid'!$N6)^3)-((H128/H124)*2)</f>
        <v>18958.2627</v>
      </c>
      <c r="I137" s="1"/>
      <c r="J137" s="576">
        <f>(J135/(1-J134))*((1+'G Price-Aid'!$N6)^2)-((J128/J124)*2)</f>
        <v>16989.66962</v>
      </c>
      <c r="K137" s="1"/>
      <c r="L137" s="576">
        <f>(L135/(1-L134))*(1+'G Price-Aid'!$N6)-((L128/L124)*2)</f>
        <v>16658.33678</v>
      </c>
      <c r="M137" s="579" t="s">
        <v>332</v>
      </c>
      <c r="N137" s="35"/>
      <c r="O137" s="21"/>
      <c r="P137" s="714">
        <f>R131/R124*2</f>
        <v>14057.601</v>
      </c>
      <c r="Q137" s="584">
        <f>(R131+P128-T128)/R124*2</f>
        <v>15782.43757</v>
      </c>
      <c r="R137" s="58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 t="s">
        <v>327</v>
      </c>
      <c r="AH137" s="1"/>
      <c r="AI137" s="1"/>
      <c r="AJ137" s="571">
        <f>AJ124</f>
        <v>378</v>
      </c>
      <c r="AK137" s="1"/>
      <c r="AL137" s="571">
        <f>AL124</f>
        <v>503</v>
      </c>
      <c r="AM137" s="1"/>
      <c r="AN137" s="571">
        <f>AN124</f>
        <v>526</v>
      </c>
      <c r="AO137" s="1"/>
      <c r="AP137" s="571">
        <f>AP124</f>
        <v>807</v>
      </c>
      <c r="AQ137" s="1"/>
      <c r="AR137" s="572"/>
      <c r="AS137" s="1"/>
      <c r="AT137" s="571"/>
      <c r="AU137" s="1"/>
      <c r="AV137" s="1"/>
      <c r="AW137" s="1"/>
      <c r="AX137" s="1"/>
    </row>
    <row r="138" ht="6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589" t="s">
        <v>334</v>
      </c>
      <c r="N138" s="147"/>
      <c r="O138" s="27"/>
      <c r="P138" s="590">
        <f>R128/R126</f>
        <v>0.5467811983</v>
      </c>
      <c r="Q138" s="591">
        <f>(R128-P128+T128)/R126</f>
        <v>0.4911722532</v>
      </c>
      <c r="R138" s="592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 ht="14.25" customHeight="1">
      <c r="A139" s="1"/>
      <c r="B139" s="1"/>
      <c r="C139" s="1" t="s">
        <v>335</v>
      </c>
      <c r="D139" s="1"/>
      <c r="E139" s="1"/>
      <c r="F139" s="556">
        <f>(F137/$N135)^(1/3)-1</f>
        <v>0.01703784756</v>
      </c>
      <c r="G139" s="1"/>
      <c r="H139" s="556">
        <f>(H137/$N135)^(1/3)-1</f>
        <v>0.05034332241</v>
      </c>
      <c r="I139" s="1"/>
      <c r="J139" s="556">
        <f>(J137/$N135)^(1/2)-1</f>
        <v>0.0190373836</v>
      </c>
      <c r="K139" s="1"/>
      <c r="L139" s="556">
        <f>(L137/$N135)-1</f>
        <v>0.01818556863</v>
      </c>
      <c r="M139" s="597"/>
      <c r="N139" s="598"/>
      <c r="O139" s="599"/>
      <c r="P139" s="600"/>
      <c r="Q139" s="601"/>
      <c r="R139" s="602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 t="s">
        <v>333</v>
      </c>
      <c r="AH139" s="1"/>
      <c r="AI139" s="1"/>
      <c r="AJ139" s="586">
        <f>AJ136*AJ137</f>
        <v>2987470.846</v>
      </c>
      <c r="AK139" s="1"/>
      <c r="AL139" s="586">
        <f>AL136*AL137</f>
        <v>3897414.32</v>
      </c>
      <c r="AM139" s="1"/>
      <c r="AN139" s="586">
        <f>AN136*AN137</f>
        <v>3995239.013</v>
      </c>
      <c r="AO139" s="1"/>
      <c r="AP139" s="586">
        <f>AP136*AP137</f>
        <v>5997646.668</v>
      </c>
      <c r="AQ139" s="1"/>
      <c r="AR139" s="586">
        <f>AR128</f>
        <v>1815907.94</v>
      </c>
      <c r="AS139" s="1"/>
      <c r="AT139" s="586">
        <f>SUM(AJ139:AR139)</f>
        <v>18693678.79</v>
      </c>
      <c r="AU139" s="1"/>
      <c r="AV139" s="1"/>
      <c r="AW139" s="1"/>
      <c r="AX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 t="s">
        <v>337</v>
      </c>
      <c r="AH140" s="1"/>
      <c r="AI140" s="1"/>
      <c r="AJ140" s="571">
        <f>AJ139*($AT140-$AR140)/($AT139-$AR139)</f>
        <v>2980992.508</v>
      </c>
      <c r="AK140" s="1"/>
      <c r="AL140" s="571">
        <f>AL139*($AT140-$AR140)/($AT139-$AR139)</f>
        <v>3888962.767</v>
      </c>
      <c r="AM140" s="1"/>
      <c r="AN140" s="571">
        <f>AN139*($AT140-$AR140)/($AT139-$AR139)</f>
        <v>3986575.327</v>
      </c>
      <c r="AO140" s="1"/>
      <c r="AP140" s="571">
        <f>AP139*($AT140-$AR140)/($AT139-$AR139)</f>
        <v>5984640.756</v>
      </c>
      <c r="AQ140" s="1"/>
      <c r="AR140" s="295">
        <f>P128*P$26</f>
        <v>1906703.337</v>
      </c>
      <c r="AS140" s="1"/>
      <c r="AT140" s="610">
        <f>R128*P$26</f>
        <v>18747874.7</v>
      </c>
      <c r="AU140" s="1"/>
      <c r="AV140" s="1"/>
      <c r="AW140" s="1"/>
      <c r="AX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 ht="14.25" customHeight="1">
      <c r="A142" s="1"/>
      <c r="B142" s="433" t="s">
        <v>468</v>
      </c>
      <c r="C142" s="433" t="s">
        <v>278</v>
      </c>
      <c r="D142" s="491" t="str">
        <f>'F Population'!AC6</f>
        <v>2031 - 32</v>
      </c>
      <c r="E142" s="492"/>
      <c r="F142" s="496" t="s">
        <v>280</v>
      </c>
      <c r="G142" s="492"/>
      <c r="H142" s="496" t="s">
        <v>281</v>
      </c>
      <c r="I142" s="492"/>
      <c r="J142" s="496" t="s">
        <v>282</v>
      </c>
      <c r="K142" s="492"/>
      <c r="L142" s="496" t="s">
        <v>283</v>
      </c>
      <c r="M142" s="492"/>
      <c r="N142" s="496" t="s">
        <v>284</v>
      </c>
      <c r="O142" s="493"/>
      <c r="P142" s="496" t="s">
        <v>285</v>
      </c>
      <c r="Q142" s="493"/>
      <c r="R142" s="496" t="s">
        <v>286</v>
      </c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433" t="s">
        <v>468</v>
      </c>
      <c r="AG142" s="434" t="s">
        <v>287</v>
      </c>
      <c r="AH142" s="491" t="str">
        <f>D142</f>
        <v>2031 - 32</v>
      </c>
      <c r="AI142" s="492"/>
      <c r="AJ142" s="496" t="s">
        <v>280</v>
      </c>
      <c r="AK142" s="492"/>
      <c r="AL142" s="496" t="s">
        <v>282</v>
      </c>
      <c r="AM142" s="492"/>
      <c r="AN142" s="496" t="s">
        <v>283</v>
      </c>
      <c r="AO142" s="492"/>
      <c r="AP142" s="496" t="s">
        <v>284</v>
      </c>
      <c r="AQ142" s="493"/>
      <c r="AR142" s="496" t="s">
        <v>285</v>
      </c>
      <c r="AS142" s="493"/>
      <c r="AT142" s="496" t="s">
        <v>286</v>
      </c>
      <c r="AU142" s="1"/>
      <c r="AV142" s="497" t="s">
        <v>288</v>
      </c>
      <c r="AW142" s="1"/>
      <c r="AX142" s="498" t="str">
        <f>AH142</f>
        <v>2031 - 32</v>
      </c>
    </row>
    <row r="143" ht="5.25" customHeight="1">
      <c r="A143" s="1"/>
      <c r="B143" s="1"/>
      <c r="C143" s="1"/>
      <c r="D143" s="1"/>
      <c r="E143" s="39"/>
      <c r="F143" s="1"/>
      <c r="G143" s="39"/>
      <c r="H143" s="1"/>
      <c r="I143" s="39"/>
      <c r="J143" s="1"/>
      <c r="K143" s="39"/>
      <c r="L143" s="1"/>
      <c r="M143" s="3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39"/>
      <c r="AJ143" s="1"/>
      <c r="AK143" s="39"/>
      <c r="AL143" s="1"/>
      <c r="AM143" s="39"/>
      <c r="AN143" s="1"/>
      <c r="AO143" s="39"/>
      <c r="AP143" s="1"/>
      <c r="AQ143" s="1"/>
      <c r="AR143" s="1"/>
      <c r="AS143" s="1"/>
      <c r="AT143" s="1"/>
      <c r="AU143" s="1"/>
      <c r="AV143" s="1"/>
      <c r="AW143" s="1"/>
      <c r="AX143" s="1"/>
    </row>
    <row r="144" ht="14.25" customHeight="1">
      <c r="A144" s="1"/>
      <c r="B144" s="89"/>
      <c r="C144" s="332" t="s">
        <v>289</v>
      </c>
      <c r="D144" s="89"/>
      <c r="E144" s="501"/>
      <c r="F144" s="621">
        <f>'F Population'!AC9</f>
        <v>580</v>
      </c>
      <c r="G144" s="501"/>
      <c r="H144" s="621">
        <f>'F Population'!AC11</f>
        <v>42</v>
      </c>
      <c r="I144" s="501"/>
      <c r="J144" s="621">
        <f>'F Population'!AC13</f>
        <v>479</v>
      </c>
      <c r="K144" s="501"/>
      <c r="L144" s="621">
        <f>'F Population'!AC15</f>
        <v>520</v>
      </c>
      <c r="M144" s="501"/>
      <c r="N144" s="621">
        <f>'F Population'!AC17</f>
        <v>622</v>
      </c>
      <c r="O144" s="621"/>
      <c r="P144" s="621">
        <f>'F Population'!AC19</f>
        <v>15</v>
      </c>
      <c r="Q144" s="621"/>
      <c r="R144" s="627">
        <f>SUM(F144:P144)</f>
        <v>2258</v>
      </c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89"/>
      <c r="AG144" s="332" t="s">
        <v>289</v>
      </c>
      <c r="AH144" s="89"/>
      <c r="AI144" s="501"/>
      <c r="AJ144" s="621">
        <f>'F Population'!AC31</f>
        <v>378</v>
      </c>
      <c r="AK144" s="501"/>
      <c r="AL144" s="621">
        <f>'F Population'!AC33</f>
        <v>503</v>
      </c>
      <c r="AM144" s="501"/>
      <c r="AN144" s="621">
        <f>'F Population'!AC35</f>
        <v>526</v>
      </c>
      <c r="AO144" s="501"/>
      <c r="AP144" s="621">
        <f>'F Population'!AC37</f>
        <v>809</v>
      </c>
      <c r="AQ144" s="621"/>
      <c r="AR144" s="621">
        <f>'F Population'!AC39</f>
        <v>14</v>
      </c>
      <c r="AS144" s="621"/>
      <c r="AT144" s="627">
        <f>SUM(AJ144:AR144)</f>
        <v>2230</v>
      </c>
      <c r="AU144" s="1"/>
      <c r="AV144" s="627"/>
      <c r="AW144" s="1"/>
      <c r="AX144" s="1"/>
    </row>
    <row r="145" ht="7.5" customHeight="1">
      <c r="A145" s="1"/>
      <c r="B145" s="1"/>
      <c r="C145" s="510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510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 ht="14.25" customHeight="1">
      <c r="A146" s="1"/>
      <c r="B146" s="1"/>
      <c r="C146" s="332" t="s">
        <v>293</v>
      </c>
      <c r="D146" s="1"/>
      <c r="E146" s="1"/>
      <c r="F146" s="635">
        <f>F144/($R144-$P144)*($R146-$P146)</f>
        <v>9236314.296</v>
      </c>
      <c r="G146" s="1"/>
      <c r="H146" s="635">
        <f>H144/($R144-$P144)*($R146-$P146)</f>
        <v>668836.5525</v>
      </c>
      <c r="I146" s="1"/>
      <c r="J146" s="635">
        <f>J144/($R144-$P144)*($R146-$P146)</f>
        <v>7627921.634</v>
      </c>
      <c r="K146" s="1"/>
      <c r="L146" s="635">
        <f>L144/($R144-$P144)*($R146-$P146)</f>
        <v>8280833.507</v>
      </c>
      <c r="M146" s="1"/>
      <c r="N146" s="635">
        <f>N144/($R144-$P144)*($R146-$P146)</f>
        <v>9905150.849</v>
      </c>
      <c r="O146" s="635"/>
      <c r="P146" s="635">
        <f>IF(P124&lt;&gt;0,P144/P124*P126*(1+'G Price-Aid'!P$6),P126)</f>
        <v>0</v>
      </c>
      <c r="Q146" s="635"/>
      <c r="R146" s="85">
        <f>(R144-P144)/(R124-P124)*(R126-P126)*(1+'G Price-Aid'!P$6)+P146</f>
        <v>35719056.84</v>
      </c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332" t="s">
        <v>293</v>
      </c>
      <c r="AH146" s="1"/>
      <c r="AI146" s="1"/>
      <c r="AJ146" s="513">
        <f>AJ144/(F144+H144)*(F146+H146)</f>
        <v>6019528.973</v>
      </c>
      <c r="AK146" s="89"/>
      <c r="AL146" s="513">
        <f>AL144/J144*J146</f>
        <v>8010113.95</v>
      </c>
      <c r="AM146" s="89"/>
      <c r="AN146" s="513">
        <f>AN144/L144*L146</f>
        <v>8376381.586</v>
      </c>
      <c r="AO146" s="89"/>
      <c r="AP146" s="513">
        <f>AP144/N144*N146</f>
        <v>12883065.98</v>
      </c>
      <c r="AQ146" s="484"/>
      <c r="AR146" s="513">
        <f>IF(P144&lt;&gt;0,AR144/P144*P146,P146)</f>
        <v>0</v>
      </c>
      <c r="AS146" s="635"/>
      <c r="AT146" s="185">
        <f>SUM(AJ146:AR146)</f>
        <v>35289090.48</v>
      </c>
      <c r="AU146" s="1"/>
      <c r="AV146" s="185">
        <f>AT144/AT124*AV126*(1+'P Fcast 5yr'!Q88)</f>
        <v>0</v>
      </c>
      <c r="AW146" s="1"/>
      <c r="AX146" s="185">
        <f>AT146+R146</f>
        <v>71008147.32</v>
      </c>
    </row>
    <row r="147" ht="6.0" customHeight="1">
      <c r="A147" s="1"/>
      <c r="B147" s="1"/>
      <c r="C147" s="510"/>
      <c r="D147" s="1"/>
      <c r="E147" s="1"/>
      <c r="F147" s="444"/>
      <c r="G147" s="1"/>
      <c r="H147" s="444"/>
      <c r="I147" s="1"/>
      <c r="J147" s="444"/>
      <c r="K147" s="1"/>
      <c r="L147" s="444"/>
      <c r="M147" s="1"/>
      <c r="N147" s="444"/>
      <c r="O147" s="444"/>
      <c r="P147" s="444"/>
      <c r="Q147" s="444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510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444"/>
      <c r="AT147" s="1"/>
      <c r="AU147" s="1"/>
      <c r="AV147" s="1"/>
      <c r="AW147" s="1"/>
      <c r="AX147" s="1"/>
    </row>
    <row r="148" ht="14.25" customHeight="1">
      <c r="A148" s="1"/>
      <c r="B148" s="1"/>
      <c r="C148" s="332" t="s">
        <v>298</v>
      </c>
      <c r="D148" s="1"/>
      <c r="E148" s="1"/>
      <c r="F148" s="635">
        <f>F146*F154</f>
        <v>4710520.291</v>
      </c>
      <c r="G148" s="444"/>
      <c r="H148" s="635">
        <f>H146*H154</f>
        <v>303690.8898</v>
      </c>
      <c r="I148" s="444"/>
      <c r="J148" s="635">
        <f>J146*J154</f>
        <v>3785710.411</v>
      </c>
      <c r="K148" s="444"/>
      <c r="L148" s="635">
        <f>L146*L154</f>
        <v>4029136.076</v>
      </c>
      <c r="M148" s="444"/>
      <c r="N148" s="635">
        <f>N146*N154</f>
        <v>4724408.11</v>
      </c>
      <c r="O148" s="657"/>
      <c r="P148" s="635">
        <f>($P$18+$P$20)/2+$P$16</f>
        <v>2136972.723</v>
      </c>
      <c r="Q148" s="657"/>
      <c r="R148" s="85">
        <f>SUM(F148:P148)</f>
        <v>19690438.5</v>
      </c>
      <c r="S148" s="1"/>
      <c r="T148" s="295"/>
      <c r="U148" s="562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332" t="s">
        <v>298</v>
      </c>
      <c r="AH148" s="1"/>
      <c r="AI148" s="1"/>
      <c r="AJ148" s="513">
        <f>IF($P$26&gt;0,AJ160,AJ144/(F144+H144)*(F148+H148))</f>
        <v>0</v>
      </c>
      <c r="AK148" s="178"/>
      <c r="AL148" s="513">
        <f>IF($P$26&gt;0,AL160,AL144/J144*J148)</f>
        <v>0</v>
      </c>
      <c r="AM148" s="178"/>
      <c r="AN148" s="513">
        <f>IF($P$26&gt;0,AN160,AN144/L144*L148)</f>
        <v>0</v>
      </c>
      <c r="AO148" s="178"/>
      <c r="AP148" s="513">
        <f>IF($P$26&gt;0,AP160,AP144/N144*N148)</f>
        <v>0</v>
      </c>
      <c r="AQ148" s="523"/>
      <c r="AR148" s="513">
        <f>IF($P$26&gt;0,AR160,AR144/P144*P148)</f>
        <v>0</v>
      </c>
      <c r="AS148" s="523"/>
      <c r="AT148" s="185">
        <f>IF($P$26&gt;0,R148*$P$26,SUM(AJ148:AR148))</f>
        <v>19296629.73</v>
      </c>
      <c r="AU148" s="1"/>
      <c r="AV148" s="85"/>
      <c r="AW148" s="1"/>
      <c r="AX148" s="185">
        <f>AT148+R148</f>
        <v>38987068.23</v>
      </c>
    </row>
    <row r="149" ht="5.25" customHeight="1">
      <c r="A149" s="1"/>
      <c r="B149" s="1"/>
      <c r="C149" s="555"/>
      <c r="D149" s="1"/>
      <c r="E149" s="1"/>
      <c r="F149" s="294"/>
      <c r="G149" s="1"/>
      <c r="H149" s="294"/>
      <c r="I149" s="1"/>
      <c r="J149" s="294"/>
      <c r="K149" s="1"/>
      <c r="L149" s="294"/>
      <c r="M149" s="1"/>
      <c r="N149" s="294"/>
      <c r="O149" s="1"/>
      <c r="P149" s="294"/>
      <c r="Q149" s="1"/>
      <c r="R149" s="294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555"/>
      <c r="AH149" s="1"/>
      <c r="AI149" s="1"/>
      <c r="AJ149" s="294"/>
      <c r="AK149" s="1"/>
      <c r="AL149" s="294"/>
      <c r="AM149" s="1"/>
      <c r="AN149" s="294"/>
      <c r="AO149" s="1"/>
      <c r="AP149" s="294"/>
      <c r="AQ149" s="1"/>
      <c r="AR149" s="294"/>
      <c r="AS149" s="1"/>
      <c r="AT149" s="294"/>
      <c r="AU149" s="1"/>
      <c r="AV149" s="274"/>
      <c r="AW149" s="1"/>
      <c r="AX149" s="274"/>
    </row>
    <row r="150" ht="4.5" customHeight="1">
      <c r="A150" s="1"/>
      <c r="B150" s="1"/>
      <c r="C150" s="510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510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 ht="14.25" customHeight="1">
      <c r="A151" s="1"/>
      <c r="B151" s="1"/>
      <c r="C151" s="510" t="s">
        <v>307</v>
      </c>
      <c r="D151" s="1"/>
      <c r="E151" s="1"/>
      <c r="F151" s="85">
        <f>F146-F148</f>
        <v>4525794.005</v>
      </c>
      <c r="G151" s="1"/>
      <c r="H151" s="85">
        <f>H146-H148</f>
        <v>365145.6627</v>
      </c>
      <c r="I151" s="1"/>
      <c r="J151" s="85">
        <f>J146-J148</f>
        <v>3842211.224</v>
      </c>
      <c r="K151" s="1"/>
      <c r="L151" s="85">
        <f>L146-L148</f>
        <v>4251697.431</v>
      </c>
      <c r="M151" s="1"/>
      <c r="N151" s="85">
        <f>N146-N148</f>
        <v>5180742.739</v>
      </c>
      <c r="O151" s="400"/>
      <c r="P151" s="85">
        <f>P146-P148</f>
        <v>-2136972.723</v>
      </c>
      <c r="Q151" s="400"/>
      <c r="R151" s="85">
        <f>R146-R148</f>
        <v>16028618.34</v>
      </c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510" t="s">
        <v>307</v>
      </c>
      <c r="AH151" s="1"/>
      <c r="AI151" s="1"/>
      <c r="AJ151" s="85">
        <f>AJ146-AJ148</f>
        <v>6019528.973</v>
      </c>
      <c r="AK151" s="1"/>
      <c r="AL151" s="85">
        <f>AL146-AL148</f>
        <v>8010113.95</v>
      </c>
      <c r="AM151" s="1"/>
      <c r="AN151" s="85">
        <f>AN146-AN148</f>
        <v>8376381.586</v>
      </c>
      <c r="AO151" s="1"/>
      <c r="AP151" s="85">
        <f>AP146-AP148</f>
        <v>12883065.98</v>
      </c>
      <c r="AQ151" s="400"/>
      <c r="AR151" s="85">
        <f>AR146-AR148</f>
        <v>0</v>
      </c>
      <c r="AS151" s="400"/>
      <c r="AT151" s="85">
        <f>AT146-AT148</f>
        <v>15992460.75</v>
      </c>
      <c r="AU151" s="1"/>
      <c r="AV151" s="85">
        <f>AV146-AV148</f>
        <v>0</v>
      </c>
      <c r="AW151" s="1"/>
      <c r="AX151" s="85">
        <f>AX146-AX148</f>
        <v>32021079.09</v>
      </c>
    </row>
    <row r="152" ht="6.75" customHeight="1">
      <c r="A152" s="1"/>
      <c r="B152" s="1"/>
      <c r="C152" s="555"/>
      <c r="D152" s="1"/>
      <c r="E152" s="1"/>
      <c r="F152" s="405"/>
      <c r="G152" s="1"/>
      <c r="H152" s="405"/>
      <c r="I152" s="1"/>
      <c r="J152" s="405"/>
      <c r="K152" s="1"/>
      <c r="L152" s="405"/>
      <c r="M152" s="1"/>
      <c r="N152" s="405"/>
      <c r="O152" s="85"/>
      <c r="P152" s="405"/>
      <c r="Q152" s="85"/>
      <c r="R152" s="40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555"/>
      <c r="AH152" s="1"/>
      <c r="AI152" s="1"/>
      <c r="AJ152" s="405"/>
      <c r="AK152" s="1"/>
      <c r="AL152" s="405"/>
      <c r="AM152" s="1"/>
      <c r="AN152" s="405"/>
      <c r="AO152" s="1"/>
      <c r="AP152" s="405"/>
      <c r="AQ152" s="85"/>
      <c r="AR152" s="405"/>
      <c r="AS152" s="85"/>
      <c r="AT152" s="405"/>
      <c r="AU152" s="1"/>
      <c r="AV152" s="405"/>
      <c r="AW152" s="1"/>
      <c r="AX152" s="405"/>
    </row>
    <row r="153" ht="9.0" customHeight="1">
      <c r="A153" s="1"/>
      <c r="B153" s="1"/>
      <c r="C153" s="510"/>
      <c r="D153" s="1"/>
      <c r="E153" s="1"/>
      <c r="F153" s="556"/>
      <c r="G153" s="1"/>
      <c r="H153" s="556"/>
      <c r="I153" s="1"/>
      <c r="J153" s="556"/>
      <c r="K153" s="1"/>
      <c r="L153" s="556"/>
      <c r="M153" s="1"/>
      <c r="N153" s="556"/>
      <c r="O153" s="556"/>
      <c r="P153" s="556"/>
      <c r="Q153" s="556"/>
      <c r="R153" s="556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510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556"/>
      <c r="AT153" s="556"/>
      <c r="AU153" s="1"/>
      <c r="AV153" s="1"/>
      <c r="AW153" s="1"/>
      <c r="AX153" s="1"/>
    </row>
    <row r="154" ht="14.25" customHeight="1">
      <c r="A154" s="1"/>
      <c r="B154" s="89"/>
      <c r="C154" s="89" t="s">
        <v>355</v>
      </c>
      <c r="D154" s="89"/>
      <c r="E154" s="89"/>
      <c r="F154" s="859">
        <f>'G Price-Aid'!P14</f>
        <v>0.51</v>
      </c>
      <c r="G154" s="89"/>
      <c r="H154" s="556">
        <f>H134/J134*J154</f>
        <v>0.4540584522</v>
      </c>
      <c r="I154" s="89"/>
      <c r="J154" s="859">
        <f>(F128+H128)/((F126+H126)*(1+'G Price-Aid'!P6))</f>
        <v>0.4962964477</v>
      </c>
      <c r="K154" s="89"/>
      <c r="L154" s="556">
        <f>J128/(J126*(1+'G Price-Aid'!P6))</f>
        <v>0.4865616574</v>
      </c>
      <c r="M154" s="89"/>
      <c r="N154" s="556">
        <f>L128/(L126*(1+'G Price-Aid'!P6))</f>
        <v>0.4769647815</v>
      </c>
      <c r="O154" s="688"/>
      <c r="P154" s="688"/>
      <c r="Q154" s="688"/>
      <c r="R154" s="558">
        <f>R148/R146</f>
        <v>0.5512586346</v>
      </c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89"/>
      <c r="AG154" s="89" t="s">
        <v>355</v>
      </c>
      <c r="AH154" s="89"/>
      <c r="AI154" s="89"/>
      <c r="AJ154" s="556">
        <f>AJ148/AJ146</f>
        <v>0</v>
      </c>
      <c r="AK154" s="1"/>
      <c r="AL154" s="556">
        <f>AL148/AL146</f>
        <v>0</v>
      </c>
      <c r="AM154" s="1"/>
      <c r="AN154" s="556">
        <f>AN148/AN146</f>
        <v>0</v>
      </c>
      <c r="AO154" s="1"/>
      <c r="AP154" s="556">
        <f>AP148/AP146</f>
        <v>0</v>
      </c>
      <c r="AQ154" s="556"/>
      <c r="AR154" s="556"/>
      <c r="AS154" s="688"/>
      <c r="AT154" s="558">
        <f>AT148/AT146</f>
        <v>0.5468157288</v>
      </c>
      <c r="AU154" s="1"/>
      <c r="AV154" s="1"/>
      <c r="AW154" s="89"/>
      <c r="AX154" s="560">
        <f>AX148/AX146</f>
        <v>0.549050633</v>
      </c>
    </row>
    <row r="155" ht="21.75" customHeight="1">
      <c r="A155" s="1"/>
      <c r="B155" s="1"/>
      <c r="C155" s="1" t="s">
        <v>320</v>
      </c>
      <c r="D155" s="1"/>
      <c r="E155" s="1"/>
      <c r="F155" s="561">
        <f>F151/F144*2</f>
        <v>15606.18623</v>
      </c>
      <c r="G155" s="1"/>
      <c r="H155" s="561">
        <f>H151/H144*2</f>
        <v>17387.8887</v>
      </c>
      <c r="I155" s="1"/>
      <c r="J155" s="561">
        <f>J151/J144*2</f>
        <v>16042.63559</v>
      </c>
      <c r="K155" s="1"/>
      <c r="L155" s="561">
        <f>L151/L144*2</f>
        <v>16352.68243</v>
      </c>
      <c r="M155" s="1"/>
      <c r="N155" s="561">
        <f>N151/N144*2</f>
        <v>16658.33678</v>
      </c>
      <c r="O155" s="1"/>
      <c r="P155" s="1"/>
      <c r="Q155" s="1"/>
      <c r="R155" s="561">
        <f>R151/R144*2</f>
        <v>14197.18188</v>
      </c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 ht="12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566" t="s">
        <v>323</v>
      </c>
      <c r="N156" s="537"/>
      <c r="O156" s="538"/>
      <c r="P156" s="567" t="s">
        <v>324</v>
      </c>
      <c r="Q156" s="568" t="s">
        <v>326</v>
      </c>
      <c r="R156" s="569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 t="s">
        <v>321</v>
      </c>
      <c r="AH156" s="1"/>
      <c r="AI156" s="1"/>
      <c r="AJ156" s="565">
        <f>(F148+H148)/(F144+H144)</f>
        <v>8061.432767</v>
      </c>
      <c r="AK156" s="1"/>
      <c r="AL156" s="565">
        <f>J148/J144</f>
        <v>7903.362027</v>
      </c>
      <c r="AM156" s="1"/>
      <c r="AN156" s="565">
        <f>L148/L144</f>
        <v>7748.338608</v>
      </c>
      <c r="AO156" s="1"/>
      <c r="AP156" s="565">
        <f>N148/N144</f>
        <v>7595.511431</v>
      </c>
      <c r="AQ156" s="1"/>
      <c r="AR156" s="565"/>
      <c r="AS156" s="1"/>
      <c r="AT156" s="565"/>
      <c r="AU156" s="1"/>
      <c r="AV156" s="1"/>
      <c r="AW156" s="1"/>
      <c r="AX156" s="1"/>
    </row>
    <row r="157" ht="14.25" customHeight="1">
      <c r="A157" s="1"/>
      <c r="B157" s="1"/>
      <c r="C157" s="1" t="s">
        <v>328</v>
      </c>
      <c r="D157" s="1"/>
      <c r="E157" s="1"/>
      <c r="F157" s="576">
        <f>(F155/(1-F154))*((1+'G Price-Aid'!$P6)^3)-((F148/F144)*2)</f>
        <v>17555.62183</v>
      </c>
      <c r="G157" s="1"/>
      <c r="H157" s="576">
        <f>(H155/(1-H154))*((1+'G Price-Aid'!$P6)^3)-((H148/H144)*2)</f>
        <v>19337.32431</v>
      </c>
      <c r="I157" s="1"/>
      <c r="J157" s="576">
        <f>(J155/(1-J154))*((1+'G Price-Aid'!$P6)^2)-((J148/J144)*2)</f>
        <v>17329.34972</v>
      </c>
      <c r="K157" s="1"/>
      <c r="L157" s="576">
        <f>(L155/(1-L154))*(1+'G Price-Aid'!$P6)-((L148/L144)*2)</f>
        <v>16989.66962</v>
      </c>
      <c r="M157" s="579" t="s">
        <v>332</v>
      </c>
      <c r="N157" s="35"/>
      <c r="O157" s="21"/>
      <c r="P157" s="714">
        <f>R151/R144*2</f>
        <v>14197.18188</v>
      </c>
      <c r="Q157" s="584">
        <f>(R151+P148-T148)/R144*2</f>
        <v>16089.98323</v>
      </c>
      <c r="R157" s="58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 t="s">
        <v>327</v>
      </c>
      <c r="AH157" s="1"/>
      <c r="AI157" s="1"/>
      <c r="AJ157" s="571">
        <f>AJ144</f>
        <v>378</v>
      </c>
      <c r="AK157" s="1"/>
      <c r="AL157" s="571">
        <f>AL144</f>
        <v>503</v>
      </c>
      <c r="AM157" s="1"/>
      <c r="AN157" s="571">
        <f>AN144</f>
        <v>526</v>
      </c>
      <c r="AO157" s="1"/>
      <c r="AP157" s="571">
        <f>AP144</f>
        <v>809</v>
      </c>
      <c r="AQ157" s="1"/>
      <c r="AR157" s="572"/>
      <c r="AS157" s="1"/>
      <c r="AT157" s="571"/>
      <c r="AU157" s="1"/>
      <c r="AV157" s="1"/>
      <c r="AW157" s="1"/>
      <c r="AX157" s="1"/>
    </row>
    <row r="158" ht="6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589" t="s">
        <v>334</v>
      </c>
      <c r="N158" s="147"/>
      <c r="O158" s="27"/>
      <c r="P158" s="590">
        <f>R148/R146</f>
        <v>0.5512586346</v>
      </c>
      <c r="Q158" s="591">
        <f>(R148-P148+T148)/R146</f>
        <v>0.4914313907</v>
      </c>
      <c r="R158" s="592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 ht="14.25" customHeight="1">
      <c r="A159" s="1"/>
      <c r="B159" s="1"/>
      <c r="C159" s="1" t="s">
        <v>335</v>
      </c>
      <c r="D159" s="1"/>
      <c r="E159" s="1"/>
      <c r="F159" s="556">
        <f>(F157/$N155)^(1/3)-1</f>
        <v>0.01764161776</v>
      </c>
      <c r="G159" s="1"/>
      <c r="H159" s="556">
        <f>(H157/$N155)^(1/3)-1</f>
        <v>0.05096498681</v>
      </c>
      <c r="I159" s="1"/>
      <c r="J159" s="556">
        <f>(J157/$N155)^(1/2)-1</f>
        <v>0.01994162011</v>
      </c>
      <c r="K159" s="1"/>
      <c r="L159" s="556">
        <f>(L157/$N155)-1</f>
        <v>0.01988991121</v>
      </c>
      <c r="M159" s="597"/>
      <c r="N159" s="598"/>
      <c r="O159" s="599"/>
      <c r="P159" s="600"/>
      <c r="Q159" s="601"/>
      <c r="R159" s="602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 t="s">
        <v>333</v>
      </c>
      <c r="AH159" s="1"/>
      <c r="AI159" s="1"/>
      <c r="AJ159" s="586">
        <f>AJ156*AJ157</f>
        <v>3047221.586</v>
      </c>
      <c r="AK159" s="1"/>
      <c r="AL159" s="586">
        <f>AL156*AL157</f>
        <v>3975391.099</v>
      </c>
      <c r="AM159" s="1"/>
      <c r="AN159" s="586">
        <f>AN156*AN157</f>
        <v>4075626.108</v>
      </c>
      <c r="AO159" s="1"/>
      <c r="AP159" s="586">
        <f>AP156*AP157</f>
        <v>6144768.748</v>
      </c>
      <c r="AQ159" s="1"/>
      <c r="AR159" s="586">
        <f>AR148</f>
        <v>0</v>
      </c>
      <c r="AS159" s="1"/>
      <c r="AT159" s="586">
        <f>SUM(AJ159:AR159)</f>
        <v>17243007.54</v>
      </c>
      <c r="AU159" s="1"/>
      <c r="AV159" s="1"/>
      <c r="AW159" s="1"/>
      <c r="AX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 t="s">
        <v>337</v>
      </c>
      <c r="AH160" s="1"/>
      <c r="AI160" s="1"/>
      <c r="AJ160" s="571">
        <f>AJ159*($AT160-$AR160)/($AT159-$AR159)</f>
        <v>0</v>
      </c>
      <c r="AK160" s="1"/>
      <c r="AL160" s="571">
        <f>AL159*($AT160-$AR160)/($AT159-$AR159)</f>
        <v>0</v>
      </c>
      <c r="AM160" s="1"/>
      <c r="AN160" s="571">
        <f>AN159*($AT160-$AR160)/($AT159-$AR159)</f>
        <v>0</v>
      </c>
      <c r="AO160" s="1"/>
      <c r="AP160" s="571">
        <f>AP159*($AT160-$AR160)/($AT159-$AR159)</f>
        <v>0</v>
      </c>
      <c r="AQ160" s="1"/>
      <c r="AR160" s="295">
        <f>P148*$R26</f>
        <v>0</v>
      </c>
      <c r="AS160" s="1"/>
      <c r="AT160" s="610">
        <f>R148*R$26</f>
        <v>0</v>
      </c>
      <c r="AU160" s="1"/>
      <c r="AV160" s="1"/>
      <c r="AW160" s="1"/>
      <c r="AX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</row>
  </sheetData>
  <mergeCells count="44">
    <mergeCell ref="S2:T2"/>
    <mergeCell ref="M43:O43"/>
    <mergeCell ref="Q43:R43"/>
    <mergeCell ref="M44:O44"/>
    <mergeCell ref="Q44:R44"/>
    <mergeCell ref="P45:P46"/>
    <mergeCell ref="Q45:R46"/>
    <mergeCell ref="M66:O67"/>
    <mergeCell ref="C73:F74"/>
    <mergeCell ref="M45:O46"/>
    <mergeCell ref="M64:O64"/>
    <mergeCell ref="Q64:R64"/>
    <mergeCell ref="M65:O65"/>
    <mergeCell ref="Q65:R65"/>
    <mergeCell ref="P66:P67"/>
    <mergeCell ref="Q66:R67"/>
    <mergeCell ref="M96:O96"/>
    <mergeCell ref="Q96:R96"/>
    <mergeCell ref="M97:O97"/>
    <mergeCell ref="Q97:R97"/>
    <mergeCell ref="M98:O99"/>
    <mergeCell ref="P98:P99"/>
    <mergeCell ref="Q98:R99"/>
    <mergeCell ref="M116:O116"/>
    <mergeCell ref="Q116:R116"/>
    <mergeCell ref="M117:O117"/>
    <mergeCell ref="Q117:R117"/>
    <mergeCell ref="M118:O119"/>
    <mergeCell ref="P118:P119"/>
    <mergeCell ref="Q118:R119"/>
    <mergeCell ref="M156:O156"/>
    <mergeCell ref="Q156:R156"/>
    <mergeCell ref="M157:O157"/>
    <mergeCell ref="Q157:R157"/>
    <mergeCell ref="M158:O159"/>
    <mergeCell ref="P158:P159"/>
    <mergeCell ref="Q158:R159"/>
    <mergeCell ref="M136:O136"/>
    <mergeCell ref="Q136:R136"/>
    <mergeCell ref="M137:O137"/>
    <mergeCell ref="Q137:R137"/>
    <mergeCell ref="M138:O139"/>
    <mergeCell ref="P138:P139"/>
    <mergeCell ref="Q138:R139"/>
  </mergeCells>
  <printOptions horizontalCentered="1" verticalCentered="1"/>
  <pageMargins bottom="0.9067" footer="0.0" header="0.0" left="0.7" right="0.7" top="1.0457"/>
  <pageSetup orientation="landscape" pageOrder="overThenDown"/>
  <headerFooter>
    <oddFooter>&amp;C&amp;F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9">
    <pageSetUpPr fitToPage="1"/>
  </sheetPr>
  <sheetViews>
    <sheetView workbookViewId="0"/>
  </sheetViews>
  <sheetFormatPr customHeight="1" defaultColWidth="12.63" defaultRowHeight="15.0" outlineLevelCol="1"/>
  <cols>
    <col customWidth="1" min="1" max="1" width="4.38"/>
    <col customWidth="1" min="2" max="2" width="25.38"/>
    <col customWidth="1" min="3" max="3" width="1.63"/>
    <col customWidth="1" min="4" max="4" width="12.63"/>
    <col customWidth="1" min="5" max="5" width="1.63"/>
    <col customWidth="1" min="6" max="6" width="12.63"/>
    <col customWidth="1" min="7" max="7" width="1.63"/>
    <col customWidth="1" min="8" max="8" width="12.63"/>
    <col customWidth="1" min="9" max="9" width="1.63"/>
    <col customWidth="1" min="10" max="10" width="12.63"/>
    <col customWidth="1" min="11" max="11" width="1.63"/>
    <col customWidth="1" min="12" max="12" width="12.63"/>
    <col customWidth="1" min="13" max="13" width="1.63"/>
    <col customWidth="1" min="14" max="14" width="12.63"/>
    <col customWidth="1" min="15" max="15" width="1.63"/>
    <col customWidth="1" min="16" max="17" width="12.63"/>
    <col customWidth="1" min="18" max="26" width="8.63"/>
  </cols>
  <sheetData>
    <row r="1" ht="57.75" customHeight="1">
      <c r="A1" s="16"/>
      <c r="B1" s="2" t="str">
        <f>'A Cover'!G8</f>
        <v>Example University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16"/>
      <c r="R1" s="16"/>
      <c r="S1" s="16"/>
      <c r="T1" s="16"/>
      <c r="U1" s="16"/>
      <c r="V1" s="16"/>
      <c r="W1" s="16"/>
      <c r="X1" s="16"/>
    </row>
    <row r="2" ht="14.25" customHeight="1">
      <c r="A2" s="16"/>
      <c r="B2" s="364" t="s">
        <v>308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16"/>
      <c r="R2" s="16"/>
      <c r="S2" s="16"/>
      <c r="T2" s="16"/>
      <c r="U2" s="16"/>
      <c r="V2" s="16"/>
      <c r="W2" s="16"/>
      <c r="X2" s="16"/>
    </row>
    <row r="3" ht="4.5" customHeight="1">
      <c r="A3" s="16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16"/>
      <c r="R3" s="16"/>
      <c r="S3" s="16"/>
      <c r="T3" s="16"/>
      <c r="U3" s="16"/>
      <c r="V3" s="16"/>
      <c r="W3" s="16"/>
      <c r="X3" s="16"/>
    </row>
    <row r="4" ht="14.25" customHeight="1">
      <c r="A4" s="16"/>
      <c r="B4" s="89"/>
      <c r="C4" s="89"/>
      <c r="D4" s="552" t="s">
        <v>309</v>
      </c>
      <c r="E4" s="552"/>
      <c r="F4" s="552" t="s">
        <v>310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16"/>
      <c r="R4" s="16"/>
      <c r="S4" s="16"/>
      <c r="T4" s="16"/>
      <c r="U4" s="16"/>
      <c r="V4" s="16"/>
      <c r="W4" s="16"/>
      <c r="X4" s="16"/>
    </row>
    <row r="5" ht="14.25" customHeight="1">
      <c r="A5" s="16"/>
      <c r="B5" s="180" t="s">
        <v>19</v>
      </c>
      <c r="C5" s="89"/>
      <c r="D5" s="553" t="str">
        <f>'F Population'!P6</f>
        <v>2026 - 27</v>
      </c>
      <c r="E5" s="39"/>
      <c r="F5" s="553" t="str">
        <f>'F Population'!P6</f>
        <v>2026 - 27</v>
      </c>
      <c r="G5" s="39"/>
      <c r="H5" s="553" t="str">
        <f>'F Population'!U6</f>
        <v>2027 - 28</v>
      </c>
      <c r="I5" s="39"/>
      <c r="J5" s="553" t="str">
        <f>'F Population'!W6</f>
        <v>2028 - 29</v>
      </c>
      <c r="K5" s="39"/>
      <c r="L5" s="553" t="str">
        <f>'F Population'!Y6</f>
        <v>2029 - 30</v>
      </c>
      <c r="M5" s="39"/>
      <c r="N5" s="553" t="str">
        <f>'F Population'!AA6</f>
        <v>2030 - 31</v>
      </c>
      <c r="O5" s="554"/>
      <c r="P5" s="553" t="str">
        <f>'F Population'!AC6</f>
        <v>2031 - 32</v>
      </c>
      <c r="Q5" s="16"/>
      <c r="R5" s="16"/>
      <c r="S5" s="16"/>
      <c r="T5" s="16"/>
      <c r="U5" s="16"/>
      <c r="V5" s="16"/>
      <c r="W5" s="16"/>
      <c r="X5" s="16"/>
    </row>
    <row r="6" ht="3.75" customHeight="1">
      <c r="A6" s="16"/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16"/>
      <c r="R6" s="16"/>
      <c r="S6" s="16"/>
      <c r="T6" s="16"/>
      <c r="U6" s="16"/>
      <c r="V6" s="16"/>
      <c r="W6" s="16"/>
      <c r="X6" s="16"/>
    </row>
    <row r="7" ht="14.25" customHeight="1">
      <c r="A7" s="16"/>
      <c r="B7" s="142" t="s">
        <v>312</v>
      </c>
      <c r="C7" s="89"/>
      <c r="D7" s="514">
        <v>4596782.0</v>
      </c>
      <c r="E7" s="89"/>
      <c r="F7" s="514">
        <v>4697359.0</v>
      </c>
      <c r="G7" s="89"/>
      <c r="H7" s="514">
        <v>4750000.0</v>
      </c>
      <c r="I7" s="89"/>
      <c r="J7" s="514">
        <v>4875000.0</v>
      </c>
      <c r="K7" s="89"/>
      <c r="L7" s="514">
        <v>5000000.0</v>
      </c>
      <c r="M7" s="89"/>
      <c r="N7" s="514">
        <v>5200000.0</v>
      </c>
      <c r="O7" s="89"/>
      <c r="P7" s="514">
        <v>5450000.0</v>
      </c>
      <c r="Q7" s="16"/>
      <c r="R7" s="16"/>
      <c r="S7" s="16"/>
      <c r="T7" s="16"/>
      <c r="U7" s="16"/>
      <c r="V7" s="16"/>
      <c r="W7" s="16"/>
      <c r="X7" s="16"/>
    </row>
    <row r="8" ht="6.75" customHeight="1">
      <c r="A8" s="16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16"/>
      <c r="R8" s="16"/>
      <c r="S8" s="16"/>
      <c r="T8" s="16"/>
      <c r="U8" s="16"/>
      <c r="V8" s="16"/>
      <c r="W8" s="16"/>
      <c r="X8" s="16"/>
    </row>
    <row r="9" ht="14.25" customHeight="1">
      <c r="A9" s="16"/>
      <c r="B9" s="142" t="s">
        <v>314</v>
      </c>
      <c r="C9" s="89"/>
      <c r="D9" s="514">
        <v>3318904.0</v>
      </c>
      <c r="E9" s="89"/>
      <c r="F9" s="514">
        <v>3294100.0</v>
      </c>
      <c r="G9" s="89"/>
      <c r="H9" s="514">
        <v>3143700.0</v>
      </c>
      <c r="I9" s="89"/>
      <c r="J9" s="514">
        <v>3000000.0</v>
      </c>
      <c r="K9" s="89"/>
      <c r="L9" s="514">
        <v>2850000.0</v>
      </c>
      <c r="M9" s="89"/>
      <c r="N9" s="514">
        <v>2700000.0</v>
      </c>
      <c r="O9" s="89"/>
      <c r="P9" s="514">
        <v>2600000.0</v>
      </c>
      <c r="Q9" s="16"/>
      <c r="R9" s="16"/>
      <c r="S9" s="16"/>
      <c r="T9" s="16"/>
      <c r="U9" s="16"/>
      <c r="V9" s="16"/>
      <c r="W9" s="16"/>
      <c r="X9" s="16"/>
    </row>
    <row r="10" ht="6.0" customHeight="1">
      <c r="A10" s="16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16"/>
      <c r="R10" s="16"/>
      <c r="S10" s="16"/>
      <c r="T10" s="16"/>
      <c r="U10" s="16"/>
      <c r="V10" s="16"/>
      <c r="W10" s="16"/>
      <c r="X10" s="16"/>
    </row>
    <row r="11" ht="14.25" customHeight="1">
      <c r="A11" s="16"/>
      <c r="B11" s="142" t="s">
        <v>315</v>
      </c>
      <c r="C11" s="89"/>
      <c r="D11" s="514">
        <v>4964578.0</v>
      </c>
      <c r="E11" s="89"/>
      <c r="F11" s="514">
        <v>4876500.0</v>
      </c>
      <c r="G11" s="89"/>
      <c r="H11" s="514">
        <v>4697380.0</v>
      </c>
      <c r="I11" s="89"/>
      <c r="J11" s="514">
        <v>4500000.0</v>
      </c>
      <c r="K11" s="89"/>
      <c r="L11" s="514">
        <v>4400000.0</v>
      </c>
      <c r="M11" s="89"/>
      <c r="N11" s="514">
        <v>4350000.0</v>
      </c>
      <c r="O11" s="89"/>
      <c r="P11" s="514">
        <v>4300000.0</v>
      </c>
      <c r="Q11" s="16"/>
      <c r="R11" s="16"/>
      <c r="S11" s="16"/>
      <c r="T11" s="16"/>
      <c r="U11" s="16"/>
      <c r="V11" s="16"/>
      <c r="W11" s="16"/>
      <c r="X11" s="16"/>
    </row>
    <row r="12" ht="4.5" customHeight="1">
      <c r="A12" s="16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16"/>
      <c r="R12" s="16"/>
      <c r="S12" s="16"/>
      <c r="T12" s="16"/>
      <c r="U12" s="16"/>
      <c r="V12" s="16"/>
      <c r="W12" s="16"/>
      <c r="X12" s="16"/>
    </row>
    <row r="13" ht="14.25" customHeight="1">
      <c r="A13" s="16"/>
      <c r="B13" s="142" t="s">
        <v>316</v>
      </c>
      <c r="C13" s="89"/>
      <c r="D13" s="514">
        <v>3055688.0</v>
      </c>
      <c r="E13" s="89"/>
      <c r="F13" s="514">
        <v>3263297.0</v>
      </c>
      <c r="G13" s="89"/>
      <c r="H13" s="514">
        <v>3400000.0</v>
      </c>
      <c r="I13" s="89"/>
      <c r="J13" s="514">
        <v>3600000.0</v>
      </c>
      <c r="K13" s="89"/>
      <c r="L13" s="514">
        <v>3800000.0</v>
      </c>
      <c r="M13" s="89"/>
      <c r="N13" s="514">
        <v>4100000.0</v>
      </c>
      <c r="O13" s="89"/>
      <c r="P13" s="514">
        <v>4350000.0</v>
      </c>
      <c r="Q13" s="16"/>
      <c r="R13" s="16"/>
      <c r="S13" s="16"/>
      <c r="T13" s="16"/>
      <c r="U13" s="16"/>
      <c r="V13" s="16"/>
      <c r="W13" s="16"/>
      <c r="X13" s="16"/>
    </row>
    <row r="14" ht="4.5" customHeight="1">
      <c r="A14" s="16"/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16"/>
      <c r="R14" s="16"/>
      <c r="S14" s="16"/>
      <c r="T14" s="16"/>
      <c r="U14" s="16"/>
      <c r="V14" s="16"/>
      <c r="W14" s="16"/>
      <c r="X14" s="16"/>
    </row>
    <row r="15" ht="14.25" customHeight="1">
      <c r="A15" s="16"/>
      <c r="B15" s="142" t="s">
        <v>318</v>
      </c>
      <c r="C15" s="89"/>
      <c r="D15" s="514">
        <v>2984116.0</v>
      </c>
      <c r="E15" s="89"/>
      <c r="F15" s="514">
        <v>2765983.0</v>
      </c>
      <c r="G15" s="89"/>
      <c r="H15" s="514">
        <v>2578000.0</v>
      </c>
      <c r="I15" s="89"/>
      <c r="J15" s="514">
        <v>2400000.0</v>
      </c>
      <c r="K15" s="89"/>
      <c r="L15" s="514">
        <v>2350000.0</v>
      </c>
      <c r="M15" s="89"/>
      <c r="N15" s="514">
        <v>2300000.0</v>
      </c>
      <c r="O15" s="89"/>
      <c r="P15" s="514">
        <v>2300000.0</v>
      </c>
      <c r="Q15" s="16"/>
      <c r="R15" s="16"/>
      <c r="S15" s="16"/>
      <c r="T15" s="16"/>
      <c r="U15" s="16"/>
      <c r="V15" s="16"/>
      <c r="W15" s="16"/>
      <c r="X15" s="16"/>
    </row>
    <row r="16" ht="4.5" customHeight="1">
      <c r="A16" s="16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16"/>
      <c r="R16" s="16"/>
      <c r="S16" s="16"/>
      <c r="T16" s="16"/>
      <c r="U16" s="16"/>
      <c r="V16" s="16"/>
      <c r="W16" s="16"/>
      <c r="X16" s="16"/>
    </row>
    <row r="17" ht="14.25" customHeight="1">
      <c r="A17" s="16"/>
      <c r="B17" s="142" t="s">
        <v>319</v>
      </c>
      <c r="C17" s="89"/>
      <c r="D17" s="514"/>
      <c r="E17" s="89"/>
      <c r="F17" s="514"/>
      <c r="G17" s="89"/>
      <c r="H17" s="514">
        <v>596742.0</v>
      </c>
      <c r="I17" s="89"/>
      <c r="J17" s="514">
        <v>1100000.0</v>
      </c>
      <c r="K17" s="89"/>
      <c r="L17" s="514">
        <v>1400000.0</v>
      </c>
      <c r="M17" s="89"/>
      <c r="N17" s="514">
        <v>1560000.0</v>
      </c>
      <c r="O17" s="89"/>
      <c r="P17" s="514">
        <v>1607000.0</v>
      </c>
      <c r="Q17" s="16"/>
      <c r="R17" s="16"/>
      <c r="S17" s="16"/>
      <c r="T17" s="16"/>
      <c r="U17" s="16"/>
      <c r="V17" s="16"/>
      <c r="W17" s="16"/>
      <c r="X17" s="16"/>
    </row>
    <row r="18" ht="4.5" customHeight="1">
      <c r="A18" s="16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16"/>
      <c r="R18" s="16"/>
      <c r="S18" s="16"/>
      <c r="T18" s="16"/>
      <c r="U18" s="16"/>
      <c r="V18" s="16"/>
      <c r="W18" s="16"/>
      <c r="X18" s="16"/>
    </row>
    <row r="19" ht="14.25" customHeight="1">
      <c r="A19" s="16"/>
      <c r="B19" s="142"/>
      <c r="C19" s="89"/>
      <c r="D19" s="514"/>
      <c r="E19" s="89"/>
      <c r="F19" s="514"/>
      <c r="G19" s="89"/>
      <c r="H19" s="514"/>
      <c r="I19" s="89"/>
      <c r="J19" s="514"/>
      <c r="K19" s="89"/>
      <c r="L19" s="514"/>
      <c r="M19" s="89"/>
      <c r="N19" s="514"/>
      <c r="O19" s="89"/>
      <c r="P19" s="514"/>
      <c r="Q19" s="16"/>
      <c r="R19" s="16"/>
      <c r="S19" s="16"/>
      <c r="T19" s="16"/>
      <c r="U19" s="16"/>
      <c r="V19" s="16"/>
      <c r="W19" s="16"/>
      <c r="X19" s="16"/>
    </row>
    <row r="20" ht="4.5" customHeight="1">
      <c r="A20" s="16"/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16"/>
      <c r="R20" s="16"/>
      <c r="S20" s="16"/>
      <c r="T20" s="16"/>
      <c r="U20" s="16"/>
      <c r="V20" s="16"/>
      <c r="W20" s="16"/>
      <c r="X20" s="16"/>
    </row>
    <row r="21" ht="14.25" customHeight="1">
      <c r="A21" s="16"/>
      <c r="B21" s="142"/>
      <c r="C21" s="89"/>
      <c r="D21" s="514"/>
      <c r="E21" s="89"/>
      <c r="F21" s="514"/>
      <c r="G21" s="89"/>
      <c r="H21" s="514"/>
      <c r="I21" s="89"/>
      <c r="J21" s="514"/>
      <c r="K21" s="89"/>
      <c r="L21" s="514"/>
      <c r="M21" s="89"/>
      <c r="N21" s="514"/>
      <c r="O21" s="89"/>
      <c r="P21" s="514"/>
      <c r="Q21" s="16"/>
      <c r="R21" s="16"/>
      <c r="S21" s="16"/>
      <c r="T21" s="16"/>
      <c r="U21" s="16"/>
      <c r="V21" s="16"/>
      <c r="W21" s="16"/>
      <c r="X21" s="16"/>
    </row>
    <row r="22" ht="4.5" customHeight="1">
      <c r="A22" s="16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16"/>
      <c r="R22" s="16"/>
      <c r="S22" s="16"/>
      <c r="T22" s="16"/>
      <c r="U22" s="16"/>
      <c r="V22" s="16"/>
      <c r="W22" s="16"/>
      <c r="X22" s="16"/>
    </row>
    <row r="23" ht="14.25" customHeight="1">
      <c r="A23" s="16"/>
      <c r="B23" s="563" t="s">
        <v>322</v>
      </c>
      <c r="C23" s="89"/>
      <c r="D23" s="564">
        <v>-1071600.0</v>
      </c>
      <c r="E23" s="563"/>
      <c r="F23" s="564">
        <v>-1088743.0</v>
      </c>
      <c r="G23" s="563"/>
      <c r="H23" s="564">
        <v>-1134000.0</v>
      </c>
      <c r="I23" s="563"/>
      <c r="J23" s="564">
        <v>-1167000.0</v>
      </c>
      <c r="K23" s="563"/>
      <c r="L23" s="564">
        <v>-1178000.0</v>
      </c>
      <c r="M23" s="563"/>
      <c r="N23" s="564">
        <v>-1185000.0</v>
      </c>
      <c r="O23" s="563"/>
      <c r="P23" s="564">
        <v>-1200000.0</v>
      </c>
      <c r="Q23" s="16"/>
      <c r="R23" s="16"/>
      <c r="S23" s="16"/>
      <c r="T23" s="16"/>
      <c r="U23" s="16"/>
      <c r="V23" s="16"/>
      <c r="W23" s="16"/>
      <c r="X23" s="16"/>
    </row>
    <row r="24" ht="4.5" customHeight="1">
      <c r="A24" s="16"/>
      <c r="B24" s="89"/>
      <c r="C24" s="89"/>
      <c r="D24" s="337"/>
      <c r="E24" s="89"/>
      <c r="F24" s="337"/>
      <c r="G24" s="89"/>
      <c r="H24" s="337"/>
      <c r="I24" s="89"/>
      <c r="J24" s="337"/>
      <c r="K24" s="89"/>
      <c r="L24" s="337"/>
      <c r="M24" s="89"/>
      <c r="N24" s="337"/>
      <c r="O24" s="89"/>
      <c r="P24" s="337"/>
      <c r="Q24" s="16"/>
      <c r="R24" s="16"/>
      <c r="S24" s="16"/>
      <c r="T24" s="16"/>
      <c r="U24" s="16"/>
      <c r="V24" s="16"/>
      <c r="W24" s="16"/>
      <c r="X24" s="16"/>
    </row>
    <row r="25" ht="4.5" customHeight="1">
      <c r="A25" s="16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16"/>
      <c r="R25" s="16"/>
      <c r="S25" s="16"/>
      <c r="T25" s="16"/>
      <c r="U25" s="16"/>
      <c r="V25" s="16"/>
      <c r="W25" s="16"/>
      <c r="X25" s="16"/>
    </row>
    <row r="26" ht="14.25" customHeight="1">
      <c r="A26" s="16"/>
      <c r="B26" s="180" t="s">
        <v>325</v>
      </c>
      <c r="C26" s="89"/>
      <c r="D26" s="570">
        <f>SUM(D7:D23)</f>
        <v>17848468</v>
      </c>
      <c r="E26" s="89"/>
      <c r="F26" s="570">
        <f>SUM(F7:F23)</f>
        <v>17808496</v>
      </c>
      <c r="G26" s="570"/>
      <c r="H26" s="570">
        <f>SUM(H7:H23)</f>
        <v>18031822</v>
      </c>
      <c r="I26" s="570"/>
      <c r="J26" s="570">
        <f>SUM(J7:J23)</f>
        <v>18308000</v>
      </c>
      <c r="K26" s="570"/>
      <c r="L26" s="570">
        <f>SUM(L7:L23)</f>
        <v>18622000</v>
      </c>
      <c r="M26" s="570"/>
      <c r="N26" s="570">
        <f>SUM(N7:N23)</f>
        <v>19025000</v>
      </c>
      <c r="O26" s="570"/>
      <c r="P26" s="570">
        <f>SUM(P7:P23)</f>
        <v>19407000</v>
      </c>
      <c r="Q26" s="16"/>
      <c r="R26" s="16"/>
      <c r="S26" s="16"/>
      <c r="T26" s="16"/>
      <c r="U26" s="16"/>
      <c r="V26" s="16"/>
      <c r="W26" s="16"/>
      <c r="X26" s="16"/>
    </row>
    <row r="27" ht="4.5" customHeight="1">
      <c r="A27" s="16"/>
      <c r="B27" s="89"/>
      <c r="C27" s="89"/>
      <c r="D27" s="574" t="s">
        <v>329</v>
      </c>
      <c r="E27" s="89"/>
      <c r="F27" s="574" t="s">
        <v>330</v>
      </c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16"/>
      <c r="R27" s="16"/>
      <c r="S27" s="16"/>
      <c r="T27" s="16"/>
      <c r="U27" s="16"/>
      <c r="V27" s="16"/>
      <c r="W27" s="16"/>
      <c r="X27" s="16"/>
    </row>
    <row r="28" ht="14.25" customHeight="1">
      <c r="A28" s="16"/>
      <c r="B28" s="89"/>
      <c r="C28" s="89"/>
      <c r="D28" s="575"/>
      <c r="E28" s="89"/>
      <c r="F28" s="575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16"/>
      <c r="R28" s="16"/>
      <c r="S28" s="16"/>
      <c r="T28" s="16"/>
      <c r="U28" s="16"/>
      <c r="V28" s="16"/>
      <c r="W28" s="16"/>
      <c r="X28" s="16"/>
    </row>
    <row r="29" ht="14.25" customHeight="1">
      <c r="A29" s="16"/>
      <c r="B29" s="180" t="s">
        <v>96</v>
      </c>
      <c r="C29" s="89"/>
      <c r="D29" s="553" t="str">
        <f>'F Population'!P6</f>
        <v>2026 - 27</v>
      </c>
      <c r="E29" s="39"/>
      <c r="F29" s="553" t="str">
        <f>'F Population'!P6</f>
        <v>2026 - 27</v>
      </c>
      <c r="G29" s="39"/>
      <c r="H29" s="553" t="str">
        <f>'F Population'!U6</f>
        <v>2027 - 28</v>
      </c>
      <c r="I29" s="39"/>
      <c r="J29" s="553" t="str">
        <f>'F Population'!W6</f>
        <v>2028 - 29</v>
      </c>
      <c r="K29" s="39"/>
      <c r="L29" s="553" t="str">
        <f>'F Population'!Y6</f>
        <v>2029 - 30</v>
      </c>
      <c r="M29" s="39"/>
      <c r="N29" s="553" t="str">
        <f>'F Population'!AA6</f>
        <v>2030 - 31</v>
      </c>
      <c r="O29" s="554"/>
      <c r="P29" s="553" t="str">
        <f>'F Population'!AC6</f>
        <v>2031 - 32</v>
      </c>
      <c r="Q29" s="16"/>
      <c r="R29" s="16"/>
      <c r="S29" s="16"/>
      <c r="T29" s="16"/>
      <c r="U29" s="16"/>
      <c r="V29" s="16"/>
      <c r="W29" s="16"/>
      <c r="X29" s="16"/>
    </row>
    <row r="30" ht="3.75" customHeight="1">
      <c r="A30" s="16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16"/>
      <c r="R30" s="16"/>
      <c r="S30" s="16"/>
      <c r="T30" s="16"/>
      <c r="U30" s="16"/>
      <c r="V30" s="16"/>
      <c r="W30" s="16"/>
      <c r="X30" s="16"/>
    </row>
    <row r="31" ht="14.25" customHeight="1">
      <c r="A31" s="16"/>
      <c r="B31" s="16" t="str">
        <f>B7</f>
        <v>Online - undergrad</v>
      </c>
      <c r="C31" s="89"/>
      <c r="D31" s="514">
        <v>1064000.0</v>
      </c>
      <c r="E31" s="89"/>
      <c r="F31" s="514">
        <v>1135000.0</v>
      </c>
      <c r="G31" s="89"/>
      <c r="H31" s="514">
        <v>1150000.0</v>
      </c>
      <c r="I31" s="89"/>
      <c r="J31" s="514">
        <v>1200000.0</v>
      </c>
      <c r="K31" s="89"/>
      <c r="L31" s="514">
        <v>1280000.0</v>
      </c>
      <c r="M31" s="89"/>
      <c r="N31" s="514">
        <v>1350000.0</v>
      </c>
      <c r="O31" s="89"/>
      <c r="P31" s="514">
        <v>1500000.0</v>
      </c>
      <c r="Q31" s="16"/>
      <c r="R31" s="16"/>
      <c r="S31" s="16"/>
      <c r="T31" s="16"/>
      <c r="U31" s="16"/>
      <c r="V31" s="16"/>
      <c r="W31" s="16"/>
      <c r="X31" s="16"/>
    </row>
    <row r="32" ht="6.75" customHeight="1">
      <c r="A32" s="16"/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16"/>
      <c r="R32" s="16"/>
      <c r="S32" s="16"/>
      <c r="T32" s="16"/>
      <c r="U32" s="16"/>
      <c r="V32" s="16"/>
      <c r="W32" s="16"/>
      <c r="X32" s="16"/>
    </row>
    <row r="33" ht="14.25" customHeight="1">
      <c r="A33" s="16"/>
      <c r="B33" s="16" t="str">
        <f>B9</f>
        <v>MA Ed</v>
      </c>
      <c r="C33" s="89"/>
      <c r="D33" s="514">
        <v>1704321.0</v>
      </c>
      <c r="E33" s="89"/>
      <c r="F33" s="514">
        <v>1687902.0</v>
      </c>
      <c r="G33" s="89"/>
      <c r="H33" s="514">
        <v>1500000.0</v>
      </c>
      <c r="I33" s="89"/>
      <c r="J33" s="514">
        <v>1400000.0</v>
      </c>
      <c r="K33" s="89"/>
      <c r="L33" s="514">
        <v>1300000.0</v>
      </c>
      <c r="M33" s="89"/>
      <c r="N33" s="514">
        <v>1200000.0</v>
      </c>
      <c r="O33" s="89"/>
      <c r="P33" s="514">
        <v>1300000.0</v>
      </c>
      <c r="Q33" s="16"/>
      <c r="R33" s="16"/>
      <c r="S33" s="16"/>
      <c r="T33" s="16"/>
      <c r="U33" s="16"/>
      <c r="V33" s="16"/>
      <c r="W33" s="16"/>
      <c r="X33" s="16"/>
    </row>
    <row r="34" ht="6.0" customHeight="1">
      <c r="A34" s="16"/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16"/>
      <c r="R34" s="16"/>
      <c r="S34" s="16"/>
      <c r="T34" s="16"/>
      <c r="U34" s="16"/>
      <c r="V34" s="16"/>
      <c r="W34" s="16"/>
      <c r="X34" s="16"/>
    </row>
    <row r="35" ht="14.25" customHeight="1">
      <c r="A35" s="16"/>
      <c r="B35" s="16" t="str">
        <f>B11</f>
        <v>EDD</v>
      </c>
      <c r="C35" s="89"/>
      <c r="D35" s="514">
        <v>2478966.0</v>
      </c>
      <c r="E35" s="89"/>
      <c r="F35" s="514">
        <v>2400000.0</v>
      </c>
      <c r="G35" s="89"/>
      <c r="H35" s="514">
        <v>2300000.0</v>
      </c>
      <c r="I35" s="89"/>
      <c r="J35" s="514">
        <v>2050000.0</v>
      </c>
      <c r="K35" s="89"/>
      <c r="L35" s="514">
        <v>1800000.0</v>
      </c>
      <c r="M35" s="89"/>
      <c r="N35" s="514">
        <v>1700000.0</v>
      </c>
      <c r="O35" s="89"/>
      <c r="P35" s="514">
        <v>1550000.0</v>
      </c>
      <c r="Q35" s="16"/>
      <c r="R35" s="16"/>
      <c r="S35" s="16"/>
      <c r="T35" s="16"/>
      <c r="U35" s="16"/>
      <c r="V35" s="16"/>
      <c r="W35" s="16"/>
      <c r="X35" s="16"/>
    </row>
    <row r="36" ht="4.5" customHeight="1">
      <c r="A36" s="16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16"/>
      <c r="R36" s="16"/>
      <c r="S36" s="16"/>
      <c r="T36" s="16"/>
      <c r="U36" s="16"/>
      <c r="V36" s="16"/>
      <c r="W36" s="16"/>
      <c r="X36" s="16"/>
    </row>
    <row r="37" ht="14.25" customHeight="1">
      <c r="A37" s="16"/>
      <c r="B37" s="16" t="str">
        <f>B13</f>
        <v>PA</v>
      </c>
      <c r="C37" s="89"/>
      <c r="D37" s="514">
        <v>2105000.0</v>
      </c>
      <c r="E37" s="89"/>
      <c r="F37" s="514">
        <v>2203770.0</v>
      </c>
      <c r="G37" s="89"/>
      <c r="H37" s="514">
        <v>2300000.0</v>
      </c>
      <c r="I37" s="89"/>
      <c r="J37" s="514">
        <v>2400000.0</v>
      </c>
      <c r="K37" s="89"/>
      <c r="L37" s="514">
        <v>2500000.0</v>
      </c>
      <c r="M37" s="89"/>
      <c r="N37" s="514">
        <v>2650000.0</v>
      </c>
      <c r="O37" s="89"/>
      <c r="P37" s="514">
        <v>2750000.0</v>
      </c>
      <c r="Q37" s="16"/>
      <c r="R37" s="16"/>
      <c r="S37" s="16"/>
      <c r="T37" s="16"/>
      <c r="U37" s="16"/>
      <c r="V37" s="16"/>
      <c r="W37" s="16"/>
      <c r="X37" s="16"/>
    </row>
    <row r="38" ht="4.5" customHeight="1">
      <c r="A38" s="16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16"/>
      <c r="R38" s="16"/>
      <c r="S38" s="16"/>
      <c r="T38" s="16"/>
      <c r="U38" s="16"/>
      <c r="V38" s="16"/>
      <c r="W38" s="16"/>
      <c r="X38" s="16"/>
    </row>
    <row r="39" ht="14.25" customHeight="1">
      <c r="A39" s="16"/>
      <c r="B39" s="16" t="str">
        <f>B15</f>
        <v>MBA</v>
      </c>
      <c r="C39" s="89"/>
      <c r="D39" s="514">
        <v>1067054.0</v>
      </c>
      <c r="E39" s="89"/>
      <c r="F39" s="514">
        <v>988700.0</v>
      </c>
      <c r="G39" s="89"/>
      <c r="H39" s="514">
        <v>900000.0</v>
      </c>
      <c r="I39" s="89"/>
      <c r="J39" s="514">
        <v>800000.0</v>
      </c>
      <c r="K39" s="89"/>
      <c r="L39" s="514">
        <v>750000.0</v>
      </c>
      <c r="M39" s="89"/>
      <c r="N39" s="514">
        <v>680000.0</v>
      </c>
      <c r="O39" s="89"/>
      <c r="P39" s="514">
        <v>680000.0</v>
      </c>
      <c r="Q39" s="16"/>
      <c r="R39" s="16"/>
      <c r="S39" s="16"/>
      <c r="T39" s="16"/>
      <c r="U39" s="16"/>
      <c r="V39" s="16"/>
      <c r="W39" s="16"/>
      <c r="X39" s="16"/>
    </row>
    <row r="40" ht="4.5" customHeight="1">
      <c r="A40" s="16"/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16"/>
      <c r="R40" s="16"/>
      <c r="S40" s="16"/>
      <c r="T40" s="16"/>
      <c r="U40" s="16"/>
      <c r="V40" s="16"/>
      <c r="W40" s="16"/>
      <c r="X40" s="16"/>
    </row>
    <row r="41" ht="14.25" customHeight="1">
      <c r="A41" s="16"/>
      <c r="B41" s="16" t="str">
        <f>B17</f>
        <v>RN - BSN</v>
      </c>
      <c r="C41" s="89"/>
      <c r="D41" s="514"/>
      <c r="E41" s="89"/>
      <c r="F41" s="514"/>
      <c r="G41" s="89"/>
      <c r="H41" s="514">
        <v>406000.0</v>
      </c>
      <c r="I41" s="89"/>
      <c r="J41" s="514">
        <v>598000.0</v>
      </c>
      <c r="K41" s="89"/>
      <c r="L41" s="514">
        <v>700000.0</v>
      </c>
      <c r="M41" s="89"/>
      <c r="N41" s="514">
        <v>780000.0</v>
      </c>
      <c r="O41" s="89"/>
      <c r="P41" s="514">
        <v>800000.0</v>
      </c>
      <c r="Q41" s="16"/>
      <c r="R41" s="16"/>
      <c r="S41" s="16"/>
      <c r="T41" s="16"/>
      <c r="U41" s="16"/>
      <c r="V41" s="16"/>
      <c r="W41" s="16"/>
      <c r="X41" s="16"/>
    </row>
    <row r="42" ht="4.5" customHeight="1">
      <c r="A42" s="16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16"/>
      <c r="R42" s="16"/>
      <c r="S42" s="16"/>
      <c r="T42" s="16"/>
      <c r="U42" s="16"/>
      <c r="V42" s="16"/>
      <c r="W42" s="16"/>
      <c r="X42" s="16"/>
    </row>
    <row r="43" ht="14.25" customHeight="1">
      <c r="A43" s="16"/>
      <c r="B43" s="16" t="str">
        <f>B19</f>
        <v/>
      </c>
      <c r="C43" s="89"/>
      <c r="D43" s="514"/>
      <c r="E43" s="89"/>
      <c r="F43" s="514"/>
      <c r="G43" s="89"/>
      <c r="H43" s="514"/>
      <c r="I43" s="89"/>
      <c r="J43" s="514"/>
      <c r="K43" s="89"/>
      <c r="L43" s="514"/>
      <c r="M43" s="89"/>
      <c r="N43" s="514"/>
      <c r="O43" s="89"/>
      <c r="P43" s="514"/>
      <c r="Q43" s="16"/>
      <c r="R43" s="16"/>
      <c r="S43" s="16"/>
      <c r="T43" s="16"/>
      <c r="U43" s="16"/>
      <c r="V43" s="16"/>
      <c r="W43" s="16"/>
      <c r="X43" s="16"/>
    </row>
    <row r="44" ht="4.5" customHeight="1">
      <c r="A44" s="16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16"/>
      <c r="R44" s="16"/>
      <c r="S44" s="16"/>
      <c r="T44" s="16"/>
      <c r="U44" s="16"/>
      <c r="V44" s="16"/>
      <c r="W44" s="16"/>
      <c r="X44" s="16"/>
    </row>
    <row r="45" ht="14.25" customHeight="1">
      <c r="A45" s="16"/>
      <c r="B45" s="16" t="str">
        <f>B21</f>
        <v/>
      </c>
      <c r="C45" s="89"/>
      <c r="D45" s="514"/>
      <c r="E45" s="89"/>
      <c r="F45" s="514"/>
      <c r="G45" s="89"/>
      <c r="H45" s="514"/>
      <c r="I45" s="89"/>
      <c r="J45" s="514"/>
      <c r="K45" s="89"/>
      <c r="L45" s="514"/>
      <c r="M45" s="89"/>
      <c r="N45" s="514"/>
      <c r="O45" s="89"/>
      <c r="P45" s="514"/>
      <c r="Q45" s="16"/>
      <c r="R45" s="16"/>
      <c r="S45" s="16"/>
      <c r="T45" s="16"/>
      <c r="U45" s="16"/>
      <c r="V45" s="16"/>
      <c r="W45" s="16"/>
      <c r="X45" s="16"/>
    </row>
    <row r="46" ht="5.25" customHeight="1">
      <c r="A46" s="16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16"/>
      <c r="R46" s="16"/>
      <c r="S46" s="16"/>
      <c r="T46" s="16"/>
      <c r="U46" s="16"/>
      <c r="V46" s="16"/>
      <c r="W46" s="16"/>
      <c r="X46" s="16"/>
    </row>
    <row r="47" ht="14.25" customHeight="1">
      <c r="A47" s="16"/>
      <c r="B47" s="180" t="s">
        <v>325</v>
      </c>
      <c r="C47" s="89"/>
      <c r="D47" s="593">
        <f>SUM(D31:D45)</f>
        <v>8419341</v>
      </c>
      <c r="E47" s="593"/>
      <c r="F47" s="593">
        <f>SUM(F31:F45)</f>
        <v>8415372</v>
      </c>
      <c r="G47" s="593"/>
      <c r="H47" s="593">
        <f>SUM(H31:H45)</f>
        <v>8556000</v>
      </c>
      <c r="I47" s="593"/>
      <c r="J47" s="593">
        <f>SUM(J31:J45)</f>
        <v>8448000</v>
      </c>
      <c r="K47" s="593"/>
      <c r="L47" s="593">
        <f>SUM(L31:L45)</f>
        <v>8330000</v>
      </c>
      <c r="M47" s="593"/>
      <c r="N47" s="593">
        <f>SUM(N31:N45)</f>
        <v>8360000</v>
      </c>
      <c r="O47" s="593"/>
      <c r="P47" s="593">
        <f>SUM(P31:P45)</f>
        <v>8580000</v>
      </c>
      <c r="Q47" s="16"/>
      <c r="R47" s="16"/>
      <c r="S47" s="16"/>
      <c r="T47" s="16"/>
      <c r="U47" s="16"/>
      <c r="V47" s="16"/>
      <c r="W47" s="16"/>
      <c r="X47" s="16"/>
    </row>
    <row r="48" ht="4.5" customHeight="1">
      <c r="A48" s="16"/>
      <c r="B48" s="89"/>
      <c r="C48" s="89"/>
      <c r="D48" s="574" t="s">
        <v>329</v>
      </c>
      <c r="E48" s="89"/>
      <c r="F48" s="574" t="s">
        <v>330</v>
      </c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16"/>
      <c r="R48" s="16"/>
      <c r="S48" s="16"/>
      <c r="T48" s="16"/>
      <c r="U48" s="16"/>
      <c r="V48" s="16"/>
      <c r="W48" s="16"/>
      <c r="X48" s="16"/>
    </row>
    <row r="49" ht="14.25" customHeight="1">
      <c r="A49" s="16"/>
      <c r="B49" s="89"/>
      <c r="C49" s="89"/>
      <c r="D49" s="205"/>
      <c r="E49" s="89"/>
      <c r="F49" s="205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16"/>
      <c r="R49" s="16"/>
      <c r="S49" s="16"/>
      <c r="T49" s="16"/>
      <c r="U49" s="16"/>
      <c r="V49" s="16"/>
      <c r="W49" s="16"/>
      <c r="X49" s="16"/>
    </row>
    <row r="50" ht="14.25" customHeight="1">
      <c r="A50" s="16"/>
      <c r="B50" s="180" t="s">
        <v>338</v>
      </c>
      <c r="C50" s="89"/>
      <c r="D50" s="604">
        <f>D26-D47</f>
        <v>9429127</v>
      </c>
      <c r="E50" s="180"/>
      <c r="F50" s="604">
        <f>F26-F47</f>
        <v>9393124</v>
      </c>
      <c r="G50" s="180"/>
      <c r="H50" s="604">
        <f>H26-H47</f>
        <v>9475822</v>
      </c>
      <c r="I50" s="180"/>
      <c r="J50" s="604">
        <f>J26-J47</f>
        <v>9860000</v>
      </c>
      <c r="K50" s="180"/>
      <c r="L50" s="604">
        <f>L26-L47</f>
        <v>10292000</v>
      </c>
      <c r="M50" s="180"/>
      <c r="N50" s="604">
        <f>N26-N47</f>
        <v>10665000</v>
      </c>
      <c r="O50" s="180"/>
      <c r="P50" s="604">
        <f>P26-P47</f>
        <v>10827000</v>
      </c>
      <c r="Q50" s="16"/>
      <c r="R50" s="16"/>
      <c r="S50" s="16"/>
      <c r="T50" s="16"/>
      <c r="U50" s="16"/>
      <c r="V50" s="16"/>
      <c r="W50" s="16"/>
      <c r="X50" s="16"/>
    </row>
    <row r="51" ht="14.25" customHeight="1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</row>
    <row r="52" ht="14.25" customHeight="1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</row>
    <row r="53" ht="14.25" customHeight="1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</row>
    <row r="54" ht="14.25" customHeight="1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</row>
    <row r="55" ht="14.25" customHeight="1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</row>
    <row r="56" ht="14.25" customHeight="1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</row>
    <row r="57" ht="14.25" customHeight="1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</row>
    <row r="58" ht="14.25" customHeight="1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</row>
    <row r="59" ht="14.25" customHeight="1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</row>
    <row r="60" ht="14.25" customHeight="1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</row>
    <row r="61" ht="14.25" customHeight="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</row>
    <row r="62" ht="14.25" customHeight="1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</row>
    <row r="63" ht="14.25" customHeight="1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</row>
    <row r="64" ht="14.25" customHeight="1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</row>
    <row r="65" ht="14.25" customHeight="1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</row>
    <row r="66" ht="14.25" customHeight="1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</row>
    <row r="67" ht="14.25" customHeight="1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</row>
    <row r="68" ht="14.25" customHeight="1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</row>
    <row r="69" ht="14.25" customHeight="1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</row>
    <row r="70" ht="14.25" customHeight="1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ht="14.25" customHeight="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</row>
    <row r="72" ht="14.25" customHeight="1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</row>
    <row r="73" ht="14.25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ht="14.25" customHeight="1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</row>
    <row r="75" ht="14.25" customHeight="1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</row>
    <row r="76" ht="14.25" customHeight="1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</row>
    <row r="77" ht="14.25" customHeight="1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</row>
    <row r="78" ht="14.25" customHeight="1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</row>
    <row r="79" ht="14.25" customHeight="1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</row>
    <row r="80" ht="14.25" customHeight="1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</row>
    <row r="81" ht="14.25" customHeight="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</row>
    <row r="82" ht="14.25" customHeight="1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</row>
    <row r="83" ht="14.25" customHeight="1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</row>
    <row r="84" ht="14.25" customHeight="1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</row>
    <row r="85" ht="14.25" customHeight="1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  <row r="86" ht="14.25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</row>
    <row r="87" ht="14.25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</row>
    <row r="88" ht="14.25" customHeight="1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</row>
    <row r="89" ht="14.25" customHeight="1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</row>
    <row r="90" ht="14.25" customHeight="1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</row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D27:D28"/>
    <mergeCell ref="F27:F28"/>
    <mergeCell ref="D48:D49"/>
    <mergeCell ref="F48:F49"/>
  </mergeCells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6">
    <pageSetUpPr/>
  </sheetPr>
  <sheetViews>
    <sheetView workbookViewId="0"/>
  </sheetViews>
  <sheetFormatPr customHeight="1" defaultColWidth="12.63" defaultRowHeight="15.0" outlineLevelCol="1"/>
  <cols>
    <col customWidth="1" min="1" max="1" width="3.75"/>
    <col customWidth="1" min="2" max="2" width="15.75"/>
    <col customWidth="1" min="3" max="3" width="1.38"/>
    <col customWidth="1" min="4" max="4" width="13.38"/>
    <col customWidth="1" min="5" max="5" width="2.88"/>
    <col customWidth="1" min="6" max="6" width="11.38"/>
    <col customWidth="1" min="7" max="7" width="3.13"/>
    <col customWidth="1" min="8" max="8" width="14.25"/>
    <col customWidth="1" min="9" max="9" width="2.88"/>
    <col customWidth="1" min="10" max="10" width="11.0"/>
    <col customWidth="1" min="11" max="11" width="3.75"/>
    <col customWidth="1" min="12" max="12" width="11.38"/>
    <col customWidth="1" min="13" max="13" width="1.38"/>
    <col customWidth="1" min="14" max="14" width="11.75"/>
    <col customWidth="1" min="15" max="15" width="1.38"/>
    <col customWidth="1" min="16" max="16" width="11.63"/>
    <col customWidth="1" min="17" max="17" width="3.5"/>
    <col customWidth="1" min="18" max="18" width="11.38"/>
    <col customWidth="1" min="19" max="26" width="9.0"/>
  </cols>
  <sheetData>
    <row r="1" ht="72.75" customHeight="1">
      <c r="A1" s="1"/>
      <c r="B1" s="2" t="str">
        <f>'A Cover'!G$8</f>
        <v>Example University</v>
      </c>
      <c r="C1" s="690"/>
      <c r="D1" s="691"/>
      <c r="E1" s="691"/>
      <c r="F1" s="691"/>
      <c r="G1" s="692"/>
      <c r="H1" s="691"/>
      <c r="I1" s="691"/>
      <c r="J1" s="691"/>
      <c r="K1" s="691"/>
      <c r="L1" s="691"/>
      <c r="M1" s="691"/>
      <c r="N1" s="694"/>
      <c r="O1" s="691"/>
      <c r="P1" s="695"/>
      <c r="Q1" s="695"/>
      <c r="R1" s="481"/>
      <c r="S1" s="694"/>
      <c r="T1" s="694"/>
      <c r="U1" s="694"/>
      <c r="V1" s="1"/>
      <c r="W1" s="1"/>
      <c r="X1" s="1"/>
      <c r="Y1" s="1"/>
      <c r="Z1" s="1"/>
    </row>
    <row r="2" ht="18.75" customHeight="1">
      <c r="A2" s="1"/>
      <c r="B2" s="699" t="s">
        <v>357</v>
      </c>
      <c r="C2" s="700"/>
      <c r="D2" s="691"/>
      <c r="E2" s="691"/>
      <c r="F2" s="691"/>
      <c r="G2" s="691"/>
      <c r="H2" s="29" t="s">
        <v>0</v>
      </c>
      <c r="I2" s="34" t="s">
        <v>9</v>
      </c>
      <c r="J2" s="692"/>
      <c r="K2" s="692"/>
      <c r="L2" s="694"/>
      <c r="M2" s="694"/>
      <c r="N2" s="481"/>
      <c r="O2" s="481"/>
      <c r="P2" s="224">
        <f>'A Cover'!G$12</f>
        <v>46307</v>
      </c>
      <c r="Q2" s="35"/>
      <c r="R2" s="21"/>
      <c r="S2" s="694"/>
      <c r="T2" s="694"/>
      <c r="U2" s="694"/>
      <c r="V2" s="1"/>
      <c r="W2" s="1"/>
      <c r="X2" s="1"/>
      <c r="Y2" s="1"/>
      <c r="Z2" s="1"/>
    </row>
    <row r="3" ht="4.5" customHeight="1">
      <c r="A3" s="1"/>
      <c r="B3" s="700"/>
      <c r="C3" s="700"/>
      <c r="D3" s="700"/>
      <c r="E3" s="700"/>
      <c r="F3" s="700"/>
      <c r="G3" s="692"/>
      <c r="H3" s="700"/>
      <c r="I3" s="700"/>
      <c r="J3" s="692"/>
      <c r="K3" s="692"/>
      <c r="L3" s="700"/>
      <c r="M3" s="700"/>
      <c r="N3" s="700"/>
      <c r="O3" s="700"/>
      <c r="P3" s="701"/>
      <c r="Q3" s="701"/>
      <c r="R3" s="280"/>
      <c r="S3" s="694"/>
      <c r="T3" s="694"/>
      <c r="U3" s="694"/>
      <c r="V3" s="1"/>
      <c r="W3" s="1"/>
      <c r="X3" s="1"/>
      <c r="Y3" s="1"/>
      <c r="Z3" s="1"/>
    </row>
    <row r="4" ht="30.75" customHeight="1">
      <c r="A4" s="702" t="s">
        <v>256</v>
      </c>
      <c r="B4" s="702" t="str">
        <f>'F Population'!P6</f>
        <v>2026 - 27</v>
      </c>
      <c r="C4" s="702"/>
      <c r="D4" s="703" t="s">
        <v>358</v>
      </c>
      <c r="E4" s="704"/>
      <c r="F4" s="704"/>
      <c r="G4" s="705"/>
      <c r="H4" s="706"/>
      <c r="I4" s="706"/>
      <c r="J4" s="705"/>
      <c r="K4" s="705"/>
      <c r="L4" s="707"/>
      <c r="M4" s="707"/>
      <c r="N4" s="707"/>
      <c r="O4" s="707"/>
      <c r="P4" s="708"/>
      <c r="Q4" s="709"/>
      <c r="R4" s="708"/>
      <c r="S4" s="710"/>
      <c r="T4" s="710"/>
      <c r="U4" s="710"/>
      <c r="V4" s="710"/>
      <c r="W4" s="710"/>
      <c r="X4" s="710"/>
      <c r="Y4" s="710"/>
      <c r="Z4" s="710"/>
    </row>
    <row r="5" ht="17.25" customHeight="1">
      <c r="A5" s="1"/>
      <c r="B5" s="694"/>
      <c r="C5" s="694"/>
      <c r="D5" s="711" t="s">
        <v>359</v>
      </c>
      <c r="E5" s="712"/>
      <c r="F5" s="711" t="s">
        <v>360</v>
      </c>
      <c r="G5" s="715"/>
      <c r="H5" s="711" t="s">
        <v>361</v>
      </c>
      <c r="I5" s="716"/>
      <c r="J5" s="711" t="s">
        <v>362</v>
      </c>
      <c r="K5" s="715"/>
      <c r="L5" s="711" t="s">
        <v>363</v>
      </c>
      <c r="M5" s="717"/>
      <c r="N5" s="711" t="s">
        <v>362</v>
      </c>
      <c r="O5" s="715"/>
      <c r="P5" s="711" t="s">
        <v>126</v>
      </c>
      <c r="Q5" s="280"/>
      <c r="R5" s="280"/>
      <c r="S5" s="694"/>
      <c r="T5" s="694"/>
      <c r="U5" s="694"/>
      <c r="V5" s="1"/>
      <c r="W5" s="1"/>
      <c r="X5" s="1"/>
      <c r="Y5" s="1"/>
      <c r="Z5" s="1"/>
    </row>
    <row r="6" ht="6.0" customHeight="1">
      <c r="A6" s="1"/>
      <c r="B6" s="718"/>
      <c r="C6" s="694"/>
      <c r="D6" s="694"/>
      <c r="E6" s="694"/>
      <c r="F6" s="694"/>
      <c r="G6" s="692"/>
      <c r="H6" s="694"/>
      <c r="I6" s="694"/>
      <c r="J6" s="692"/>
      <c r="K6" s="692"/>
      <c r="L6" s="694"/>
      <c r="M6" s="694"/>
      <c r="N6" s="694"/>
      <c r="O6" s="694"/>
      <c r="P6" s="280"/>
      <c r="Q6" s="280"/>
      <c r="R6" s="280"/>
      <c r="S6" s="694"/>
      <c r="T6" s="694"/>
      <c r="U6" s="694"/>
      <c r="V6" s="1"/>
      <c r="W6" s="1"/>
      <c r="X6" s="1"/>
      <c r="Y6" s="1"/>
      <c r="Z6" s="1"/>
    </row>
    <row r="7" ht="14.25" customHeight="1">
      <c r="A7" s="1"/>
      <c r="B7" s="718" t="s">
        <v>364</v>
      </c>
      <c r="C7" s="718"/>
      <c r="D7" s="694"/>
      <c r="E7" s="694"/>
      <c r="F7" s="694"/>
      <c r="G7" s="692"/>
      <c r="H7" s="694"/>
      <c r="I7" s="694"/>
      <c r="J7" s="692"/>
      <c r="K7" s="692"/>
      <c r="L7" s="694"/>
      <c r="M7" s="694"/>
      <c r="N7" s="694"/>
      <c r="O7" s="694"/>
      <c r="P7" s="280"/>
      <c r="Q7" s="542"/>
      <c r="R7" s="280"/>
      <c r="S7" s="694"/>
      <c r="T7" s="694"/>
      <c r="U7" s="694"/>
      <c r="V7" s="1"/>
      <c r="W7" s="1"/>
      <c r="X7" s="1"/>
      <c r="Y7" s="1"/>
      <c r="Z7" s="1"/>
    </row>
    <row r="8" ht="5.25" customHeight="1">
      <c r="A8" s="1"/>
      <c r="B8" s="719"/>
      <c r="C8" s="719"/>
      <c r="D8" s="694"/>
      <c r="E8" s="694"/>
      <c r="F8" s="694"/>
      <c r="G8" s="692"/>
      <c r="H8" s="692"/>
      <c r="I8" s="692"/>
      <c r="J8" s="692"/>
      <c r="K8" s="692"/>
      <c r="L8" s="692"/>
      <c r="M8" s="692"/>
      <c r="N8" s="692"/>
      <c r="O8" s="692"/>
      <c r="P8" s="692"/>
      <c r="Q8" s="692"/>
      <c r="R8" s="692"/>
      <c r="S8" s="694"/>
      <c r="T8" s="694"/>
      <c r="U8" s="694"/>
      <c r="V8" s="1"/>
      <c r="W8" s="1"/>
      <c r="X8" s="1"/>
      <c r="Y8" s="1"/>
      <c r="Z8" s="1"/>
    </row>
    <row r="9" ht="14.25" customHeight="1">
      <c r="A9" s="1"/>
      <c r="B9" s="694" t="s">
        <v>365</v>
      </c>
      <c r="C9" s="694"/>
      <c r="D9" s="720"/>
      <c r="E9" s="694"/>
      <c r="F9" s="720"/>
      <c r="G9" s="692"/>
      <c r="H9" s="694">
        <f>'G Price-Aid'!R32</f>
        <v>28471936</v>
      </c>
      <c r="I9" s="305"/>
      <c r="J9" s="692">
        <f>IF('F Population'!R41="",'F Population'!P44,'F Population'!R44)</f>
        <v>0.5098743268</v>
      </c>
      <c r="K9" s="692"/>
      <c r="L9" s="694">
        <f>IF(D9&lt;&gt;"",IF(D9&lt;&gt;0,IF(D9&lt;0,-D9,D9),'G Price-Aid'!AT32),'G Price-Aid'!AT32)</f>
        <v>27346905.09</v>
      </c>
      <c r="M9" s="694"/>
      <c r="N9" s="692">
        <f>1-J9</f>
        <v>0.4901256732</v>
      </c>
      <c r="O9" s="692"/>
      <c r="P9" s="280">
        <f>F9+H9+L9</f>
        <v>55818841.09</v>
      </c>
      <c r="Q9" s="280"/>
      <c r="R9" s="280"/>
      <c r="S9" s="694"/>
      <c r="T9" s="694"/>
      <c r="U9" s="694"/>
      <c r="V9" s="1"/>
      <c r="W9" s="1"/>
      <c r="X9" s="1"/>
      <c r="Y9" s="1"/>
      <c r="Z9" s="1"/>
    </row>
    <row r="10" ht="4.5" customHeight="1">
      <c r="A10" s="1"/>
      <c r="B10" s="694"/>
      <c r="C10" s="694"/>
      <c r="D10" s="694"/>
      <c r="E10" s="694"/>
      <c r="F10" s="694"/>
      <c r="G10" s="692"/>
      <c r="H10" s="694"/>
      <c r="I10" s="305"/>
      <c r="J10" s="692"/>
      <c r="K10" s="692"/>
      <c r="L10" s="694"/>
      <c r="M10" s="694"/>
      <c r="N10" s="692"/>
      <c r="O10" s="692"/>
      <c r="P10" s="280"/>
      <c r="Q10" s="280"/>
      <c r="R10" s="280"/>
      <c r="S10" s="694"/>
      <c r="T10" s="694"/>
      <c r="U10" s="694"/>
      <c r="V10" s="1"/>
      <c r="W10" s="1"/>
      <c r="X10" s="1"/>
      <c r="Y10" s="1"/>
      <c r="Z10" s="1"/>
    </row>
    <row r="11" ht="14.25" customHeight="1">
      <c r="A11" s="1"/>
      <c r="B11" s="694" t="s">
        <v>171</v>
      </c>
      <c r="C11" s="694"/>
      <c r="D11" s="694"/>
      <c r="E11" s="694"/>
      <c r="F11" s="720"/>
      <c r="G11" s="692"/>
      <c r="H11" s="722">
        <f>(P11-F11)*J11</f>
        <v>27475823.35</v>
      </c>
      <c r="I11" s="694"/>
      <c r="J11" s="692">
        <f>'F Population'!S44</f>
        <v>0.5077183507</v>
      </c>
      <c r="K11" s="692"/>
      <c r="L11" s="722">
        <f>(P11-F11)*N11</f>
        <v>26640446.65</v>
      </c>
      <c r="M11" s="694"/>
      <c r="N11" s="692">
        <f>1-J11</f>
        <v>0.4922816493</v>
      </c>
      <c r="O11" s="692"/>
      <c r="P11" s="723">
        <f>'E Budg CY'!F6</f>
        <v>54116270</v>
      </c>
      <c r="Q11" s="280"/>
      <c r="R11" s="280">
        <f>P9-P11</f>
        <v>1702571.094</v>
      </c>
      <c r="S11" s="694"/>
      <c r="T11" s="694"/>
      <c r="U11" s="694"/>
      <c r="V11" s="1"/>
      <c r="W11" s="1"/>
      <c r="X11" s="1"/>
      <c r="Y11" s="1"/>
      <c r="Z11" s="1"/>
    </row>
    <row r="12" ht="6.0" customHeight="1">
      <c r="A12" s="1"/>
      <c r="B12" s="694"/>
      <c r="C12" s="694"/>
      <c r="D12" s="694"/>
      <c r="E12" s="694"/>
      <c r="F12" s="694"/>
      <c r="G12" s="692"/>
      <c r="H12" s="694"/>
      <c r="I12" s="694"/>
      <c r="J12" s="692"/>
      <c r="K12" s="692"/>
      <c r="L12" s="694"/>
      <c r="M12" s="694"/>
      <c r="N12" s="692"/>
      <c r="O12" s="692"/>
      <c r="P12" s="280"/>
      <c r="Q12" s="280"/>
      <c r="R12" s="280"/>
      <c r="S12" s="694"/>
      <c r="T12" s="694"/>
      <c r="U12" s="694"/>
      <c r="V12" s="1"/>
      <c r="W12" s="1"/>
      <c r="X12" s="1"/>
      <c r="Y12" s="1"/>
      <c r="Z12" s="1"/>
    </row>
    <row r="13" ht="14.25" customHeight="1">
      <c r="A13" s="1"/>
      <c r="B13" s="718" t="s">
        <v>366</v>
      </c>
      <c r="C13" s="718"/>
      <c r="D13" s="707"/>
      <c r="E13" s="707"/>
      <c r="F13" s="707"/>
      <c r="G13" s="705"/>
      <c r="H13" s="725"/>
      <c r="I13" s="725"/>
      <c r="J13" s="692"/>
      <c r="K13" s="692"/>
      <c r="L13" s="725"/>
      <c r="M13" s="725"/>
      <c r="N13" s="694"/>
      <c r="O13" s="694"/>
      <c r="P13" s="542"/>
      <c r="Q13" s="542"/>
      <c r="R13" s="280"/>
      <c r="S13" s="694"/>
      <c r="T13" s="694"/>
      <c r="U13" s="694"/>
      <c r="V13" s="1"/>
      <c r="W13" s="1"/>
      <c r="X13" s="1"/>
      <c r="Y13" s="1"/>
      <c r="Z13" s="1"/>
    </row>
    <row r="14" ht="14.25" customHeight="1">
      <c r="A14" s="1"/>
      <c r="B14" s="694" t="s">
        <v>365</v>
      </c>
      <c r="C14" s="694"/>
      <c r="D14" s="720"/>
      <c r="E14" s="694"/>
      <c r="F14" s="694"/>
      <c r="G14" s="692"/>
      <c r="H14" s="694">
        <f>-'G Price-Aid'!R34</f>
        <v>-14339110.67</v>
      </c>
      <c r="I14" s="305"/>
      <c r="J14" s="692">
        <f>J9</f>
        <v>0.5098743268</v>
      </c>
      <c r="K14" s="692"/>
      <c r="L14" s="694">
        <f>IF(D14&lt;&gt;"",IF(D14&lt;&gt;0,IF(D14&gt;0,-D14,D14),-'G Price-Aid'!AT34),-'G Price-Aid'!AT34)</f>
        <v>-13908937.35</v>
      </c>
      <c r="M14" s="280"/>
      <c r="N14" s="692">
        <f>N9</f>
        <v>0.4901256732</v>
      </c>
      <c r="O14" s="692"/>
      <c r="P14" s="280">
        <f>H14+L14</f>
        <v>-28248048.02</v>
      </c>
      <c r="Q14" s="280"/>
      <c r="R14" s="280"/>
      <c r="S14" s="694"/>
      <c r="T14" s="694"/>
      <c r="U14" s="694"/>
      <c r="V14" s="1"/>
      <c r="W14" s="1"/>
      <c r="X14" s="1"/>
      <c r="Y14" s="1"/>
      <c r="Z14" s="1"/>
    </row>
    <row r="15" ht="14.25" customHeight="1">
      <c r="A15" s="1"/>
      <c r="B15" s="694" t="s">
        <v>171</v>
      </c>
      <c r="C15" s="727"/>
      <c r="D15" s="35"/>
      <c r="E15" s="21"/>
      <c r="F15" s="694"/>
      <c r="G15" s="692"/>
      <c r="H15" s="731">
        <f>(P15-'G Price-Aid'!F20-'G Price-Aid'!F18)*J11+('G Price-Aid'!F18+'G Price-Aid'!F20)/2</f>
        <v>-13382901.15</v>
      </c>
      <c r="I15" s="280"/>
      <c r="J15" s="692">
        <f>J11</f>
        <v>0.5077183507</v>
      </c>
      <c r="K15" s="692"/>
      <c r="L15" s="731">
        <f>P15-H15</f>
        <v>-12940737.85</v>
      </c>
      <c r="M15" s="280"/>
      <c r="N15" s="692">
        <f>N11</f>
        <v>0.4922816493</v>
      </c>
      <c r="O15" s="692"/>
      <c r="P15" s="723">
        <f>'E Budg CY'!F8+'E Budg CY'!F10</f>
        <v>-26323639</v>
      </c>
      <c r="Q15" s="280"/>
      <c r="R15" s="723">
        <f>P14-P15</f>
        <v>-1924409.021</v>
      </c>
      <c r="S15" s="694"/>
      <c r="T15" s="694"/>
      <c r="U15" s="694"/>
      <c r="V15" s="1"/>
      <c r="W15" s="1"/>
      <c r="X15" s="1"/>
      <c r="Y15" s="1"/>
      <c r="Z15" s="1"/>
    </row>
    <row r="16" ht="4.5" customHeight="1">
      <c r="A16" s="1"/>
      <c r="B16" s="694"/>
      <c r="C16" s="694"/>
      <c r="D16" s="694"/>
      <c r="E16" s="694"/>
      <c r="F16" s="694"/>
      <c r="G16" s="692"/>
      <c r="H16" s="694"/>
      <c r="I16" s="694"/>
      <c r="J16" s="692"/>
      <c r="K16" s="692"/>
      <c r="L16" s="694"/>
      <c r="M16" s="694"/>
      <c r="N16" s="692"/>
      <c r="O16" s="692"/>
      <c r="P16" s="280"/>
      <c r="Q16" s="280"/>
      <c r="R16" s="280"/>
      <c r="S16" s="694"/>
      <c r="T16" s="694"/>
      <c r="U16" s="694"/>
      <c r="V16" s="1"/>
      <c r="W16" s="1"/>
      <c r="X16" s="1"/>
      <c r="Y16" s="1"/>
      <c r="Z16" s="1"/>
    </row>
    <row r="17" ht="14.25" customHeight="1">
      <c r="A17" s="1"/>
      <c r="B17" s="718" t="s">
        <v>370</v>
      </c>
      <c r="C17" s="718"/>
      <c r="D17" s="707"/>
      <c r="E17" s="707"/>
      <c r="F17" s="707"/>
      <c r="G17" s="705"/>
      <c r="H17" s="694"/>
      <c r="I17" s="694"/>
      <c r="J17" s="692"/>
      <c r="K17" s="692"/>
      <c r="L17" s="694"/>
      <c r="M17" s="694"/>
      <c r="N17" s="692"/>
      <c r="O17" s="692"/>
      <c r="P17" s="280"/>
      <c r="Q17" s="280"/>
      <c r="R17" s="280"/>
      <c r="S17" s="694"/>
      <c r="T17" s="694"/>
      <c r="U17" s="694"/>
      <c r="V17" s="1"/>
      <c r="W17" s="1"/>
      <c r="X17" s="1"/>
      <c r="Y17" s="1"/>
      <c r="Z17" s="1"/>
    </row>
    <row r="18" ht="14.25" customHeight="1">
      <c r="A18" s="1"/>
      <c r="B18" s="694" t="s">
        <v>365</v>
      </c>
      <c r="C18" s="694"/>
      <c r="D18" s="694" t="str">
        <f>IF((D9+D14)&lt;&gt;"",IF((D9+D14)&lt;&gt;0,IF(D14&lt;0,D9+D14,D9-D14),""),"")</f>
        <v/>
      </c>
      <c r="E18" s="694"/>
      <c r="F18" s="694" t="str">
        <f>F9</f>
        <v/>
      </c>
      <c r="G18" s="692"/>
      <c r="H18" s="694">
        <f>H9+H14</f>
        <v>14132825.33</v>
      </c>
      <c r="I18" s="694"/>
      <c r="J18" s="692">
        <f t="shared" ref="J18:J19" si="1">H18/P18</f>
        <v>0.5126013347</v>
      </c>
      <c r="K18" s="692"/>
      <c r="L18" s="694">
        <f>L9+L14</f>
        <v>13437967.74</v>
      </c>
      <c r="M18" s="694"/>
      <c r="N18" s="692">
        <f t="shared" ref="N18:N19" si="2">L18/P18</f>
        <v>0.4873986653</v>
      </c>
      <c r="O18" s="692"/>
      <c r="P18" s="280">
        <f>P9+P14</f>
        <v>27570793.07</v>
      </c>
      <c r="Q18" s="280"/>
      <c r="R18" s="280"/>
      <c r="S18" s="694"/>
      <c r="T18" s="694"/>
      <c r="U18" s="694"/>
      <c r="V18" s="1"/>
      <c r="W18" s="1"/>
      <c r="X18" s="1"/>
      <c r="Y18" s="1"/>
      <c r="Z18" s="1"/>
    </row>
    <row r="19" ht="14.25" customHeight="1">
      <c r="A19" s="1"/>
      <c r="B19" s="694" t="s">
        <v>171</v>
      </c>
      <c r="C19" s="694"/>
      <c r="D19" s="694"/>
      <c r="E19" s="694"/>
      <c r="F19" s="722" t="str">
        <f>F11</f>
        <v/>
      </c>
      <c r="G19" s="692"/>
      <c r="H19" s="722">
        <f>H11+H15</f>
        <v>14092922.2</v>
      </c>
      <c r="I19" s="694"/>
      <c r="J19" s="692">
        <f t="shared" si="1"/>
        <v>0.5070740586</v>
      </c>
      <c r="K19" s="692"/>
      <c r="L19" s="722">
        <f>L11+L15</f>
        <v>13699708.8</v>
      </c>
      <c r="M19" s="694"/>
      <c r="N19" s="692">
        <f t="shared" si="2"/>
        <v>0.4929259414</v>
      </c>
      <c r="O19" s="692"/>
      <c r="P19" s="723">
        <f>P11+P15</f>
        <v>27792631</v>
      </c>
      <c r="Q19" s="280"/>
      <c r="R19" s="280">
        <f>P18-P19</f>
        <v>-221837.9265</v>
      </c>
      <c r="S19" s="694"/>
      <c r="T19" s="694"/>
      <c r="U19" s="694"/>
      <c r="V19" s="1"/>
      <c r="W19" s="1"/>
      <c r="X19" s="1"/>
      <c r="Y19" s="1"/>
      <c r="Z19" s="1"/>
    </row>
    <row r="20" ht="5.25" customHeight="1">
      <c r="A20" s="1"/>
      <c r="B20" s="694"/>
      <c r="C20" s="694"/>
      <c r="D20" s="694"/>
      <c r="E20" s="694"/>
      <c r="F20" s="694"/>
      <c r="G20" s="692"/>
      <c r="H20" s="694"/>
      <c r="I20" s="694"/>
      <c r="J20" s="692"/>
      <c r="K20" s="692"/>
      <c r="L20" s="694"/>
      <c r="M20" s="694"/>
      <c r="N20" s="692"/>
      <c r="O20" s="692"/>
      <c r="P20" s="280"/>
      <c r="Q20" s="280"/>
      <c r="R20" s="280"/>
      <c r="S20" s="694"/>
      <c r="T20" s="694"/>
      <c r="U20" s="694"/>
      <c r="V20" s="1"/>
      <c r="W20" s="1"/>
      <c r="X20" s="1"/>
      <c r="Y20" s="1"/>
      <c r="Z20" s="1"/>
    </row>
    <row r="21" ht="14.25" customHeight="1">
      <c r="A21" s="1"/>
      <c r="B21" s="718" t="s">
        <v>374</v>
      </c>
      <c r="C21" s="718"/>
      <c r="D21" s="707"/>
      <c r="E21" s="707"/>
      <c r="F21" s="694"/>
      <c r="G21" s="694"/>
      <c r="H21" s="694"/>
      <c r="I21" s="694"/>
      <c r="J21" s="694"/>
      <c r="K21" s="694"/>
      <c r="L21" s="759" t="s">
        <v>376</v>
      </c>
      <c r="M21" s="760"/>
      <c r="N21" s="759" t="s">
        <v>377</v>
      </c>
      <c r="O21" s="761"/>
      <c r="P21" s="763"/>
      <c r="Q21" s="280"/>
      <c r="R21" s="280"/>
      <c r="S21" s="694"/>
      <c r="T21" s="694"/>
      <c r="U21" s="694"/>
      <c r="V21" s="1"/>
      <c r="W21" s="1"/>
      <c r="X21" s="1"/>
      <c r="Y21" s="1"/>
      <c r="Z21" s="1"/>
    </row>
    <row r="22" ht="14.25" customHeight="1">
      <c r="A22" s="1"/>
      <c r="B22" s="694" t="s">
        <v>378</v>
      </c>
      <c r="C22" s="694"/>
      <c r="D22" s="694"/>
      <c r="E22" s="694"/>
      <c r="F22" s="694"/>
      <c r="G22" s="694"/>
      <c r="H22" s="694"/>
      <c r="I22" s="694"/>
      <c r="J22" s="694"/>
      <c r="K22" s="694"/>
      <c r="L22" s="694">
        <f>SUM('H Non trad'!F7:F21)</f>
        <v>18897239</v>
      </c>
      <c r="M22" s="694"/>
      <c r="N22" s="694">
        <f>'H Non trad'!F23</f>
        <v>-1088743</v>
      </c>
      <c r="O22" s="694"/>
      <c r="P22" s="280">
        <f>SUM(F22:N22)</f>
        <v>17808496</v>
      </c>
      <c r="Q22" s="280"/>
      <c r="R22" s="280"/>
      <c r="S22" s="694"/>
      <c r="T22" s="694"/>
      <c r="U22" s="694"/>
      <c r="V22" s="1"/>
      <c r="W22" s="1"/>
      <c r="X22" s="1"/>
      <c r="Y22" s="1"/>
      <c r="Z22" s="1"/>
    </row>
    <row r="23" ht="14.25" customHeight="1">
      <c r="A23" s="1"/>
      <c r="B23" s="694" t="s">
        <v>171</v>
      </c>
      <c r="C23" s="694"/>
      <c r="D23" s="694"/>
      <c r="E23" s="694"/>
      <c r="F23" s="694"/>
      <c r="G23" s="692"/>
      <c r="H23" s="694"/>
      <c r="I23" s="694"/>
      <c r="J23" s="692"/>
      <c r="K23" s="692"/>
      <c r="L23" s="694">
        <f>SUM('H Non trad'!D7:D21)</f>
        <v>18920068</v>
      </c>
      <c r="M23" s="694"/>
      <c r="N23" s="694">
        <f>'H Non trad'!D23</f>
        <v>-1071600</v>
      </c>
      <c r="O23" s="694"/>
      <c r="P23" s="723">
        <f>L23+N23</f>
        <v>17848468</v>
      </c>
      <c r="Q23" s="280"/>
      <c r="R23" s="280">
        <f>P22-P23</f>
        <v>-39972</v>
      </c>
      <c r="S23" s="694"/>
      <c r="T23" s="694"/>
      <c r="U23" s="694"/>
      <c r="V23" s="1"/>
      <c r="W23" s="1"/>
      <c r="X23" s="1"/>
      <c r="Y23" s="1"/>
      <c r="Z23" s="1"/>
    </row>
    <row r="24" ht="5.25" customHeight="1">
      <c r="A24" s="1"/>
      <c r="B24" s="719"/>
      <c r="C24" s="719"/>
      <c r="D24" s="694"/>
      <c r="E24" s="694"/>
      <c r="F24" s="694"/>
      <c r="G24" s="692"/>
      <c r="H24" s="694"/>
      <c r="I24" s="694"/>
      <c r="J24" s="692"/>
      <c r="K24" s="692"/>
      <c r="L24" s="694"/>
      <c r="M24" s="694"/>
      <c r="N24" s="694"/>
      <c r="O24" s="694"/>
      <c r="P24" s="280"/>
      <c r="Q24" s="280"/>
      <c r="R24" s="280"/>
      <c r="S24" s="694"/>
      <c r="T24" s="694"/>
      <c r="U24" s="694"/>
      <c r="V24" s="1"/>
      <c r="W24" s="1"/>
      <c r="X24" s="1"/>
      <c r="Y24" s="1"/>
      <c r="Z24" s="1"/>
    </row>
    <row r="25" ht="14.25" customHeight="1">
      <c r="A25" s="1"/>
      <c r="B25" s="718" t="s">
        <v>381</v>
      </c>
      <c r="C25" s="718"/>
      <c r="D25" s="769" t="s">
        <v>382</v>
      </c>
      <c r="E25" s="770"/>
      <c r="F25" s="771" t="s">
        <v>383</v>
      </c>
      <c r="G25" s="772"/>
      <c r="H25" s="773" t="s">
        <v>384</v>
      </c>
      <c r="I25" s="774"/>
      <c r="J25" s="775"/>
      <c r="K25" s="775"/>
      <c r="L25" s="773" t="s">
        <v>363</v>
      </c>
      <c r="M25" s="774"/>
      <c r="N25" s="775"/>
      <c r="O25" s="775"/>
      <c r="P25" s="776" t="s">
        <v>126</v>
      </c>
      <c r="Q25" s="280"/>
      <c r="R25" s="280"/>
      <c r="S25" s="694"/>
      <c r="T25" s="694"/>
      <c r="U25" s="694"/>
      <c r="V25" s="1"/>
      <c r="W25" s="1"/>
      <c r="X25" s="1"/>
      <c r="Y25" s="1"/>
      <c r="Z25" s="1"/>
    </row>
    <row r="26" ht="14.25" customHeight="1">
      <c r="A26" s="1"/>
      <c r="B26" s="694" t="s">
        <v>149</v>
      </c>
      <c r="C26" s="694"/>
      <c r="D26" s="720"/>
      <c r="E26" s="694"/>
      <c r="F26" s="694">
        <f>'E Budg CY'!F140*J$11</f>
        <v>2424517.595</v>
      </c>
      <c r="G26" s="692"/>
      <c r="H26" s="777">
        <v>2478326.0</v>
      </c>
      <c r="I26" s="305"/>
      <c r="J26" s="692">
        <f>J$9</f>
        <v>0.5098743268</v>
      </c>
      <c r="K26" s="692"/>
      <c r="L26" s="694">
        <f>IF(D26&lt;&gt;"",IF(D26&lt;&gt;0,D26,H26*N26/J26),H26*N26/J26)</f>
        <v>2382334.5</v>
      </c>
      <c r="M26" s="694"/>
      <c r="N26" s="692">
        <f>N$9</f>
        <v>0.4901256732</v>
      </c>
      <c r="O26" s="692"/>
      <c r="P26" s="280">
        <f>H26+L26</f>
        <v>4860660.5</v>
      </c>
      <c r="Q26" s="280"/>
      <c r="R26" s="280"/>
      <c r="S26" s="694"/>
      <c r="T26" s="694"/>
      <c r="U26" s="694"/>
      <c r="V26" s="1"/>
      <c r="W26" s="1"/>
      <c r="X26" s="1"/>
      <c r="Y26" s="1"/>
      <c r="Z26" s="1"/>
    </row>
    <row r="27" ht="3.75" customHeight="1">
      <c r="A27" s="1"/>
      <c r="B27" s="694"/>
      <c r="C27" s="694"/>
      <c r="D27" s="694"/>
      <c r="E27" s="694"/>
      <c r="F27" s="694"/>
      <c r="G27" s="694"/>
      <c r="H27" s="694"/>
      <c r="I27" s="305"/>
      <c r="J27" s="692"/>
      <c r="K27" s="692"/>
      <c r="L27" s="694"/>
      <c r="M27" s="694"/>
      <c r="N27" s="692"/>
      <c r="O27" s="692"/>
      <c r="P27" s="280"/>
      <c r="Q27" s="280"/>
      <c r="R27" s="280"/>
      <c r="S27" s="694"/>
      <c r="T27" s="694"/>
      <c r="U27" s="694"/>
      <c r="V27" s="1"/>
      <c r="W27" s="1"/>
      <c r="X27" s="1"/>
      <c r="Y27" s="1"/>
      <c r="Z27" s="1"/>
    </row>
    <row r="28" ht="14.25" customHeight="1">
      <c r="A28" s="1"/>
      <c r="B28" s="694" t="s">
        <v>151</v>
      </c>
      <c r="C28" s="694"/>
      <c r="D28" s="720"/>
      <c r="E28" s="694"/>
      <c r="F28" s="694">
        <f>'E Budg CY'!F142*J$11</f>
        <v>2318796.418</v>
      </c>
      <c r="G28" s="692"/>
      <c r="H28" s="777">
        <v>2357892.0</v>
      </c>
      <c r="I28" s="305"/>
      <c r="J28" s="692">
        <f>J$9</f>
        <v>0.5098743268</v>
      </c>
      <c r="K28" s="692"/>
      <c r="L28" s="694">
        <f>IF(D28&lt;&gt;"",IF(D28&lt;&gt;0,D28,H28*N28/J28),H28*N28/J28)</f>
        <v>2266565.197</v>
      </c>
      <c r="M28" s="694"/>
      <c r="N28" s="692">
        <f>N$9</f>
        <v>0.4901256732</v>
      </c>
      <c r="O28" s="692"/>
      <c r="P28" s="280">
        <f>H28+L28</f>
        <v>4624457.197</v>
      </c>
      <c r="Q28" s="280"/>
      <c r="R28" s="280"/>
      <c r="S28" s="694"/>
      <c r="T28" s="694"/>
      <c r="U28" s="694"/>
      <c r="V28" s="1"/>
      <c r="W28" s="1"/>
      <c r="X28" s="1"/>
      <c r="Y28" s="1"/>
      <c r="Z28" s="1"/>
    </row>
    <row r="29" ht="4.5" customHeight="1">
      <c r="A29" s="1"/>
      <c r="B29" s="694"/>
      <c r="C29" s="694"/>
      <c r="D29" s="694"/>
      <c r="E29" s="694"/>
      <c r="F29" s="694"/>
      <c r="G29" s="692"/>
      <c r="H29" s="694"/>
      <c r="I29" s="694"/>
      <c r="J29" s="692"/>
      <c r="K29" s="692"/>
      <c r="L29" s="694"/>
      <c r="M29" s="694"/>
      <c r="N29" s="692"/>
      <c r="O29" s="692"/>
      <c r="P29" s="280"/>
      <c r="Q29" s="280"/>
      <c r="R29" s="280"/>
      <c r="S29" s="694"/>
      <c r="T29" s="694"/>
      <c r="U29" s="694"/>
      <c r="V29" s="1"/>
      <c r="W29" s="1"/>
      <c r="X29" s="1"/>
      <c r="Y29" s="1"/>
      <c r="Z29" s="1"/>
    </row>
    <row r="30" ht="14.25" customHeight="1">
      <c r="A30" s="1"/>
      <c r="B30" s="694" t="s">
        <v>153</v>
      </c>
      <c r="C30" s="694"/>
      <c r="D30" s="720"/>
      <c r="E30" s="694"/>
      <c r="F30" s="788">
        <f>'E Budg CY'!F144*J$11</f>
        <v>280812.9272</v>
      </c>
      <c r="G30" s="692"/>
      <c r="H30" s="777">
        <v>284965.0</v>
      </c>
      <c r="I30" s="694"/>
      <c r="J30" s="692">
        <f>J$9</f>
        <v>0.5098743268</v>
      </c>
      <c r="K30" s="692"/>
      <c r="L30" s="788">
        <f>IF(D30&lt;&gt;"",IF(D30&lt;&gt;0,D30,H30*N30/J30),H30*N30/J30)</f>
        <v>273927.6232</v>
      </c>
      <c r="M30" s="694"/>
      <c r="N30" s="692">
        <f>N$9</f>
        <v>0.4901256732</v>
      </c>
      <c r="O30" s="692"/>
      <c r="P30" s="789">
        <f>H30+L30</f>
        <v>558892.6232</v>
      </c>
      <c r="Q30" s="280"/>
      <c r="R30" s="280"/>
      <c r="S30" s="694"/>
      <c r="T30" s="694"/>
      <c r="U30" s="694"/>
      <c r="V30" s="1"/>
      <c r="W30" s="1"/>
      <c r="X30" s="1"/>
      <c r="Y30" s="1"/>
      <c r="Z30" s="1"/>
    </row>
    <row r="31" ht="3.75" customHeight="1">
      <c r="A31" s="1"/>
      <c r="B31" s="694"/>
      <c r="C31" s="694"/>
      <c r="D31" s="694"/>
      <c r="E31" s="694"/>
      <c r="F31" s="694"/>
      <c r="G31" s="692"/>
      <c r="H31" s="694"/>
      <c r="I31" s="694"/>
      <c r="J31" s="692"/>
      <c r="K31" s="692"/>
      <c r="L31" s="694"/>
      <c r="M31" s="694"/>
      <c r="N31" s="692"/>
      <c r="O31" s="692"/>
      <c r="P31" s="280"/>
      <c r="Q31" s="280"/>
      <c r="R31" s="280"/>
      <c r="S31" s="694"/>
      <c r="T31" s="694"/>
      <c r="U31" s="694"/>
      <c r="V31" s="1"/>
      <c r="W31" s="1"/>
      <c r="X31" s="1"/>
      <c r="Y31" s="1"/>
      <c r="Z31" s="1"/>
    </row>
    <row r="32" ht="14.25" customHeight="1">
      <c r="A32" s="1"/>
      <c r="B32" s="694" t="s">
        <v>391</v>
      </c>
      <c r="C32" s="694"/>
      <c r="D32" s="694">
        <f>SUM(D26:D30)</f>
        <v>0</v>
      </c>
      <c r="E32" s="694"/>
      <c r="F32" s="694"/>
      <c r="G32" s="692"/>
      <c r="H32" s="694">
        <f>SUM(H26:H30)</f>
        <v>5121183</v>
      </c>
      <c r="I32" s="1"/>
      <c r="J32" s="1"/>
      <c r="K32" s="1"/>
      <c r="L32" s="694">
        <f>SUM(L26:L30)</f>
        <v>4922827.32</v>
      </c>
      <c r="M32" s="1"/>
      <c r="N32" s="1"/>
      <c r="O32" s="1"/>
      <c r="P32" s="694">
        <f>SUM(P26:P30)</f>
        <v>10044010.32</v>
      </c>
      <c r="Q32" s="1"/>
      <c r="R32" s="1"/>
      <c r="S32" s="694"/>
      <c r="T32" s="694"/>
      <c r="U32" s="694"/>
      <c r="V32" s="1"/>
      <c r="W32" s="1"/>
      <c r="X32" s="1"/>
      <c r="Y32" s="1"/>
      <c r="Z32" s="1"/>
    </row>
    <row r="33" ht="4.5" customHeight="1">
      <c r="A33" s="1"/>
      <c r="B33" s="694"/>
      <c r="C33" s="694"/>
      <c r="D33" s="694"/>
      <c r="E33" s="694"/>
      <c r="F33" s="694"/>
      <c r="G33" s="692"/>
      <c r="H33" s="694"/>
      <c r="I33" s="694"/>
      <c r="J33" s="692"/>
      <c r="K33" s="692"/>
      <c r="L33" s="694"/>
      <c r="M33" s="694"/>
      <c r="N33" s="692"/>
      <c r="O33" s="692"/>
      <c r="P33" s="280"/>
      <c r="Q33" s="280"/>
      <c r="R33" s="280"/>
      <c r="S33" s="694"/>
      <c r="T33" s="694"/>
      <c r="U33" s="694"/>
      <c r="V33" s="1"/>
      <c r="W33" s="1"/>
      <c r="X33" s="1"/>
      <c r="Y33" s="1"/>
      <c r="Z33" s="1"/>
    </row>
    <row r="34" ht="14.25" customHeight="1">
      <c r="A34" s="1"/>
      <c r="B34" s="694" t="s">
        <v>393</v>
      </c>
      <c r="C34" s="694"/>
      <c r="D34" s="694"/>
      <c r="E34" s="694"/>
      <c r="F34" s="694">
        <f>SUM(F26:F30)</f>
        <v>5024126.94</v>
      </c>
      <c r="G34" s="692"/>
      <c r="H34" s="694">
        <f>P34*J34</f>
        <v>5024126.94</v>
      </c>
      <c r="I34" s="694"/>
      <c r="J34" s="692">
        <f>J11</f>
        <v>0.5077183507</v>
      </c>
      <c r="K34" s="692"/>
      <c r="L34" s="694">
        <f>P34-H34</f>
        <v>4871373.06</v>
      </c>
      <c r="M34" s="694"/>
      <c r="N34" s="692">
        <f>N11</f>
        <v>0.4922816493</v>
      </c>
      <c r="O34" s="692"/>
      <c r="P34" s="723">
        <f>'E Budg CY'!H22</f>
        <v>9895500</v>
      </c>
      <c r="Q34" s="280"/>
      <c r="R34" s="723">
        <f>P32-P34</f>
        <v>148510.3204</v>
      </c>
      <c r="S34" s="694"/>
      <c r="T34" s="694"/>
      <c r="U34" s="694"/>
      <c r="V34" s="1"/>
      <c r="W34" s="1"/>
      <c r="X34" s="1"/>
      <c r="Y34" s="1"/>
      <c r="Z34" s="1"/>
    </row>
    <row r="35" ht="6.0" customHeight="1">
      <c r="A35" s="1"/>
      <c r="B35" s="719"/>
      <c r="C35" s="719"/>
      <c r="D35" s="694"/>
      <c r="E35" s="694"/>
      <c r="F35" s="694"/>
      <c r="G35" s="692"/>
      <c r="H35" s="694"/>
      <c r="I35" s="694"/>
      <c r="J35" s="692"/>
      <c r="K35" s="692"/>
      <c r="L35" s="694"/>
      <c r="M35" s="694"/>
      <c r="N35" s="694"/>
      <c r="O35" s="694"/>
      <c r="P35" s="280"/>
      <c r="Q35" s="280"/>
      <c r="R35" s="280"/>
      <c r="S35" s="694"/>
      <c r="T35" s="694"/>
      <c r="U35" s="694"/>
      <c r="V35" s="1"/>
      <c r="W35" s="1"/>
      <c r="X35" s="1"/>
      <c r="Y35" s="1"/>
      <c r="Z35" s="1"/>
    </row>
    <row r="36" ht="14.25" customHeight="1">
      <c r="A36" s="710"/>
      <c r="B36" s="491" t="s">
        <v>395</v>
      </c>
      <c r="C36" s="707"/>
      <c r="D36" s="707"/>
      <c r="E36" s="707"/>
      <c r="F36" s="707"/>
      <c r="G36" s="705"/>
      <c r="H36" s="801"/>
      <c r="I36" s="801"/>
      <c r="J36" s="802"/>
      <c r="K36" s="802"/>
      <c r="L36" s="707"/>
      <c r="M36" s="707"/>
      <c r="N36" s="707"/>
      <c r="O36" s="707"/>
      <c r="P36" s="708"/>
      <c r="Q36" s="708"/>
      <c r="R36" s="803">
        <f>SUM(R19:R34)</f>
        <v>-113299.606</v>
      </c>
      <c r="S36" s="710"/>
      <c r="T36" s="710"/>
      <c r="U36" s="710"/>
      <c r="V36" s="710"/>
      <c r="W36" s="710"/>
      <c r="X36" s="710"/>
      <c r="Y36" s="710"/>
      <c r="Z36" s="710"/>
    </row>
    <row r="37" ht="36.75" customHeight="1">
      <c r="A37" s="804" t="s">
        <v>103</v>
      </c>
      <c r="B37" s="805" t="s">
        <v>396</v>
      </c>
      <c r="C37" s="806"/>
      <c r="D37" s="725" t="s">
        <v>6</v>
      </c>
      <c r="E37" s="806"/>
      <c r="F37" s="725" t="s">
        <v>171</v>
      </c>
      <c r="G37" s="705"/>
      <c r="H37" s="725" t="s">
        <v>310</v>
      </c>
      <c r="I37" s="694"/>
      <c r="J37" s="807" t="s">
        <v>397</v>
      </c>
      <c r="K37" s="35"/>
      <c r="L37" s="21"/>
      <c r="M37" s="692"/>
      <c r="N37" s="725" t="s">
        <v>303</v>
      </c>
      <c r="O37" s="694"/>
      <c r="P37" s="694"/>
      <c r="Q37" s="694"/>
      <c r="R37" s="542" t="s">
        <v>399</v>
      </c>
      <c r="S37" s="694"/>
      <c r="T37" s="694"/>
      <c r="U37" s="694"/>
      <c r="V37" s="1"/>
      <c r="W37" s="1"/>
      <c r="X37" s="1"/>
      <c r="Y37" s="1"/>
      <c r="Z37" s="1"/>
    </row>
    <row r="38" ht="17.25" customHeight="1">
      <c r="A38" s="1"/>
      <c r="B38" s="694"/>
      <c r="C38" s="694"/>
      <c r="D38" s="711" t="str">
        <f>'E Budg CY'!M4</f>
        <v>2025 - 26</v>
      </c>
      <c r="E38" s="712"/>
      <c r="F38" s="711" t="str">
        <f>'E Budg CY'!$G4</f>
        <v>2026 - 27</v>
      </c>
      <c r="G38" s="715"/>
      <c r="H38" s="711" t="str">
        <f>'E Budg CY'!$G4</f>
        <v>2026 - 27</v>
      </c>
      <c r="I38" s="716"/>
      <c r="J38" s="711" t="s">
        <v>400</v>
      </c>
      <c r="K38" s="715"/>
      <c r="L38" s="711" t="s">
        <v>401</v>
      </c>
      <c r="M38" s="717"/>
      <c r="N38" s="711" t="str">
        <f>$G65</f>
        <v>2027 - 28</v>
      </c>
      <c r="O38" s="715"/>
      <c r="P38" s="711" t="s">
        <v>402</v>
      </c>
      <c r="Q38" s="694"/>
      <c r="R38" s="711" t="str">
        <f>$G65</f>
        <v>2027 - 28</v>
      </c>
      <c r="S38" s="694"/>
      <c r="T38" s="694"/>
      <c r="U38" s="694"/>
      <c r="V38" s="1"/>
      <c r="W38" s="1"/>
      <c r="X38" s="1"/>
      <c r="Y38" s="1"/>
      <c r="Z38" s="1"/>
    </row>
    <row r="39" ht="4.5" customHeight="1">
      <c r="A39" s="1"/>
      <c r="B39" s="694"/>
      <c r="C39" s="694"/>
      <c r="D39" s="694"/>
      <c r="E39" s="694"/>
      <c r="F39" s="694"/>
      <c r="G39" s="692"/>
      <c r="H39" s="694"/>
      <c r="I39" s="694"/>
      <c r="J39" s="692"/>
      <c r="K39" s="692"/>
      <c r="L39" s="694"/>
      <c r="M39" s="694"/>
      <c r="N39" s="694"/>
      <c r="O39" s="694"/>
      <c r="P39" s="280"/>
      <c r="Q39" s="280"/>
      <c r="R39" s="280"/>
      <c r="S39" s="694"/>
      <c r="T39" s="694"/>
      <c r="U39" s="694"/>
      <c r="V39" s="1"/>
      <c r="W39" s="1"/>
      <c r="X39" s="1"/>
      <c r="Y39" s="1"/>
      <c r="Z39" s="1"/>
    </row>
    <row r="40" ht="14.25" customHeight="1">
      <c r="A40" s="1"/>
      <c r="B40" s="694" t="s">
        <v>149</v>
      </c>
      <c r="C40" s="694"/>
      <c r="D40" s="694">
        <f>'E Budg CY'!L140</f>
        <v>4541000</v>
      </c>
      <c r="E40" s="694"/>
      <c r="F40" s="694">
        <f>'E Budg CY'!F140</f>
        <v>4775320</v>
      </c>
      <c r="G40" s="692"/>
      <c r="H40" s="694">
        <f>P26</f>
        <v>4860660.5</v>
      </c>
      <c r="I40" s="694"/>
      <c r="J40" s="694">
        <f>H40*P$81</f>
        <v>354525.0365</v>
      </c>
      <c r="K40" s="1"/>
      <c r="L40" s="694">
        <f>(H40+J40)*'G Price-Aid'!H8</f>
        <v>104303.7107</v>
      </c>
      <c r="M40" s="694"/>
      <c r="N40" s="694">
        <f>SUM(H40:L40)</f>
        <v>5319489.247</v>
      </c>
      <c r="O40" s="694"/>
      <c r="P40" s="720"/>
      <c r="Q40" s="694"/>
      <c r="R40" s="694">
        <f>N40+P40</f>
        <v>5319489.247</v>
      </c>
      <c r="S40" s="694"/>
      <c r="T40" s="694"/>
      <c r="U40" s="694"/>
      <c r="V40" s="1"/>
      <c r="W40" s="1"/>
      <c r="X40" s="1"/>
      <c r="Y40" s="1"/>
      <c r="Z40" s="1"/>
    </row>
    <row r="41" ht="4.5" customHeight="1">
      <c r="A41" s="1"/>
      <c r="B41" s="694"/>
      <c r="C41" s="694"/>
      <c r="D41" s="694"/>
      <c r="E41" s="694"/>
      <c r="F41" s="694"/>
      <c r="G41" s="692"/>
      <c r="H41" s="694"/>
      <c r="I41" s="694"/>
      <c r="J41" s="694"/>
      <c r="K41" s="1"/>
      <c r="L41" s="694"/>
      <c r="M41" s="694"/>
      <c r="N41" s="694"/>
      <c r="O41" s="694"/>
      <c r="P41" s="694"/>
      <c r="Q41" s="694"/>
      <c r="R41" s="694"/>
      <c r="S41" s="694"/>
      <c r="T41" s="694"/>
      <c r="U41" s="694"/>
      <c r="V41" s="1"/>
      <c r="W41" s="1"/>
      <c r="X41" s="1"/>
      <c r="Y41" s="1"/>
      <c r="Z41" s="1"/>
    </row>
    <row r="42" ht="14.25" customHeight="1">
      <c r="A42" s="1"/>
      <c r="B42" s="694" t="s">
        <v>151</v>
      </c>
      <c r="C42" s="694"/>
      <c r="D42" s="694">
        <f>'E Budg CY'!L142</f>
        <v>4346500</v>
      </c>
      <c r="E42" s="694"/>
      <c r="F42" s="694">
        <f>'E Budg CY'!F142</f>
        <v>4567092</v>
      </c>
      <c r="G42" s="692"/>
      <c r="H42" s="694">
        <f>P28</f>
        <v>4624457.197</v>
      </c>
      <c r="I42" s="694"/>
      <c r="J42" s="694">
        <f>H42*P$81</f>
        <v>337296.9284</v>
      </c>
      <c r="K42" s="1"/>
      <c r="L42" s="694">
        <f>(H42+J42)*'G Price-Aid'!H10</f>
        <v>99235.08251</v>
      </c>
      <c r="M42" s="694"/>
      <c r="N42" s="694">
        <f>SUM(H42:L42)</f>
        <v>5060989.208</v>
      </c>
      <c r="O42" s="694"/>
      <c r="P42" s="720"/>
      <c r="Q42" s="694"/>
      <c r="R42" s="694">
        <f>N42+P42</f>
        <v>5060989.208</v>
      </c>
      <c r="S42" s="694"/>
      <c r="T42" s="694"/>
      <c r="U42" s="694"/>
      <c r="V42" s="1"/>
      <c r="W42" s="1"/>
      <c r="X42" s="1"/>
      <c r="Y42" s="1"/>
      <c r="Z42" s="1"/>
    </row>
    <row r="43" ht="4.5" customHeight="1">
      <c r="A43" s="1"/>
      <c r="B43" s="694"/>
      <c r="C43" s="694"/>
      <c r="D43" s="694"/>
      <c r="E43" s="694"/>
      <c r="F43" s="694"/>
      <c r="G43" s="692"/>
      <c r="H43" s="694"/>
      <c r="I43" s="694"/>
      <c r="J43" s="694"/>
      <c r="K43" s="1"/>
      <c r="L43" s="694"/>
      <c r="M43" s="694"/>
      <c r="N43" s="694"/>
      <c r="O43" s="694"/>
      <c r="P43" s="694"/>
      <c r="Q43" s="694"/>
      <c r="R43" s="694"/>
      <c r="S43" s="694"/>
      <c r="T43" s="694"/>
      <c r="U43" s="694"/>
      <c r="V43" s="1"/>
      <c r="W43" s="1"/>
      <c r="X43" s="1"/>
      <c r="Y43" s="1"/>
      <c r="Z43" s="1"/>
    </row>
    <row r="44" ht="14.25" customHeight="1">
      <c r="A44" s="1"/>
      <c r="B44" s="694" t="s">
        <v>153</v>
      </c>
      <c r="C44" s="694"/>
      <c r="D44" s="788">
        <f>'E Budg CY'!L144</f>
        <v>530000</v>
      </c>
      <c r="E44" s="694"/>
      <c r="F44" s="788">
        <f>'E Budg CY'!F144</f>
        <v>553088</v>
      </c>
      <c r="G44" s="692"/>
      <c r="H44" s="788">
        <f>P30</f>
        <v>558892.6232</v>
      </c>
      <c r="I44" s="694"/>
      <c r="J44" s="788">
        <f>H44*P$81</f>
        <v>40764.30099</v>
      </c>
      <c r="K44" s="1"/>
      <c r="L44" s="788">
        <f>(H44+J44)*'G Price-Aid'!H12</f>
        <v>0</v>
      </c>
      <c r="M44" s="694"/>
      <c r="N44" s="788">
        <f>SUM(H44:L44)</f>
        <v>599656.9242</v>
      </c>
      <c r="O44" s="694"/>
      <c r="P44" s="720"/>
      <c r="Q44" s="694"/>
      <c r="R44" s="788">
        <f>N44+P44</f>
        <v>599656.9242</v>
      </c>
      <c r="S44" s="694"/>
      <c r="T44" s="694"/>
      <c r="U44" s="694"/>
      <c r="V44" s="1"/>
      <c r="W44" s="1"/>
      <c r="X44" s="1"/>
      <c r="Y44" s="1"/>
      <c r="Z44" s="1"/>
    </row>
    <row r="45" ht="4.5" customHeight="1">
      <c r="A45" s="1"/>
      <c r="B45" s="694"/>
      <c r="C45" s="694"/>
      <c r="D45" s="694"/>
      <c r="E45" s="694"/>
      <c r="F45" s="694"/>
      <c r="G45" s="692"/>
      <c r="H45" s="694"/>
      <c r="I45" s="694"/>
      <c r="J45" s="694"/>
      <c r="K45" s="1"/>
      <c r="L45" s="694"/>
      <c r="M45" s="694"/>
      <c r="N45" s="694"/>
      <c r="O45" s="694"/>
      <c r="P45" s="694"/>
      <c r="Q45" s="694"/>
      <c r="R45" s="694"/>
      <c r="S45" s="694"/>
      <c r="T45" s="694"/>
      <c r="U45" s="694"/>
      <c r="V45" s="1"/>
      <c r="W45" s="1"/>
      <c r="X45" s="1"/>
      <c r="Y45" s="1"/>
      <c r="Z45" s="1"/>
    </row>
    <row r="46" ht="14.25" customHeight="1">
      <c r="A46" s="1"/>
      <c r="B46" s="694" t="s">
        <v>325</v>
      </c>
      <c r="C46" s="694"/>
      <c r="D46" s="788">
        <f>SUM(D40:D44)</f>
        <v>9417500</v>
      </c>
      <c r="E46" s="788"/>
      <c r="F46" s="788">
        <f>SUM(F40:F44)</f>
        <v>9895500</v>
      </c>
      <c r="G46" s="810"/>
      <c r="H46" s="788">
        <f>SUM(H40:H44)</f>
        <v>10044010.32</v>
      </c>
      <c r="I46" s="788"/>
      <c r="J46" s="788">
        <f>SUM(J40:J44)</f>
        <v>732586.2658</v>
      </c>
      <c r="K46" s="811"/>
      <c r="L46" s="788">
        <f>SUM(L40:L44)</f>
        <v>203538.7932</v>
      </c>
      <c r="M46" s="788"/>
      <c r="N46" s="788">
        <f>SUM(N40:N44)</f>
        <v>10980135.38</v>
      </c>
      <c r="O46" s="788"/>
      <c r="P46" s="788">
        <f>SUM(P40:P44)</f>
        <v>0</v>
      </c>
      <c r="Q46" s="788"/>
      <c r="R46" s="788">
        <f>SUM(R40:R44)</f>
        <v>10980135.38</v>
      </c>
      <c r="S46" s="694"/>
      <c r="T46" s="694"/>
      <c r="U46" s="694"/>
      <c r="V46" s="1"/>
      <c r="W46" s="1"/>
      <c r="X46" s="1"/>
      <c r="Y46" s="1"/>
      <c r="Z46" s="1"/>
    </row>
    <row r="47" ht="64.5" customHeight="1">
      <c r="A47" s="812"/>
      <c r="B47" s="694"/>
      <c r="C47" s="694"/>
      <c r="D47" s="694"/>
      <c r="E47" s="694"/>
      <c r="F47" s="694"/>
      <c r="G47" s="692"/>
      <c r="H47" s="813"/>
      <c r="I47" s="813"/>
      <c r="J47" s="814"/>
      <c r="K47" s="814"/>
      <c r="L47" s="694"/>
      <c r="M47" s="694"/>
      <c r="N47" s="694"/>
      <c r="O47" s="694"/>
      <c r="P47" s="280"/>
      <c r="Q47" s="280"/>
      <c r="R47" s="280"/>
      <c r="S47" s="694"/>
      <c r="T47" s="694"/>
      <c r="U47" s="694"/>
      <c r="V47" s="1"/>
      <c r="W47" s="1"/>
      <c r="X47" s="1"/>
      <c r="Y47" s="1"/>
      <c r="Z47" s="1"/>
    </row>
    <row r="48" ht="24.75" customHeight="1">
      <c r="A48" s="1"/>
      <c r="B48" s="8" t="str">
        <f>'A Cover'!G$8</f>
        <v>Example University</v>
      </c>
      <c r="C48" s="690"/>
      <c r="D48" s="691"/>
      <c r="E48" s="691"/>
      <c r="F48" s="691"/>
      <c r="G48" s="692"/>
      <c r="H48" s="691"/>
      <c r="I48" s="691"/>
      <c r="J48" s="691"/>
      <c r="K48" s="691"/>
      <c r="L48" s="691"/>
      <c r="M48" s="691"/>
      <c r="N48" s="694"/>
      <c r="O48" s="691"/>
      <c r="P48" s="695"/>
      <c r="Q48" s="695"/>
      <c r="R48" s="481"/>
      <c r="S48" s="694"/>
      <c r="T48" s="694"/>
      <c r="U48" s="694"/>
      <c r="V48" s="1"/>
      <c r="W48" s="1"/>
      <c r="X48" s="1"/>
      <c r="Y48" s="1"/>
      <c r="Z48" s="1"/>
    </row>
    <row r="49" ht="15.0" customHeight="1">
      <c r="A49" s="1"/>
      <c r="B49" s="700" t="s">
        <v>403</v>
      </c>
      <c r="C49" s="700"/>
      <c r="D49" s="691"/>
      <c r="E49" s="691"/>
      <c r="F49" s="691"/>
      <c r="G49" s="691"/>
      <c r="H49" s="29" t="s">
        <v>0</v>
      </c>
      <c r="I49" s="34" t="s">
        <v>9</v>
      </c>
      <c r="J49" s="692"/>
      <c r="K49" s="692"/>
      <c r="L49" s="694"/>
      <c r="M49" s="694"/>
      <c r="N49" s="481"/>
      <c r="O49" s="481"/>
      <c r="P49" s="815">
        <f>'A Cover'!G$12</f>
        <v>46307</v>
      </c>
      <c r="Q49" s="35"/>
      <c r="R49" s="21"/>
      <c r="S49" s="694"/>
      <c r="T49" s="694"/>
      <c r="U49" s="694"/>
      <c r="V49" s="1"/>
      <c r="W49" s="1"/>
      <c r="X49" s="1"/>
      <c r="Y49" s="1"/>
      <c r="Z49" s="1"/>
    </row>
    <row r="50" ht="39.75" customHeight="1">
      <c r="A50" s="804" t="s">
        <v>121</v>
      </c>
      <c r="B50" s="804" t="str">
        <f>'F Population'!U6</f>
        <v>2027 - 28</v>
      </c>
      <c r="C50" s="704" t="s">
        <v>404</v>
      </c>
      <c r="D50" s="710"/>
      <c r="E50" s="704"/>
      <c r="F50" s="704"/>
      <c r="G50" s="705"/>
      <c r="H50" s="706"/>
      <c r="I50" s="706"/>
      <c r="J50" s="705"/>
      <c r="K50" s="705"/>
      <c r="L50" s="707"/>
      <c r="M50" s="707"/>
      <c r="N50" s="707"/>
      <c r="O50" s="707"/>
      <c r="P50" s="708"/>
      <c r="Q50" s="708"/>
      <c r="R50" s="708"/>
      <c r="S50" s="710"/>
      <c r="T50" s="710"/>
      <c r="U50" s="710"/>
      <c r="V50" s="710"/>
      <c r="W50" s="710"/>
      <c r="X50" s="710"/>
      <c r="Y50" s="710"/>
      <c r="Z50" s="710"/>
    </row>
    <row r="51" ht="6.75" customHeight="1">
      <c r="A51" s="1"/>
      <c r="B51" s="700"/>
      <c r="C51" s="700"/>
      <c r="D51" s="694"/>
      <c r="E51" s="694"/>
      <c r="F51" s="694"/>
      <c r="G51" s="692"/>
      <c r="H51" s="694"/>
      <c r="I51" s="694"/>
      <c r="J51" s="692"/>
      <c r="K51" s="692"/>
      <c r="L51" s="694"/>
      <c r="M51" s="694"/>
      <c r="N51" s="694"/>
      <c r="O51" s="694"/>
      <c r="P51" s="280"/>
      <c r="Q51" s="280"/>
      <c r="R51" s="280"/>
      <c r="S51" s="694"/>
      <c r="T51" s="694"/>
      <c r="U51" s="694"/>
      <c r="V51" s="1"/>
      <c r="W51" s="1"/>
      <c r="X51" s="1"/>
      <c r="Y51" s="1"/>
      <c r="Z51" s="1"/>
    </row>
    <row r="52" ht="14.25" customHeight="1">
      <c r="A52" s="1"/>
      <c r="B52" s="492" t="s">
        <v>405</v>
      </c>
      <c r="C52" s="694"/>
      <c r="D52" s="818" t="s">
        <v>310</v>
      </c>
      <c r="E52" s="821" t="s">
        <v>406</v>
      </c>
      <c r="F52" s="818" t="s">
        <v>407</v>
      </c>
      <c r="G52" s="822" t="s">
        <v>408</v>
      </c>
      <c r="H52" s="818" t="s">
        <v>409</v>
      </c>
      <c r="I52" s="822" t="s">
        <v>406</v>
      </c>
      <c r="J52" s="818" t="s">
        <v>410</v>
      </c>
      <c r="K52" s="822" t="s">
        <v>408</v>
      </c>
      <c r="L52" s="818" t="s">
        <v>411</v>
      </c>
      <c r="M52" s="823"/>
      <c r="N52" s="824" t="s">
        <v>412</v>
      </c>
      <c r="O52" s="823"/>
      <c r="P52" s="818" t="s">
        <v>171</v>
      </c>
      <c r="Q52" s="825" t="s">
        <v>408</v>
      </c>
      <c r="R52" s="826" t="s">
        <v>413</v>
      </c>
      <c r="S52" s="694"/>
      <c r="T52" s="694"/>
      <c r="U52" s="694"/>
      <c r="V52" s="1"/>
      <c r="W52" s="1"/>
      <c r="X52" s="1"/>
      <c r="Y52" s="1"/>
      <c r="Z52" s="1"/>
    </row>
    <row r="53" ht="14.25" customHeight="1">
      <c r="A53" s="1"/>
      <c r="B53" s="700"/>
      <c r="C53" s="827"/>
      <c r="D53" s="829" t="str">
        <f>'F Population'!P6</f>
        <v>2026 - 27</v>
      </c>
      <c r="E53" s="830"/>
      <c r="F53" s="829" t="s">
        <v>415</v>
      </c>
      <c r="G53" s="831"/>
      <c r="H53" s="829" t="s">
        <v>416</v>
      </c>
      <c r="I53" s="831"/>
      <c r="J53" s="829" t="s">
        <v>417</v>
      </c>
      <c r="K53" s="831"/>
      <c r="L53" s="829" t="str">
        <f>'F Population'!U6</f>
        <v>2027 - 28</v>
      </c>
      <c r="M53" s="823"/>
      <c r="N53" s="205"/>
      <c r="O53" s="834"/>
      <c r="P53" s="829" t="str">
        <f>'F Population'!P6</f>
        <v>2026 - 27</v>
      </c>
      <c r="Q53" s="835"/>
      <c r="R53" s="836"/>
      <c r="S53" s="694"/>
      <c r="T53" s="694"/>
      <c r="U53" s="694"/>
      <c r="V53" s="1"/>
      <c r="W53" s="1"/>
      <c r="X53" s="1"/>
      <c r="Y53" s="1"/>
      <c r="Z53" s="1"/>
    </row>
    <row r="54" ht="6.0" customHeight="1">
      <c r="A54" s="1"/>
      <c r="B54" s="700"/>
      <c r="C54" s="827"/>
      <c r="D54" s="700"/>
      <c r="E54" s="700"/>
      <c r="F54" s="700"/>
      <c r="G54" s="700"/>
      <c r="H54" s="700"/>
      <c r="I54" s="700"/>
      <c r="J54" s="700"/>
      <c r="K54" s="700"/>
      <c r="L54" s="700"/>
      <c r="M54" s="700"/>
      <c r="N54" s="700"/>
      <c r="O54" s="700"/>
      <c r="P54" s="700"/>
      <c r="Q54" s="700"/>
      <c r="R54" s="700"/>
      <c r="S54" s="694"/>
      <c r="T54" s="694"/>
      <c r="U54" s="694"/>
      <c r="V54" s="1"/>
      <c r="W54" s="1"/>
      <c r="X54" s="1"/>
      <c r="Y54" s="1"/>
      <c r="Z54" s="1"/>
    </row>
    <row r="55" ht="14.25" customHeight="1">
      <c r="A55" s="1"/>
      <c r="B55" s="827" t="s">
        <v>419</v>
      </c>
      <c r="C55" s="827"/>
      <c r="D55" s="694">
        <f>P9</f>
        <v>55818841.09</v>
      </c>
      <c r="E55" s="694"/>
      <c r="F55" s="692">
        <f>P81</f>
        <v>0.07293762575</v>
      </c>
      <c r="G55" s="692"/>
      <c r="H55" s="694">
        <f>D55*(1+F55)</f>
        <v>59890134.84</v>
      </c>
      <c r="I55" s="694"/>
      <c r="J55" s="692">
        <f>'G Price-Aid'!H6</f>
        <v>0.02</v>
      </c>
      <c r="K55" s="692"/>
      <c r="L55" s="694">
        <f>'G Price-Aid'!AX54</f>
        <v>61804870.92</v>
      </c>
      <c r="M55" s="694"/>
      <c r="N55" s="838" t="s">
        <v>420</v>
      </c>
      <c r="O55" s="839"/>
      <c r="P55" s="280">
        <f>P11</f>
        <v>54116270</v>
      </c>
      <c r="Q55" s="280"/>
      <c r="R55" s="280">
        <f>L55-P55</f>
        <v>7688600.921</v>
      </c>
      <c r="S55" s="694"/>
      <c r="T55" s="694"/>
      <c r="U55" s="694"/>
      <c r="V55" s="1"/>
      <c r="W55" s="1"/>
      <c r="X55" s="1"/>
      <c r="Y55" s="1"/>
      <c r="Z55" s="1"/>
    </row>
    <row r="56" ht="6.0" customHeight="1">
      <c r="A56" s="1"/>
      <c r="B56" s="827"/>
      <c r="C56" s="827"/>
      <c r="D56" s="694"/>
      <c r="E56" s="694"/>
      <c r="F56" s="692"/>
      <c r="G56" s="692"/>
      <c r="H56" s="694"/>
      <c r="I56" s="694"/>
      <c r="J56" s="692"/>
      <c r="K56" s="692"/>
      <c r="L56" s="694"/>
      <c r="M56" s="694"/>
      <c r="N56" s="840"/>
      <c r="O56" s="839"/>
      <c r="P56" s="280"/>
      <c r="Q56" s="280"/>
      <c r="R56" s="280"/>
      <c r="S56" s="694"/>
      <c r="T56" s="694"/>
      <c r="U56" s="694"/>
      <c r="V56" s="1"/>
      <c r="W56" s="1"/>
      <c r="X56" s="1"/>
      <c r="Y56" s="1"/>
      <c r="Z56" s="1"/>
    </row>
    <row r="57" ht="14.25" customHeight="1">
      <c r="A57" s="1"/>
      <c r="B57" s="841" t="s">
        <v>421</v>
      </c>
      <c r="C57" s="841"/>
      <c r="D57" s="722">
        <f>P14</f>
        <v>-28248048.02</v>
      </c>
      <c r="E57" s="694"/>
      <c r="F57" s="692">
        <f>P81</f>
        <v>0.07293762575</v>
      </c>
      <c r="G57" s="692"/>
      <c r="H57" s="722">
        <f>D57*(1+F57)</f>
        <v>-30308393.58</v>
      </c>
      <c r="I57" s="694"/>
      <c r="J57" s="692">
        <f>L57/H57-1</f>
        <v>0.05010150028</v>
      </c>
      <c r="K57" s="692"/>
      <c r="L57" s="722">
        <f>-'G Price-Aid'!AX56</f>
        <v>-31826889.56</v>
      </c>
      <c r="M57" s="694"/>
      <c r="N57" s="843">
        <f>'G Price-Aid'!AX62</f>
        <v>0.5149576254</v>
      </c>
      <c r="O57" s="844"/>
      <c r="P57" s="731">
        <f>P15</f>
        <v>-26323639</v>
      </c>
      <c r="Q57" s="280"/>
      <c r="R57" s="723">
        <f>L57-P57</f>
        <v>-5503250.565</v>
      </c>
      <c r="S57" s="694"/>
      <c r="T57" s="694"/>
      <c r="U57" s="694"/>
      <c r="V57" s="1"/>
      <c r="W57" s="1"/>
      <c r="X57" s="1"/>
      <c r="Y57" s="1"/>
      <c r="Z57" s="1"/>
    </row>
    <row r="58" ht="6.0" customHeight="1">
      <c r="A58" s="1"/>
      <c r="B58" s="841"/>
      <c r="C58" s="841"/>
      <c r="D58" s="694"/>
      <c r="E58" s="694"/>
      <c r="F58" s="692"/>
      <c r="G58" s="692"/>
      <c r="H58" s="694"/>
      <c r="I58" s="694"/>
      <c r="J58" s="692"/>
      <c r="K58" s="692"/>
      <c r="L58" s="694"/>
      <c r="M58" s="694"/>
      <c r="N58" s="845" t="s">
        <v>423</v>
      </c>
      <c r="O58" s="844"/>
      <c r="P58" s="280"/>
      <c r="Q58" s="280"/>
      <c r="R58" s="280"/>
      <c r="S58" s="694"/>
      <c r="T58" s="694"/>
      <c r="U58" s="694"/>
      <c r="V58" s="1"/>
      <c r="W58" s="1"/>
      <c r="X58" s="1"/>
      <c r="Y58" s="1"/>
      <c r="Z58" s="1"/>
    </row>
    <row r="59" ht="14.25" customHeight="1">
      <c r="A59" s="1"/>
      <c r="B59" s="694" t="s">
        <v>184</v>
      </c>
      <c r="C59" s="694"/>
      <c r="D59" s="694">
        <f>D55+D57</f>
        <v>27570793.07</v>
      </c>
      <c r="E59" s="694"/>
      <c r="F59" s="694"/>
      <c r="G59" s="692"/>
      <c r="H59" s="694">
        <f>H55+H57</f>
        <v>29581741.26</v>
      </c>
      <c r="I59" s="694"/>
      <c r="J59" s="692"/>
      <c r="K59" s="692"/>
      <c r="L59" s="694">
        <f>L55+L57</f>
        <v>29977981.36</v>
      </c>
      <c r="M59" s="694"/>
      <c r="N59" s="847"/>
      <c r="O59" s="848"/>
      <c r="P59" s="280">
        <f>P55+P57</f>
        <v>27792631</v>
      </c>
      <c r="Q59" s="280"/>
      <c r="R59" s="280">
        <f>R55+R57</f>
        <v>2185350.357</v>
      </c>
      <c r="S59" s="694"/>
      <c r="T59" s="694"/>
      <c r="U59" s="694"/>
      <c r="V59" s="1"/>
      <c r="W59" s="1"/>
      <c r="X59" s="1"/>
      <c r="Y59" s="1"/>
      <c r="Z59" s="1"/>
    </row>
    <row r="60" ht="14.25" customHeight="1">
      <c r="A60" s="1"/>
      <c r="B60" s="694"/>
      <c r="C60" s="694"/>
      <c r="D60" s="694"/>
      <c r="E60" s="694"/>
      <c r="F60" s="694"/>
      <c r="G60" s="849"/>
      <c r="H60" s="850" t="s">
        <v>424</v>
      </c>
      <c r="I60" s="851"/>
      <c r="J60" s="850" t="s">
        <v>425</v>
      </c>
      <c r="K60" s="852"/>
      <c r="L60" s="853"/>
      <c r="M60" s="694"/>
      <c r="N60" s="694"/>
      <c r="O60" s="694"/>
      <c r="P60" s="280"/>
      <c r="Q60" s="280"/>
      <c r="R60" s="280"/>
      <c r="S60" s="694"/>
      <c r="T60" s="694"/>
      <c r="U60" s="694"/>
      <c r="V60" s="1"/>
      <c r="W60" s="1"/>
      <c r="X60" s="1"/>
      <c r="Y60" s="1"/>
      <c r="Z60" s="1"/>
    </row>
    <row r="61" ht="14.25" customHeight="1">
      <c r="A61" s="1"/>
      <c r="B61" s="492" t="s">
        <v>426</v>
      </c>
      <c r="C61" s="694"/>
      <c r="D61" s="694">
        <f>P22</f>
        <v>17808496</v>
      </c>
      <c r="E61" s="854" t="s">
        <v>427</v>
      </c>
      <c r="F61" s="854"/>
      <c r="G61" s="855"/>
      <c r="H61" s="856">
        <f>'H Non trad'!H26-'H Non trad'!H23</f>
        <v>19165822</v>
      </c>
      <c r="I61" s="856"/>
      <c r="J61" s="856">
        <f>'H Non trad'!H23</f>
        <v>-1134000</v>
      </c>
      <c r="K61" s="765"/>
      <c r="L61" s="857">
        <f>H61+J61</f>
        <v>18031822</v>
      </c>
      <c r="M61" s="694"/>
      <c r="N61" s="858"/>
      <c r="O61" s="694"/>
      <c r="P61" s="280">
        <f>P23</f>
        <v>17848468</v>
      </c>
      <c r="Q61" s="280"/>
      <c r="R61" s="280">
        <f>L61-P61</f>
        <v>183354</v>
      </c>
      <c r="S61" s="694"/>
      <c r="T61" s="694"/>
      <c r="U61" s="694"/>
      <c r="V61" s="1"/>
      <c r="W61" s="1"/>
      <c r="X61" s="1"/>
      <c r="Y61" s="1"/>
      <c r="Z61" s="1"/>
    </row>
    <row r="62" ht="6.0" customHeight="1">
      <c r="A62" s="1"/>
      <c r="B62" s="492"/>
      <c r="C62" s="694"/>
      <c r="D62" s="694"/>
      <c r="E62" s="694"/>
      <c r="F62" s="694"/>
      <c r="G62" s="860"/>
      <c r="H62" s="861"/>
      <c r="I62" s="861"/>
      <c r="J62" s="862"/>
      <c r="K62" s="862"/>
      <c r="L62" s="863"/>
      <c r="M62" s="694"/>
      <c r="N62" s="694"/>
      <c r="O62" s="694"/>
      <c r="P62" s="280"/>
      <c r="Q62" s="280"/>
      <c r="R62" s="280"/>
      <c r="S62" s="694"/>
      <c r="T62" s="694"/>
      <c r="U62" s="694"/>
      <c r="V62" s="1"/>
      <c r="W62" s="1"/>
      <c r="X62" s="1"/>
      <c r="Y62" s="1"/>
      <c r="Z62" s="1"/>
    </row>
    <row r="63" ht="14.25" customHeight="1">
      <c r="A63" s="1"/>
      <c r="B63" s="492" t="s">
        <v>429</v>
      </c>
      <c r="C63" s="694"/>
      <c r="D63" s="694">
        <f>P32</f>
        <v>10044010.32</v>
      </c>
      <c r="E63" s="694"/>
      <c r="F63" s="692"/>
      <c r="G63" s="692"/>
      <c r="H63" s="694"/>
      <c r="I63" s="694"/>
      <c r="J63" s="692"/>
      <c r="K63" s="692"/>
      <c r="L63" s="694">
        <f>R46</f>
        <v>10980135.38</v>
      </c>
      <c r="M63" s="854" t="s">
        <v>430</v>
      </c>
      <c r="N63" s="864"/>
      <c r="O63" s="694"/>
      <c r="P63" s="280">
        <f>P34</f>
        <v>9895500</v>
      </c>
      <c r="Q63" s="280"/>
      <c r="R63" s="789">
        <f>L63-P63</f>
        <v>1084635.379</v>
      </c>
      <c r="S63" s="694"/>
      <c r="T63" s="694"/>
      <c r="U63" s="694"/>
      <c r="V63" s="1"/>
      <c r="W63" s="1"/>
      <c r="X63" s="1"/>
      <c r="Y63" s="1"/>
      <c r="Z63" s="1"/>
    </row>
    <row r="64" ht="4.5" customHeight="1">
      <c r="A64" s="1"/>
      <c r="B64" s="492"/>
      <c r="C64" s="694"/>
      <c r="D64" s="694"/>
      <c r="E64" s="694"/>
      <c r="F64" s="694"/>
      <c r="G64" s="866"/>
      <c r="H64" s="694"/>
      <c r="I64" s="694"/>
      <c r="J64" s="692"/>
      <c r="K64" s="692"/>
      <c r="L64" s="694"/>
      <c r="M64" s="694"/>
      <c r="N64" s="694"/>
      <c r="O64" s="694"/>
      <c r="P64" s="280"/>
      <c r="Q64" s="280"/>
      <c r="R64" s="280"/>
      <c r="S64" s="694"/>
      <c r="T64" s="694"/>
      <c r="U64" s="694"/>
      <c r="V64" s="1"/>
      <c r="W64" s="1"/>
      <c r="X64" s="1"/>
      <c r="Y64" s="1"/>
      <c r="Z64" s="1"/>
    </row>
    <row r="65" ht="15.75" customHeight="1">
      <c r="A65" s="1"/>
      <c r="B65" s="867"/>
      <c r="C65" s="867"/>
      <c r="D65" s="868"/>
      <c r="E65" s="1"/>
      <c r="F65" s="869" t="s">
        <v>432</v>
      </c>
      <c r="G65" s="870" t="str">
        <f>'F Population'!U6</f>
        <v>2027 - 28</v>
      </c>
      <c r="H65" s="21"/>
      <c r="I65" s="871"/>
      <c r="J65" s="871"/>
      <c r="K65" s="866"/>
      <c r="L65" s="694"/>
      <c r="M65" s="694"/>
      <c r="N65" s="694"/>
      <c r="O65" s="694"/>
      <c r="P65" s="280"/>
      <c r="Q65" s="280"/>
      <c r="R65" s="872">
        <f>SUM(R59:R63)</f>
        <v>3453339.736</v>
      </c>
      <c r="S65" s="694"/>
      <c r="T65" s="694"/>
      <c r="U65" s="694"/>
      <c r="V65" s="1"/>
      <c r="W65" s="1"/>
      <c r="X65" s="1"/>
      <c r="Y65" s="1"/>
      <c r="Z65" s="1"/>
    </row>
    <row r="66" ht="14.25" customHeight="1">
      <c r="A66" s="1"/>
      <c r="B66" s="694"/>
      <c r="C66" s="694"/>
      <c r="D66" s="694"/>
      <c r="E66" s="694"/>
      <c r="F66" s="694"/>
      <c r="G66" s="692"/>
      <c r="H66" s="694"/>
      <c r="I66" s="694"/>
      <c r="J66" s="692"/>
      <c r="K66" s="692"/>
      <c r="L66" s="694"/>
      <c r="M66" s="694"/>
      <c r="N66" s="694"/>
      <c r="O66" s="694"/>
      <c r="P66" s="280"/>
      <c r="Q66" s="280"/>
      <c r="R66" s="280"/>
      <c r="S66" s="694"/>
      <c r="T66" s="694"/>
      <c r="U66" s="694"/>
      <c r="V66" s="1"/>
      <c r="W66" s="1"/>
      <c r="X66" s="1"/>
      <c r="Y66" s="1"/>
      <c r="Z66" s="1"/>
    </row>
    <row r="67" ht="14.25" customHeight="1">
      <c r="A67" s="804" t="s">
        <v>134</v>
      </c>
      <c r="B67" s="804" t="str">
        <f>'F Population'!U$6</f>
        <v>2027 - 28</v>
      </c>
      <c r="C67" s="806" t="s">
        <v>433</v>
      </c>
      <c r="D67" s="710"/>
      <c r="E67" s="806"/>
      <c r="F67" s="806"/>
      <c r="G67" s="705"/>
      <c r="H67" s="707"/>
      <c r="I67" s="707"/>
      <c r="J67" s="705"/>
      <c r="K67" s="705"/>
      <c r="L67" s="707"/>
      <c r="M67" s="707"/>
      <c r="N67" s="707"/>
      <c r="O67" s="707"/>
      <c r="P67" s="708"/>
      <c r="Q67" s="708"/>
      <c r="R67" s="708"/>
      <c r="S67" s="710"/>
      <c r="T67" s="710"/>
      <c r="U67" s="710"/>
      <c r="V67" s="710"/>
      <c r="W67" s="710"/>
      <c r="X67" s="710"/>
      <c r="Y67" s="710"/>
      <c r="Z67" s="710"/>
    </row>
    <row r="68" ht="7.5" customHeight="1">
      <c r="A68" s="1"/>
      <c r="B68" s="694"/>
      <c r="C68" s="694"/>
      <c r="D68" s="694"/>
      <c r="E68" s="694"/>
      <c r="F68" s="694"/>
      <c r="G68" s="692"/>
      <c r="H68" s="694"/>
      <c r="I68" s="694"/>
      <c r="J68" s="692"/>
      <c r="K68" s="692"/>
      <c r="L68" s="694"/>
      <c r="M68" s="694"/>
      <c r="N68" s="694"/>
      <c r="O68" s="694"/>
      <c r="P68" s="280"/>
      <c r="Q68" s="280"/>
      <c r="R68" s="280"/>
      <c r="S68" s="694"/>
      <c r="T68" s="694"/>
      <c r="U68" s="694"/>
      <c r="V68" s="1"/>
      <c r="W68" s="1"/>
      <c r="X68" s="1"/>
      <c r="Y68" s="1"/>
      <c r="Z68" s="1"/>
    </row>
    <row r="69" ht="15.75" customHeight="1">
      <c r="A69" s="1"/>
      <c r="B69" s="873" t="s">
        <v>434</v>
      </c>
      <c r="C69" s="694"/>
      <c r="D69" s="694"/>
      <c r="E69" s="694"/>
      <c r="F69" s="694"/>
      <c r="G69" s="692"/>
      <c r="H69" s="874"/>
      <c r="I69" s="694"/>
      <c r="J69" s="692"/>
      <c r="K69" s="874"/>
      <c r="L69" s="875" t="str">
        <f>'F Population'!P6</f>
        <v>2026 - 27</v>
      </c>
      <c r="M69" s="876" t="s">
        <v>435</v>
      </c>
      <c r="N69" s="694"/>
      <c r="O69" s="694"/>
      <c r="P69" s="280">
        <f>'F Population'!P20</f>
        <v>1988</v>
      </c>
      <c r="Q69" s="280"/>
      <c r="R69" s="280"/>
      <c r="S69" s="694"/>
      <c r="T69" s="694"/>
      <c r="U69" s="694"/>
      <c r="V69" s="1"/>
      <c r="W69" s="1"/>
      <c r="X69" s="1"/>
      <c r="Y69" s="1"/>
      <c r="Z69" s="1"/>
    </row>
    <row r="70" ht="14.25" customHeight="1">
      <c r="A70" s="1"/>
      <c r="B70" s="873" t="s">
        <v>436</v>
      </c>
      <c r="C70" s="694"/>
      <c r="D70" s="694"/>
      <c r="E70" s="694"/>
      <c r="F70" s="694"/>
      <c r="G70" s="692"/>
      <c r="H70" s="877"/>
      <c r="I70" s="694"/>
      <c r="J70" s="692"/>
      <c r="K70" s="692"/>
      <c r="L70" s="878" t="s">
        <v>437</v>
      </c>
      <c r="M70" s="876"/>
      <c r="N70" s="694"/>
      <c r="O70" s="694"/>
      <c r="P70" s="879">
        <f>R71-P69</f>
        <v>-480</v>
      </c>
      <c r="Q70" s="280"/>
      <c r="R70" s="280"/>
      <c r="S70" s="694"/>
      <c r="T70" s="694"/>
      <c r="U70" s="694"/>
      <c r="V70" s="1"/>
      <c r="W70" s="1"/>
      <c r="X70" s="1"/>
      <c r="Y70" s="1"/>
      <c r="Z70" s="1"/>
    </row>
    <row r="71" ht="17.25" customHeight="1">
      <c r="A71" s="1"/>
      <c r="B71" s="873"/>
      <c r="C71" s="694"/>
      <c r="D71" s="694"/>
      <c r="E71" s="694"/>
      <c r="F71" s="880" t="s">
        <v>438</v>
      </c>
      <c r="G71" s="874" t="str">
        <f>'F Population'!U6</f>
        <v>2027 - 28</v>
      </c>
      <c r="H71" s="694"/>
      <c r="I71" s="694"/>
      <c r="J71" s="692"/>
      <c r="K71" s="692"/>
      <c r="L71" s="881">
        <f>R71/R$78</f>
        <v>0.7069854665</v>
      </c>
      <c r="M71" s="876" t="s">
        <v>439</v>
      </c>
      <c r="N71" s="882"/>
      <c r="O71" s="694"/>
      <c r="P71" s="280"/>
      <c r="Q71" s="280"/>
      <c r="R71" s="280">
        <f>R78-R75</f>
        <v>1508</v>
      </c>
      <c r="S71" s="694"/>
      <c r="T71" s="694"/>
      <c r="U71" s="694"/>
      <c r="V71" s="1"/>
      <c r="W71" s="1"/>
      <c r="X71" s="1"/>
      <c r="Y71" s="1"/>
      <c r="Z71" s="1"/>
    </row>
    <row r="72" ht="6.0" customHeight="1">
      <c r="A72" s="1"/>
      <c r="B72" s="694"/>
      <c r="C72" s="694"/>
      <c r="D72" s="694"/>
      <c r="E72" s="694"/>
      <c r="F72" s="692"/>
      <c r="G72" s="694"/>
      <c r="H72" s="694"/>
      <c r="I72" s="694"/>
      <c r="J72" s="692"/>
      <c r="K72" s="692"/>
      <c r="L72" s="694"/>
      <c r="M72" s="694"/>
      <c r="N72" s="694"/>
      <c r="O72" s="694"/>
      <c r="P72" s="280"/>
      <c r="Q72" s="280"/>
      <c r="R72" s="280"/>
      <c r="S72" s="694"/>
      <c r="T72" s="694"/>
      <c r="U72" s="694"/>
      <c r="V72" s="1"/>
      <c r="W72" s="1"/>
      <c r="X72" s="1"/>
      <c r="Y72" s="1"/>
      <c r="Z72" s="1"/>
    </row>
    <row r="73" ht="14.25" customHeight="1">
      <c r="A73" s="1"/>
      <c r="B73" s="694"/>
      <c r="C73" s="694"/>
      <c r="D73" s="694"/>
      <c r="E73" s="694"/>
      <c r="F73" s="880" t="s">
        <v>440</v>
      </c>
      <c r="G73" s="694" t="str">
        <f>'F Population'!U6</f>
        <v>2027 - 28</v>
      </c>
      <c r="H73" s="694"/>
      <c r="I73" s="694"/>
      <c r="J73" s="692"/>
      <c r="K73" s="692"/>
      <c r="L73" s="883" t="s">
        <v>441</v>
      </c>
      <c r="M73" s="694"/>
      <c r="N73" s="694"/>
      <c r="O73" s="694"/>
      <c r="P73" s="280">
        <f>'F Population'!U9</f>
        <v>580</v>
      </c>
      <c r="Q73" s="280"/>
      <c r="R73" s="280"/>
      <c r="S73" s="694"/>
      <c r="T73" s="694"/>
      <c r="U73" s="694"/>
      <c r="V73" s="1"/>
      <c r="W73" s="1"/>
      <c r="X73" s="1"/>
      <c r="Y73" s="1"/>
      <c r="Z73" s="1"/>
    </row>
    <row r="74" ht="19.5" customHeight="1">
      <c r="A74" s="1"/>
      <c r="B74" s="884" t="s">
        <v>442</v>
      </c>
      <c r="C74" s="694"/>
      <c r="D74" s="880"/>
      <c r="E74" s="694"/>
      <c r="F74" s="692"/>
      <c r="G74" s="694"/>
      <c r="H74" s="694"/>
      <c r="I74" s="694"/>
      <c r="J74" s="692"/>
      <c r="K74" s="692"/>
      <c r="L74" s="883" t="s">
        <v>443</v>
      </c>
      <c r="M74" s="694"/>
      <c r="N74" s="694"/>
      <c r="O74" s="694"/>
      <c r="P74" s="723">
        <f>'F Population'!U23</f>
        <v>45</v>
      </c>
      <c r="Q74" s="280"/>
      <c r="R74" s="280"/>
      <c r="S74" s="694"/>
      <c r="T74" s="694"/>
      <c r="U74" s="694"/>
      <c r="V74" s="1"/>
      <c r="W74" s="1"/>
      <c r="X74" s="1"/>
      <c r="Y74" s="1"/>
      <c r="Z74" s="1"/>
    </row>
    <row r="75" ht="18.75" customHeight="1">
      <c r="A75" s="1"/>
      <c r="B75" s="694"/>
      <c r="C75" s="694"/>
      <c r="D75" s="694"/>
      <c r="E75" s="694"/>
      <c r="F75" s="880" t="s">
        <v>444</v>
      </c>
      <c r="G75" s="874" t="str">
        <f>'F Population'!U6</f>
        <v>2027 - 28</v>
      </c>
      <c r="H75" s="694"/>
      <c r="I75" s="694"/>
      <c r="J75" s="885"/>
      <c r="K75" s="692"/>
      <c r="L75" s="881">
        <f>R75/R$78</f>
        <v>0.2930145335</v>
      </c>
      <c r="M75" s="876" t="s">
        <v>446</v>
      </c>
      <c r="N75" s="882"/>
      <c r="O75" s="694"/>
      <c r="P75" s="280"/>
      <c r="Q75" s="280"/>
      <c r="R75" s="280">
        <f>P73+P74</f>
        <v>625</v>
      </c>
      <c r="S75" s="694"/>
      <c r="T75" s="694"/>
      <c r="U75" s="694"/>
      <c r="V75" s="1"/>
      <c r="W75" s="1"/>
      <c r="X75" s="1"/>
      <c r="Y75" s="1"/>
      <c r="Z75" s="1"/>
    </row>
    <row r="76" ht="6.0" customHeight="1">
      <c r="A76" s="1"/>
      <c r="B76" s="694"/>
      <c r="C76" s="694"/>
      <c r="D76" s="694"/>
      <c r="E76" s="694"/>
      <c r="F76" s="694"/>
      <c r="G76" s="692"/>
      <c r="H76" s="694"/>
      <c r="I76" s="694"/>
      <c r="J76" s="692"/>
      <c r="K76" s="692"/>
      <c r="L76" s="694"/>
      <c r="M76" s="694"/>
      <c r="N76" s="694"/>
      <c r="O76" s="694"/>
      <c r="P76" s="280"/>
      <c r="Q76" s="280"/>
      <c r="R76" s="723"/>
      <c r="S76" s="694"/>
      <c r="T76" s="694"/>
      <c r="U76" s="694"/>
      <c r="V76" s="1"/>
      <c r="W76" s="1"/>
      <c r="X76" s="1"/>
      <c r="Y76" s="1"/>
      <c r="Z76" s="1"/>
    </row>
    <row r="77" ht="7.5" customHeight="1">
      <c r="A77" s="1"/>
      <c r="B77" s="694"/>
      <c r="C77" s="694"/>
      <c r="D77" s="694"/>
      <c r="E77" s="694"/>
      <c r="F77" s="694"/>
      <c r="G77" s="692"/>
      <c r="H77" s="694"/>
      <c r="I77" s="694"/>
      <c r="J77" s="692"/>
      <c r="K77" s="692"/>
      <c r="L77" s="694"/>
      <c r="M77" s="694"/>
      <c r="N77" s="694"/>
      <c r="O77" s="694"/>
      <c r="P77" s="280"/>
      <c r="Q77" s="280"/>
      <c r="R77" s="280"/>
      <c r="S77" s="694"/>
      <c r="T77" s="694"/>
      <c r="U77" s="694"/>
      <c r="V77" s="1"/>
      <c r="W77" s="1"/>
      <c r="X77" s="1"/>
      <c r="Y77" s="1"/>
      <c r="Z77" s="1"/>
    </row>
    <row r="78" ht="14.25" customHeight="1">
      <c r="A78" s="1"/>
      <c r="B78" s="694"/>
      <c r="C78" s="1"/>
      <c r="D78" s="694"/>
      <c r="E78" s="873"/>
      <c r="F78" s="880" t="s">
        <v>447</v>
      </c>
      <c r="G78" s="886" t="str">
        <f>'F Population'!U6</f>
        <v>2027 - 28</v>
      </c>
      <c r="H78" s="21"/>
      <c r="I78" s="694"/>
      <c r="J78" s="880"/>
      <c r="K78" s="692"/>
      <c r="L78" s="883" t="s">
        <v>448</v>
      </c>
      <c r="M78" s="694"/>
      <c r="N78" s="883"/>
      <c r="O78" s="694"/>
      <c r="P78" s="280"/>
      <c r="Q78" s="280"/>
      <c r="R78" s="280">
        <f>'F Population'!U20</f>
        <v>2133</v>
      </c>
      <c r="S78" s="694"/>
      <c r="T78" s="694"/>
      <c r="U78" s="694"/>
      <c r="V78" s="1"/>
      <c r="W78" s="1"/>
      <c r="X78" s="1"/>
      <c r="Y78" s="1"/>
      <c r="Z78" s="1"/>
    </row>
    <row r="79" ht="6.0" customHeight="1">
      <c r="A79" s="1"/>
      <c r="B79" s="880"/>
      <c r="C79" s="873"/>
      <c r="D79" s="694"/>
      <c r="E79" s="873"/>
      <c r="F79" s="873"/>
      <c r="G79" s="692"/>
      <c r="H79" s="694"/>
      <c r="I79" s="694"/>
      <c r="J79" s="692"/>
      <c r="K79" s="692"/>
      <c r="L79" s="694"/>
      <c r="M79" s="694"/>
      <c r="N79" s="694"/>
      <c r="O79" s="694"/>
      <c r="P79" s="280"/>
      <c r="Q79" s="280"/>
      <c r="R79" s="723"/>
      <c r="S79" s="694"/>
      <c r="T79" s="694"/>
      <c r="U79" s="694"/>
      <c r="V79" s="1"/>
      <c r="W79" s="1"/>
      <c r="X79" s="1"/>
      <c r="Y79" s="1"/>
      <c r="Z79" s="1"/>
    </row>
    <row r="80" ht="6.0" customHeight="1">
      <c r="A80" s="1"/>
      <c r="B80" s="694"/>
      <c r="C80" s="694"/>
      <c r="D80" s="694"/>
      <c r="E80" s="694"/>
      <c r="F80" s="694"/>
      <c r="G80" s="692"/>
      <c r="H80" s="694"/>
      <c r="I80" s="694"/>
      <c r="J80" s="692"/>
      <c r="K80" s="692"/>
      <c r="L80" s="694"/>
      <c r="M80" s="694"/>
      <c r="N80" s="694"/>
      <c r="O80" s="694"/>
      <c r="P80" s="280"/>
      <c r="Q80" s="280"/>
      <c r="R80" s="280"/>
      <c r="S80" s="694"/>
      <c r="T80" s="694"/>
      <c r="U80" s="694"/>
      <c r="V80" s="1"/>
      <c r="W80" s="1"/>
      <c r="X80" s="1"/>
      <c r="Y80" s="1"/>
      <c r="Z80" s="1"/>
    </row>
    <row r="81" ht="14.25" customHeight="1">
      <c r="A81" s="1"/>
      <c r="B81" s="694"/>
      <c r="C81" s="694"/>
      <c r="D81" s="694"/>
      <c r="E81" s="1"/>
      <c r="F81" s="880"/>
      <c r="G81" s="692"/>
      <c r="H81" s="694"/>
      <c r="I81" s="694"/>
      <c r="J81" s="692"/>
      <c r="K81" s="692"/>
      <c r="L81" s="883" t="s">
        <v>449</v>
      </c>
      <c r="M81" s="694"/>
      <c r="N81" s="883"/>
      <c r="O81" s="694"/>
      <c r="P81" s="887">
        <f>R81/P69</f>
        <v>0.07293762575</v>
      </c>
      <c r="Q81" s="280"/>
      <c r="R81" s="565">
        <f>R78-P69</f>
        <v>145</v>
      </c>
      <c r="S81" s="694"/>
      <c r="T81" s="694"/>
      <c r="U81" s="694"/>
      <c r="V81" s="1"/>
      <c r="W81" s="1"/>
      <c r="X81" s="1"/>
      <c r="Y81" s="1"/>
      <c r="Z81" s="1"/>
    </row>
    <row r="82" ht="6.0" customHeight="1">
      <c r="A82" s="1"/>
      <c r="B82" s="694"/>
      <c r="C82" s="694"/>
      <c r="D82" s="694"/>
      <c r="E82" s="880"/>
      <c r="F82" s="880"/>
      <c r="G82" s="692"/>
      <c r="H82" s="694"/>
      <c r="I82" s="694"/>
      <c r="J82" s="692"/>
      <c r="K82" s="692"/>
      <c r="L82" s="694"/>
      <c r="M82" s="694"/>
      <c r="N82" s="694"/>
      <c r="O82" s="694"/>
      <c r="P82" s="887"/>
      <c r="Q82" s="280"/>
      <c r="R82" s="879"/>
      <c r="S82" s="694"/>
      <c r="T82" s="694"/>
      <c r="U82" s="694"/>
      <c r="V82" s="1"/>
      <c r="W82" s="1"/>
      <c r="X82" s="1"/>
      <c r="Y82" s="1"/>
      <c r="Z82" s="1"/>
    </row>
    <row r="83" ht="10.5" customHeight="1">
      <c r="A83" s="1"/>
      <c r="B83" s="694"/>
      <c r="C83" s="694"/>
      <c r="D83" s="694"/>
      <c r="E83" s="694"/>
      <c r="F83" s="694"/>
      <c r="G83" s="692"/>
      <c r="H83" s="694"/>
      <c r="I83" s="694"/>
      <c r="J83" s="692"/>
      <c r="K83" s="692"/>
      <c r="L83" s="694"/>
      <c r="M83" s="694"/>
      <c r="N83" s="694"/>
      <c r="O83" s="694"/>
      <c r="P83" s="280"/>
      <c r="Q83" s="280"/>
      <c r="R83" s="280"/>
      <c r="S83" s="694"/>
      <c r="T83" s="694"/>
      <c r="U83" s="694"/>
      <c r="V83" s="1"/>
      <c r="W83" s="1"/>
      <c r="X83" s="1"/>
      <c r="Y83" s="1"/>
      <c r="Z83" s="1"/>
    </row>
    <row r="84" ht="14.25" customHeight="1">
      <c r="A84" s="1"/>
      <c r="B84" s="694"/>
      <c r="C84" s="694"/>
      <c r="D84" s="694"/>
      <c r="E84" s="880"/>
      <c r="F84" s="694"/>
      <c r="G84" s="692"/>
      <c r="H84" s="694"/>
      <c r="I84" s="694"/>
      <c r="J84" s="888" t="s">
        <v>450</v>
      </c>
      <c r="K84" s="889"/>
      <c r="L84" s="890"/>
      <c r="M84" s="851"/>
      <c r="N84" s="851">
        <f>R75</f>
        <v>625</v>
      </c>
      <c r="O84" s="891" t="s">
        <v>451</v>
      </c>
      <c r="P84" s="892">
        <f>-P70</f>
        <v>480</v>
      </c>
      <c r="Q84" s="893" t="s">
        <v>408</v>
      </c>
      <c r="R84" s="894">
        <f>N84/P84</f>
        <v>1.302083333</v>
      </c>
      <c r="S84" s="694"/>
      <c r="T84" s="694"/>
      <c r="U84" s="694"/>
      <c r="V84" s="1"/>
      <c r="W84" s="1"/>
      <c r="X84" s="1"/>
      <c r="Y84" s="1"/>
      <c r="Z84" s="1"/>
    </row>
    <row r="85" ht="14.25" customHeight="1">
      <c r="A85" s="1"/>
      <c r="B85" s="694"/>
      <c r="C85" s="694"/>
      <c r="D85" s="694"/>
      <c r="E85" s="694"/>
      <c r="F85" s="694"/>
      <c r="G85" s="692"/>
      <c r="H85" s="694"/>
      <c r="I85" s="694"/>
      <c r="J85" s="597"/>
      <c r="K85" s="598"/>
      <c r="L85" s="599"/>
      <c r="M85" s="861"/>
      <c r="N85" s="895" t="s">
        <v>452</v>
      </c>
      <c r="O85" s="896"/>
      <c r="P85" s="897"/>
      <c r="Q85" s="600"/>
      <c r="R85" s="313"/>
      <c r="S85" s="694"/>
      <c r="T85" s="694"/>
      <c r="U85" s="694"/>
      <c r="V85" s="1"/>
      <c r="W85" s="1"/>
      <c r="X85" s="1"/>
      <c r="Y85" s="1"/>
      <c r="Z85" s="1"/>
    </row>
    <row r="86" ht="14.25" customHeight="1">
      <c r="A86" s="1"/>
      <c r="B86" s="694"/>
      <c r="C86" s="694"/>
      <c r="D86" s="694"/>
      <c r="E86" s="694"/>
      <c r="F86" s="694"/>
      <c r="G86" s="692"/>
      <c r="H86" s="694"/>
      <c r="I86" s="694"/>
      <c r="J86" s="692"/>
      <c r="K86" s="692"/>
      <c r="L86" s="694"/>
      <c r="M86" s="694"/>
      <c r="N86" s="694"/>
      <c r="O86" s="694"/>
      <c r="P86" s="280"/>
      <c r="Q86" s="280"/>
      <c r="R86" s="280"/>
      <c r="S86" s="694"/>
      <c r="T86" s="694"/>
      <c r="U86" s="694"/>
      <c r="V86" s="1"/>
      <c r="W86" s="1"/>
      <c r="X86" s="1"/>
      <c r="Y86" s="1"/>
      <c r="Z86" s="1"/>
    </row>
    <row r="87" ht="14.25" customHeight="1">
      <c r="A87" s="1"/>
      <c r="B87" s="694"/>
      <c r="C87" s="694"/>
      <c r="D87" s="694"/>
      <c r="E87" s="694"/>
      <c r="F87" s="694"/>
      <c r="G87" s="692"/>
      <c r="H87" s="694"/>
      <c r="I87" s="694"/>
      <c r="J87" s="692"/>
      <c r="K87" s="692"/>
      <c r="L87" s="694"/>
      <c r="M87" s="694"/>
      <c r="N87" s="694"/>
      <c r="O87" s="694"/>
      <c r="P87" s="280"/>
      <c r="Q87" s="280"/>
      <c r="R87" s="280"/>
      <c r="S87" s="694"/>
      <c r="T87" s="694"/>
      <c r="U87" s="694"/>
      <c r="V87" s="1"/>
      <c r="W87" s="1"/>
      <c r="X87" s="1"/>
      <c r="Y87" s="1"/>
      <c r="Z87" s="1"/>
    </row>
    <row r="88" ht="14.25" customHeight="1">
      <c r="A88" s="1"/>
      <c r="B88" s="694"/>
      <c r="C88" s="694"/>
      <c r="D88" s="694"/>
      <c r="E88" s="694"/>
      <c r="F88" s="694"/>
      <c r="G88" s="692"/>
      <c r="H88" s="694"/>
      <c r="I88" s="694"/>
      <c r="J88" s="692"/>
      <c r="K88" s="692"/>
      <c r="L88" s="694"/>
      <c r="M88" s="694"/>
      <c r="N88" s="694"/>
      <c r="O88" s="694"/>
      <c r="P88" s="280"/>
      <c r="Q88" s="280"/>
      <c r="R88" s="280"/>
      <c r="S88" s="694"/>
      <c r="T88" s="694"/>
      <c r="U88" s="694"/>
      <c r="V88" s="1"/>
      <c r="W88" s="1"/>
      <c r="X88" s="1"/>
      <c r="Y88" s="1"/>
      <c r="Z88" s="1"/>
    </row>
    <row r="89" ht="14.25" customHeight="1">
      <c r="A89" s="1"/>
      <c r="B89" s="694"/>
      <c r="C89" s="694"/>
      <c r="D89" s="694"/>
      <c r="E89" s="694"/>
      <c r="F89" s="694"/>
      <c r="G89" s="692"/>
      <c r="H89" s="694"/>
      <c r="I89" s="694"/>
      <c r="J89" s="692"/>
      <c r="K89" s="692"/>
      <c r="L89" s="694"/>
      <c r="M89" s="694"/>
      <c r="N89" s="694"/>
      <c r="O89" s="694"/>
      <c r="P89" s="280"/>
      <c r="Q89" s="280"/>
      <c r="R89" s="280"/>
      <c r="S89" s="694"/>
      <c r="T89" s="694"/>
      <c r="U89" s="694"/>
      <c r="V89" s="1"/>
      <c r="W89" s="1"/>
      <c r="X89" s="1"/>
      <c r="Y89" s="1"/>
      <c r="Z89" s="1"/>
    </row>
    <row r="90" ht="14.25" customHeight="1">
      <c r="A90" s="1"/>
      <c r="B90" s="694"/>
      <c r="C90" s="694"/>
      <c r="D90" s="694"/>
      <c r="E90" s="694"/>
      <c r="F90" s="694"/>
      <c r="G90" s="692"/>
      <c r="H90" s="694"/>
      <c r="I90" s="694"/>
      <c r="J90" s="692"/>
      <c r="K90" s="692"/>
      <c r="L90" s="694"/>
      <c r="M90" s="694"/>
      <c r="N90" s="694"/>
      <c r="O90" s="694"/>
      <c r="P90" s="280"/>
      <c r="Q90" s="280"/>
      <c r="R90" s="280"/>
      <c r="S90" s="694"/>
      <c r="T90" s="694"/>
      <c r="U90" s="694"/>
      <c r="V90" s="1"/>
      <c r="W90" s="1"/>
      <c r="X90" s="1"/>
      <c r="Y90" s="1"/>
      <c r="Z90" s="1"/>
    </row>
    <row r="91" ht="14.25" customHeight="1">
      <c r="A91" s="1"/>
      <c r="B91" s="694"/>
      <c r="C91" s="694"/>
      <c r="D91" s="694"/>
      <c r="E91" s="694"/>
      <c r="F91" s="694"/>
      <c r="G91" s="692"/>
      <c r="H91" s="694"/>
      <c r="I91" s="694"/>
      <c r="J91" s="692"/>
      <c r="K91" s="692"/>
      <c r="L91" s="694"/>
      <c r="M91" s="694"/>
      <c r="N91" s="694"/>
      <c r="O91" s="694"/>
      <c r="P91" s="280"/>
      <c r="Q91" s="280"/>
      <c r="R91" s="280"/>
      <c r="S91" s="694"/>
      <c r="T91" s="694"/>
      <c r="U91" s="694"/>
      <c r="V91" s="1"/>
      <c r="W91" s="1"/>
      <c r="X91" s="1"/>
      <c r="Y91" s="1"/>
      <c r="Z91" s="1"/>
    </row>
    <row r="92" ht="14.25" customHeight="1">
      <c r="A92" s="1"/>
      <c r="B92" s="694"/>
      <c r="C92" s="694"/>
      <c r="D92" s="694"/>
      <c r="E92" s="694"/>
      <c r="F92" s="694"/>
      <c r="G92" s="692"/>
      <c r="H92" s="694"/>
      <c r="I92" s="694"/>
      <c r="J92" s="692"/>
      <c r="K92" s="692"/>
      <c r="L92" s="694"/>
      <c r="M92" s="694"/>
      <c r="N92" s="694"/>
      <c r="O92" s="694"/>
      <c r="P92" s="280"/>
      <c r="Q92" s="280"/>
      <c r="R92" s="280"/>
      <c r="S92" s="694"/>
      <c r="T92" s="694"/>
      <c r="U92" s="694"/>
      <c r="V92" s="1"/>
      <c r="W92" s="1"/>
      <c r="X92" s="1"/>
      <c r="Y92" s="1"/>
      <c r="Z92" s="1"/>
    </row>
    <row r="93" ht="14.25" customHeight="1">
      <c r="A93" s="1"/>
      <c r="B93" s="694"/>
      <c r="C93" s="694"/>
      <c r="D93" s="694"/>
      <c r="E93" s="694"/>
      <c r="F93" s="694"/>
      <c r="G93" s="692"/>
      <c r="H93" s="694"/>
      <c r="I93" s="694"/>
      <c r="J93" s="692"/>
      <c r="K93" s="692"/>
      <c r="L93" s="694"/>
      <c r="M93" s="694"/>
      <c r="N93" s="694"/>
      <c r="O93" s="694"/>
      <c r="P93" s="280"/>
      <c r="Q93" s="280"/>
      <c r="R93" s="280"/>
      <c r="S93" s="694"/>
      <c r="T93" s="694"/>
      <c r="U93" s="694"/>
      <c r="V93" s="1"/>
      <c r="W93" s="1"/>
      <c r="X93" s="1"/>
      <c r="Y93" s="1"/>
      <c r="Z93" s="1"/>
    </row>
    <row r="94" ht="14.25" customHeight="1">
      <c r="A94" s="1"/>
      <c r="B94" s="694"/>
      <c r="C94" s="694"/>
      <c r="D94" s="694"/>
      <c r="E94" s="694"/>
      <c r="F94" s="694"/>
      <c r="G94" s="692"/>
      <c r="H94" s="694"/>
      <c r="I94" s="694"/>
      <c r="J94" s="692"/>
      <c r="K94" s="692"/>
      <c r="L94" s="694"/>
      <c r="M94" s="694"/>
      <c r="N94" s="694"/>
      <c r="O94" s="694"/>
      <c r="P94" s="280"/>
      <c r="Q94" s="280"/>
      <c r="R94" s="280"/>
      <c r="S94" s="694"/>
      <c r="T94" s="694"/>
      <c r="U94" s="694"/>
      <c r="V94" s="1"/>
      <c r="W94" s="1"/>
      <c r="X94" s="1"/>
      <c r="Y94" s="1"/>
      <c r="Z94" s="1"/>
    </row>
    <row r="95" ht="14.25" customHeight="1">
      <c r="A95" s="1"/>
      <c r="B95" s="694"/>
      <c r="C95" s="694"/>
      <c r="D95" s="694"/>
      <c r="E95" s="694"/>
      <c r="F95" s="694"/>
      <c r="G95" s="692"/>
      <c r="H95" s="694"/>
      <c r="I95" s="694"/>
      <c r="J95" s="692"/>
      <c r="K95" s="692"/>
      <c r="L95" s="694"/>
      <c r="M95" s="694"/>
      <c r="N95" s="694"/>
      <c r="O95" s="694"/>
      <c r="P95" s="280"/>
      <c r="Q95" s="280"/>
      <c r="R95" s="280"/>
      <c r="S95" s="694"/>
      <c r="T95" s="694"/>
      <c r="U95" s="694"/>
      <c r="V95" s="1"/>
      <c r="W95" s="1"/>
      <c r="X95" s="1"/>
      <c r="Y95" s="1"/>
      <c r="Z95" s="1"/>
    </row>
    <row r="96" ht="14.25" customHeight="1">
      <c r="A96" s="1"/>
      <c r="B96" s="694"/>
      <c r="C96" s="694"/>
      <c r="D96" s="694"/>
      <c r="E96" s="694"/>
      <c r="F96" s="694"/>
      <c r="G96" s="692"/>
      <c r="H96" s="694"/>
      <c r="I96" s="694"/>
      <c r="J96" s="692"/>
      <c r="K96" s="692"/>
      <c r="L96" s="694"/>
      <c r="M96" s="694"/>
      <c r="N96" s="694"/>
      <c r="O96" s="694"/>
      <c r="P96" s="280"/>
      <c r="Q96" s="280"/>
      <c r="R96" s="280"/>
      <c r="S96" s="694"/>
      <c r="T96" s="694"/>
      <c r="U96" s="694"/>
      <c r="V96" s="1"/>
      <c r="W96" s="1"/>
      <c r="X96" s="1"/>
      <c r="Y96" s="1"/>
      <c r="Z96" s="1"/>
    </row>
    <row r="97" ht="14.25" customHeight="1">
      <c r="A97" s="1"/>
      <c r="B97" s="694"/>
      <c r="C97" s="694"/>
      <c r="D97" s="694"/>
      <c r="E97" s="694"/>
      <c r="F97" s="694"/>
      <c r="G97" s="692"/>
      <c r="H97" s="694"/>
      <c r="I97" s="694"/>
      <c r="J97" s="692"/>
      <c r="K97" s="692"/>
      <c r="L97" s="694"/>
      <c r="M97" s="694"/>
      <c r="N97" s="694"/>
      <c r="O97" s="694"/>
      <c r="P97" s="280"/>
      <c r="Q97" s="280"/>
      <c r="R97" s="280"/>
      <c r="S97" s="694"/>
      <c r="T97" s="694"/>
      <c r="U97" s="694"/>
      <c r="V97" s="1"/>
      <c r="W97" s="1"/>
      <c r="X97" s="1"/>
      <c r="Y97" s="1"/>
      <c r="Z97" s="1"/>
    </row>
    <row r="98" ht="14.25" customHeight="1">
      <c r="A98" s="1"/>
      <c r="B98" s="694"/>
      <c r="C98" s="694"/>
      <c r="D98" s="694"/>
      <c r="E98" s="694"/>
      <c r="F98" s="694"/>
      <c r="G98" s="692"/>
      <c r="H98" s="694"/>
      <c r="I98" s="694"/>
      <c r="J98" s="692"/>
      <c r="K98" s="692"/>
      <c r="L98" s="694"/>
      <c r="M98" s="694"/>
      <c r="N98" s="694"/>
      <c r="O98" s="694"/>
      <c r="P98" s="280"/>
      <c r="Q98" s="280"/>
      <c r="R98" s="280"/>
      <c r="S98" s="694"/>
      <c r="T98" s="694"/>
      <c r="U98" s="694"/>
      <c r="V98" s="1"/>
      <c r="W98" s="1"/>
      <c r="X98" s="1"/>
      <c r="Y98" s="1"/>
      <c r="Z98" s="1"/>
    </row>
    <row r="99" ht="14.25" customHeight="1">
      <c r="A99" s="1"/>
      <c r="B99" s="694"/>
      <c r="C99" s="694"/>
      <c r="D99" s="694"/>
      <c r="E99" s="694"/>
      <c r="F99" s="694"/>
      <c r="G99" s="692"/>
      <c r="H99" s="694"/>
      <c r="I99" s="694"/>
      <c r="J99" s="692"/>
      <c r="K99" s="692"/>
      <c r="L99" s="694"/>
      <c r="M99" s="694"/>
      <c r="N99" s="694"/>
      <c r="O99" s="694"/>
      <c r="P99" s="280"/>
      <c r="Q99" s="280"/>
      <c r="R99" s="280"/>
      <c r="S99" s="694"/>
      <c r="T99" s="694"/>
      <c r="U99" s="694"/>
      <c r="V99" s="1"/>
      <c r="W99" s="1"/>
      <c r="X99" s="1"/>
      <c r="Y99" s="1"/>
      <c r="Z99" s="1"/>
    </row>
    <row r="100" ht="14.25" customHeight="1">
      <c r="A100" s="1"/>
      <c r="B100" s="694"/>
      <c r="C100" s="694"/>
      <c r="D100" s="694"/>
      <c r="E100" s="694"/>
      <c r="F100" s="694"/>
      <c r="G100" s="692"/>
      <c r="H100" s="694"/>
      <c r="I100" s="694"/>
      <c r="J100" s="692"/>
      <c r="K100" s="692"/>
      <c r="L100" s="694"/>
      <c r="M100" s="694"/>
      <c r="N100" s="694"/>
      <c r="O100" s="694"/>
      <c r="P100" s="280"/>
      <c r="Q100" s="280"/>
      <c r="R100" s="280"/>
      <c r="S100" s="694"/>
      <c r="T100" s="694"/>
      <c r="U100" s="694"/>
      <c r="V100" s="1"/>
      <c r="W100" s="1"/>
      <c r="X100" s="1"/>
      <c r="Y100" s="1"/>
      <c r="Z100" s="1"/>
    </row>
    <row r="101" ht="14.25" customHeight="1">
      <c r="A101" s="1"/>
      <c r="B101" s="694"/>
      <c r="C101" s="694"/>
      <c r="D101" s="694"/>
      <c r="E101" s="694"/>
      <c r="F101" s="694"/>
      <c r="G101" s="692"/>
      <c r="H101" s="694"/>
      <c r="I101" s="694"/>
      <c r="J101" s="692"/>
      <c r="K101" s="692"/>
      <c r="L101" s="694"/>
      <c r="M101" s="694"/>
      <c r="N101" s="694"/>
      <c r="O101" s="694"/>
      <c r="P101" s="280"/>
      <c r="Q101" s="280"/>
      <c r="R101" s="280"/>
      <c r="S101" s="694"/>
      <c r="T101" s="694"/>
      <c r="U101" s="694"/>
      <c r="V101" s="1"/>
      <c r="W101" s="1"/>
      <c r="X101" s="1"/>
      <c r="Y101" s="1"/>
      <c r="Z101" s="1"/>
    </row>
    <row r="102" ht="14.25" customHeight="1">
      <c r="A102" s="1"/>
      <c r="B102" s="694"/>
      <c r="C102" s="694"/>
      <c r="D102" s="694"/>
      <c r="E102" s="694"/>
      <c r="F102" s="694"/>
      <c r="G102" s="692"/>
      <c r="H102" s="694"/>
      <c r="I102" s="694"/>
      <c r="J102" s="692"/>
      <c r="K102" s="692"/>
      <c r="L102" s="694"/>
      <c r="M102" s="694"/>
      <c r="N102" s="694"/>
      <c r="O102" s="694"/>
      <c r="P102" s="280"/>
      <c r="Q102" s="280"/>
      <c r="R102" s="280"/>
      <c r="S102" s="694"/>
      <c r="T102" s="694"/>
      <c r="U102" s="694"/>
      <c r="V102" s="1"/>
      <c r="W102" s="1"/>
      <c r="X102" s="1"/>
      <c r="Y102" s="1"/>
      <c r="Z102" s="1"/>
    </row>
    <row r="103" ht="14.25" customHeight="1">
      <c r="A103" s="1"/>
      <c r="B103" s="694"/>
      <c r="C103" s="694"/>
      <c r="D103" s="694"/>
      <c r="E103" s="694"/>
      <c r="F103" s="694"/>
      <c r="G103" s="692"/>
      <c r="H103" s="694"/>
      <c r="I103" s="694"/>
      <c r="J103" s="692"/>
      <c r="K103" s="692"/>
      <c r="L103" s="694"/>
      <c r="M103" s="694"/>
      <c r="N103" s="694"/>
      <c r="O103" s="694"/>
      <c r="P103" s="280"/>
      <c r="Q103" s="280"/>
      <c r="R103" s="280"/>
      <c r="S103" s="694"/>
      <c r="T103" s="694"/>
      <c r="U103" s="694"/>
      <c r="V103" s="1"/>
      <c r="W103" s="1"/>
      <c r="X103" s="1"/>
      <c r="Y103" s="1"/>
      <c r="Z103" s="1"/>
    </row>
    <row r="104" ht="14.25" customHeight="1">
      <c r="A104" s="1"/>
      <c r="B104" s="694"/>
      <c r="C104" s="694"/>
      <c r="D104" s="694"/>
      <c r="E104" s="694"/>
      <c r="F104" s="694"/>
      <c r="G104" s="692"/>
      <c r="H104" s="694"/>
      <c r="I104" s="694"/>
      <c r="J104" s="692"/>
      <c r="K104" s="692"/>
      <c r="L104" s="694"/>
      <c r="M104" s="694"/>
      <c r="N104" s="694"/>
      <c r="O104" s="694"/>
      <c r="P104" s="280"/>
      <c r="Q104" s="280"/>
      <c r="R104" s="280"/>
      <c r="S104" s="694"/>
      <c r="T104" s="694"/>
      <c r="U104" s="694"/>
      <c r="V104" s="1"/>
      <c r="W104" s="1"/>
      <c r="X104" s="1"/>
      <c r="Y104" s="1"/>
      <c r="Z104" s="1"/>
    </row>
    <row r="105" ht="14.25" customHeight="1">
      <c r="A105" s="1"/>
      <c r="B105" s="694"/>
      <c r="C105" s="694"/>
      <c r="D105" s="694"/>
      <c r="E105" s="694"/>
      <c r="F105" s="694"/>
      <c r="G105" s="692"/>
      <c r="H105" s="694"/>
      <c r="I105" s="694"/>
      <c r="J105" s="692"/>
      <c r="K105" s="692"/>
      <c r="L105" s="694"/>
      <c r="M105" s="694"/>
      <c r="N105" s="694"/>
      <c r="O105" s="694"/>
      <c r="P105" s="280"/>
      <c r="Q105" s="280"/>
      <c r="R105" s="280"/>
      <c r="S105" s="694"/>
      <c r="T105" s="694"/>
      <c r="U105" s="694"/>
      <c r="V105" s="1"/>
      <c r="W105" s="1"/>
      <c r="X105" s="1"/>
      <c r="Y105" s="1"/>
      <c r="Z105" s="1"/>
    </row>
    <row r="106" ht="14.25" customHeight="1">
      <c r="A106" s="1"/>
      <c r="B106" s="694"/>
      <c r="C106" s="694"/>
      <c r="D106" s="694"/>
      <c r="E106" s="694"/>
      <c r="F106" s="694"/>
      <c r="G106" s="692"/>
      <c r="H106" s="694"/>
      <c r="I106" s="694"/>
      <c r="J106" s="692"/>
      <c r="K106" s="692"/>
      <c r="L106" s="694"/>
      <c r="M106" s="694"/>
      <c r="N106" s="694"/>
      <c r="O106" s="694"/>
      <c r="P106" s="280"/>
      <c r="Q106" s="280"/>
      <c r="R106" s="280"/>
      <c r="S106" s="694"/>
      <c r="T106" s="694"/>
      <c r="U106" s="694"/>
      <c r="V106" s="1"/>
      <c r="W106" s="1"/>
      <c r="X106" s="1"/>
      <c r="Y106" s="1"/>
      <c r="Z106" s="1"/>
    </row>
    <row r="107" ht="14.25" customHeight="1">
      <c r="A107" s="1"/>
      <c r="B107" s="694"/>
      <c r="C107" s="694"/>
      <c r="D107" s="694"/>
      <c r="E107" s="694"/>
      <c r="F107" s="694"/>
      <c r="G107" s="692"/>
      <c r="H107" s="694"/>
      <c r="I107" s="694"/>
      <c r="J107" s="692"/>
      <c r="K107" s="692"/>
      <c r="L107" s="694"/>
      <c r="M107" s="694"/>
      <c r="N107" s="694"/>
      <c r="O107" s="694"/>
      <c r="P107" s="280"/>
      <c r="Q107" s="280"/>
      <c r="R107" s="280"/>
      <c r="S107" s="694"/>
      <c r="T107" s="694"/>
      <c r="U107" s="694"/>
      <c r="V107" s="1"/>
      <c r="W107" s="1"/>
      <c r="X107" s="1"/>
      <c r="Y107" s="1"/>
      <c r="Z107" s="1"/>
    </row>
    <row r="108" ht="14.25" customHeight="1">
      <c r="A108" s="1"/>
      <c r="B108" s="694"/>
      <c r="C108" s="694"/>
      <c r="D108" s="694"/>
      <c r="E108" s="694"/>
      <c r="F108" s="694"/>
      <c r="G108" s="692"/>
      <c r="H108" s="694"/>
      <c r="I108" s="694"/>
      <c r="J108" s="692"/>
      <c r="K108" s="692"/>
      <c r="L108" s="694"/>
      <c r="M108" s="694"/>
      <c r="N108" s="694"/>
      <c r="O108" s="694"/>
      <c r="P108" s="280"/>
      <c r="Q108" s="280"/>
      <c r="R108" s="280"/>
      <c r="S108" s="694"/>
      <c r="T108" s="694"/>
      <c r="U108" s="694"/>
      <c r="V108" s="1"/>
      <c r="W108" s="1"/>
      <c r="X108" s="1"/>
      <c r="Y108" s="1"/>
      <c r="Z108" s="1"/>
    </row>
    <row r="109" ht="14.25" customHeight="1">
      <c r="A109" s="1"/>
      <c r="B109" s="694"/>
      <c r="C109" s="694"/>
      <c r="D109" s="694"/>
      <c r="E109" s="694"/>
      <c r="F109" s="694"/>
      <c r="G109" s="692"/>
      <c r="H109" s="694"/>
      <c r="I109" s="694"/>
      <c r="J109" s="692"/>
      <c r="K109" s="692"/>
      <c r="L109" s="694"/>
      <c r="M109" s="694"/>
      <c r="N109" s="694"/>
      <c r="O109" s="694"/>
      <c r="P109" s="280"/>
      <c r="Q109" s="280"/>
      <c r="R109" s="280"/>
      <c r="S109" s="694"/>
      <c r="T109" s="694"/>
      <c r="U109" s="694"/>
      <c r="V109" s="1"/>
      <c r="W109" s="1"/>
      <c r="X109" s="1"/>
      <c r="Y109" s="1"/>
      <c r="Z109" s="1"/>
    </row>
    <row r="110" ht="14.25" customHeight="1">
      <c r="A110" s="1"/>
      <c r="B110" s="694"/>
      <c r="C110" s="694"/>
      <c r="D110" s="694"/>
      <c r="E110" s="694"/>
      <c r="F110" s="694"/>
      <c r="G110" s="692"/>
      <c r="H110" s="694"/>
      <c r="I110" s="694"/>
      <c r="J110" s="692"/>
      <c r="K110" s="692"/>
      <c r="L110" s="694"/>
      <c r="M110" s="694"/>
      <c r="N110" s="694"/>
      <c r="O110" s="694"/>
      <c r="P110" s="280"/>
      <c r="Q110" s="280"/>
      <c r="R110" s="280"/>
      <c r="S110" s="694"/>
      <c r="T110" s="694"/>
      <c r="U110" s="694"/>
      <c r="V110" s="1"/>
      <c r="W110" s="1"/>
      <c r="X110" s="1"/>
      <c r="Y110" s="1"/>
      <c r="Z110" s="1"/>
    </row>
    <row r="111" ht="14.25" customHeight="1">
      <c r="A111" s="1"/>
      <c r="B111" s="694"/>
      <c r="C111" s="694"/>
      <c r="D111" s="694"/>
      <c r="E111" s="694"/>
      <c r="F111" s="694"/>
      <c r="G111" s="692"/>
      <c r="H111" s="694"/>
      <c r="I111" s="694"/>
      <c r="J111" s="692"/>
      <c r="K111" s="692"/>
      <c r="L111" s="694"/>
      <c r="M111" s="694"/>
      <c r="N111" s="694"/>
      <c r="O111" s="694"/>
      <c r="P111" s="280"/>
      <c r="Q111" s="280"/>
      <c r="R111" s="280"/>
      <c r="S111" s="694"/>
      <c r="T111" s="694"/>
      <c r="U111" s="694"/>
      <c r="V111" s="1"/>
      <c r="W111" s="1"/>
      <c r="X111" s="1"/>
      <c r="Y111" s="1"/>
      <c r="Z111" s="1"/>
    </row>
    <row r="112" ht="14.25" customHeight="1">
      <c r="A112" s="1"/>
      <c r="B112" s="694"/>
      <c r="C112" s="694"/>
      <c r="D112" s="694"/>
      <c r="E112" s="694"/>
      <c r="F112" s="694"/>
      <c r="G112" s="692"/>
      <c r="H112" s="694"/>
      <c r="I112" s="694"/>
      <c r="J112" s="692"/>
      <c r="K112" s="692"/>
      <c r="L112" s="694"/>
      <c r="M112" s="694"/>
      <c r="N112" s="694"/>
      <c r="O112" s="694"/>
      <c r="P112" s="280"/>
      <c r="Q112" s="280"/>
      <c r="R112" s="280"/>
      <c r="S112" s="694"/>
      <c r="T112" s="694"/>
      <c r="U112" s="694"/>
      <c r="V112" s="1"/>
      <c r="W112" s="1"/>
      <c r="X112" s="1"/>
      <c r="Y112" s="1"/>
      <c r="Z112" s="1"/>
    </row>
    <row r="113" ht="14.25" customHeight="1">
      <c r="A113" s="1"/>
      <c r="B113" s="694"/>
      <c r="C113" s="694"/>
      <c r="D113" s="694"/>
      <c r="E113" s="694"/>
      <c r="F113" s="694"/>
      <c r="G113" s="692"/>
      <c r="H113" s="694"/>
      <c r="I113" s="694"/>
      <c r="J113" s="692"/>
      <c r="K113" s="692"/>
      <c r="L113" s="694"/>
      <c r="M113" s="694"/>
      <c r="N113" s="694"/>
      <c r="O113" s="694"/>
      <c r="P113" s="280"/>
      <c r="Q113" s="280"/>
      <c r="R113" s="280"/>
      <c r="S113" s="694"/>
      <c r="T113" s="694"/>
      <c r="U113" s="694"/>
      <c r="V113" s="1"/>
      <c r="W113" s="1"/>
      <c r="X113" s="1"/>
      <c r="Y113" s="1"/>
      <c r="Z113" s="1"/>
    </row>
    <row r="114" ht="14.25" customHeight="1">
      <c r="A114" s="1"/>
      <c r="B114" s="694"/>
      <c r="C114" s="694"/>
      <c r="D114" s="694"/>
      <c r="E114" s="694"/>
      <c r="F114" s="694"/>
      <c r="G114" s="692"/>
      <c r="H114" s="694"/>
      <c r="I114" s="694"/>
      <c r="J114" s="692"/>
      <c r="K114" s="692"/>
      <c r="L114" s="694"/>
      <c r="M114" s="694"/>
      <c r="N114" s="694"/>
      <c r="O114" s="694"/>
      <c r="P114" s="280"/>
      <c r="Q114" s="280"/>
      <c r="R114" s="280"/>
      <c r="S114" s="694"/>
      <c r="T114" s="694"/>
      <c r="U114" s="694"/>
      <c r="V114" s="1"/>
      <c r="W114" s="1"/>
      <c r="X114" s="1"/>
      <c r="Y114" s="1"/>
      <c r="Z114" s="1"/>
    </row>
    <row r="115" ht="14.25" customHeight="1">
      <c r="A115" s="1"/>
      <c r="B115" s="694"/>
      <c r="C115" s="694"/>
      <c r="D115" s="694"/>
      <c r="E115" s="694"/>
      <c r="F115" s="694"/>
      <c r="G115" s="692"/>
      <c r="H115" s="694"/>
      <c r="I115" s="694"/>
      <c r="J115" s="692"/>
      <c r="K115" s="692"/>
      <c r="L115" s="694"/>
      <c r="M115" s="694"/>
      <c r="N115" s="694"/>
      <c r="O115" s="694"/>
      <c r="P115" s="280"/>
      <c r="Q115" s="280"/>
      <c r="R115" s="280"/>
      <c r="S115" s="694"/>
      <c r="T115" s="694"/>
      <c r="U115" s="694"/>
      <c r="V115" s="1"/>
      <c r="W115" s="1"/>
      <c r="X115" s="1"/>
      <c r="Y115" s="1"/>
      <c r="Z115" s="1"/>
    </row>
    <row r="116" ht="14.25" customHeight="1">
      <c r="A116" s="1"/>
      <c r="B116" s="694"/>
      <c r="C116" s="694"/>
      <c r="D116" s="694"/>
      <c r="E116" s="694"/>
      <c r="F116" s="694"/>
      <c r="G116" s="692"/>
      <c r="H116" s="694"/>
      <c r="I116" s="694"/>
      <c r="J116" s="692"/>
      <c r="K116" s="692"/>
      <c r="L116" s="694"/>
      <c r="M116" s="694"/>
      <c r="N116" s="694"/>
      <c r="O116" s="694"/>
      <c r="P116" s="280"/>
      <c r="Q116" s="280"/>
      <c r="R116" s="280"/>
      <c r="S116" s="694"/>
      <c r="T116" s="694"/>
      <c r="U116" s="694"/>
      <c r="V116" s="1"/>
      <c r="W116" s="1"/>
      <c r="X116" s="1"/>
      <c r="Y116" s="1"/>
      <c r="Z116" s="1"/>
    </row>
    <row r="117" ht="14.25" customHeight="1">
      <c r="A117" s="1"/>
      <c r="B117" s="694"/>
      <c r="C117" s="694"/>
      <c r="D117" s="694"/>
      <c r="E117" s="694"/>
      <c r="F117" s="694"/>
      <c r="G117" s="692"/>
      <c r="H117" s="694"/>
      <c r="I117" s="694"/>
      <c r="J117" s="692"/>
      <c r="K117" s="692"/>
      <c r="L117" s="694"/>
      <c r="M117" s="694"/>
      <c r="N117" s="694"/>
      <c r="O117" s="694"/>
      <c r="P117" s="280"/>
      <c r="Q117" s="280"/>
      <c r="R117" s="280"/>
      <c r="S117" s="694"/>
      <c r="T117" s="694"/>
      <c r="U117" s="694"/>
      <c r="V117" s="1"/>
      <c r="W117" s="1"/>
      <c r="X117" s="1"/>
      <c r="Y117" s="1"/>
      <c r="Z117" s="1"/>
    </row>
    <row r="118" ht="14.25" customHeight="1">
      <c r="A118" s="1"/>
      <c r="B118" s="694"/>
      <c r="C118" s="694"/>
      <c r="D118" s="694"/>
      <c r="E118" s="694"/>
      <c r="F118" s="694"/>
      <c r="G118" s="692"/>
      <c r="H118" s="694"/>
      <c r="I118" s="694"/>
      <c r="J118" s="692"/>
      <c r="K118" s="692"/>
      <c r="L118" s="694"/>
      <c r="M118" s="694"/>
      <c r="N118" s="694"/>
      <c r="O118" s="694"/>
      <c r="P118" s="280"/>
      <c r="Q118" s="280"/>
      <c r="R118" s="280"/>
      <c r="S118" s="694"/>
      <c r="T118" s="694"/>
      <c r="U118" s="694"/>
      <c r="V118" s="1"/>
      <c r="W118" s="1"/>
      <c r="X118" s="1"/>
      <c r="Y118" s="1"/>
      <c r="Z118" s="1"/>
    </row>
    <row r="119" ht="14.25" customHeight="1">
      <c r="A119" s="1"/>
      <c r="B119" s="694"/>
      <c r="C119" s="694"/>
      <c r="D119" s="694"/>
      <c r="E119" s="694"/>
      <c r="F119" s="694"/>
      <c r="G119" s="692"/>
      <c r="H119" s="694"/>
      <c r="I119" s="694"/>
      <c r="J119" s="692"/>
      <c r="K119" s="692"/>
      <c r="L119" s="694"/>
      <c r="M119" s="694"/>
      <c r="N119" s="694"/>
      <c r="O119" s="694"/>
      <c r="P119" s="280"/>
      <c r="Q119" s="280"/>
      <c r="R119" s="280"/>
      <c r="S119" s="694"/>
      <c r="T119" s="694"/>
      <c r="U119" s="694"/>
      <c r="V119" s="1"/>
      <c r="W119" s="1"/>
      <c r="X119" s="1"/>
      <c r="Y119" s="1"/>
      <c r="Z119" s="1"/>
    </row>
    <row r="120" ht="14.25" customHeight="1">
      <c r="A120" s="1"/>
      <c r="B120" s="694"/>
      <c r="C120" s="694"/>
      <c r="D120" s="694"/>
      <c r="E120" s="694"/>
      <c r="F120" s="694"/>
      <c r="G120" s="692"/>
      <c r="H120" s="694"/>
      <c r="I120" s="694"/>
      <c r="J120" s="692"/>
      <c r="K120" s="692"/>
      <c r="L120" s="694"/>
      <c r="M120" s="694"/>
      <c r="N120" s="694"/>
      <c r="O120" s="694"/>
      <c r="P120" s="280"/>
      <c r="Q120" s="280"/>
      <c r="R120" s="280"/>
      <c r="S120" s="694"/>
      <c r="T120" s="694"/>
      <c r="U120" s="694"/>
      <c r="V120" s="1"/>
      <c r="W120" s="1"/>
      <c r="X120" s="1"/>
      <c r="Y120" s="1"/>
      <c r="Z120" s="1"/>
    </row>
    <row r="121" ht="14.25" customHeight="1">
      <c r="A121" s="1"/>
      <c r="B121" s="694"/>
      <c r="C121" s="694"/>
      <c r="D121" s="694"/>
      <c r="E121" s="694"/>
      <c r="F121" s="694"/>
      <c r="G121" s="692"/>
      <c r="H121" s="694"/>
      <c r="I121" s="694"/>
      <c r="J121" s="692"/>
      <c r="K121" s="692"/>
      <c r="L121" s="694"/>
      <c r="M121" s="694"/>
      <c r="N121" s="694"/>
      <c r="O121" s="694"/>
      <c r="P121" s="280"/>
      <c r="Q121" s="280"/>
      <c r="R121" s="280"/>
      <c r="S121" s="694"/>
      <c r="T121" s="694"/>
      <c r="U121" s="694"/>
      <c r="V121" s="1"/>
      <c r="W121" s="1"/>
      <c r="X121" s="1"/>
      <c r="Y121" s="1"/>
      <c r="Z121" s="1"/>
    </row>
    <row r="122" ht="14.25" customHeight="1">
      <c r="A122" s="1"/>
      <c r="B122" s="694"/>
      <c r="C122" s="694"/>
      <c r="D122" s="694"/>
      <c r="E122" s="694"/>
      <c r="F122" s="694"/>
      <c r="G122" s="692"/>
      <c r="H122" s="694"/>
      <c r="I122" s="694"/>
      <c r="J122" s="692"/>
      <c r="K122" s="692"/>
      <c r="L122" s="694"/>
      <c r="M122" s="694"/>
      <c r="N122" s="694"/>
      <c r="O122" s="694"/>
      <c r="P122" s="280"/>
      <c r="Q122" s="280"/>
      <c r="R122" s="280"/>
      <c r="S122" s="694"/>
      <c r="T122" s="694"/>
      <c r="U122" s="694"/>
      <c r="V122" s="1"/>
      <c r="W122" s="1"/>
      <c r="X122" s="1"/>
      <c r="Y122" s="1"/>
      <c r="Z122" s="1"/>
    </row>
    <row r="123" ht="14.25" customHeight="1">
      <c r="A123" s="1"/>
      <c r="B123" s="694"/>
      <c r="C123" s="694"/>
      <c r="D123" s="694"/>
      <c r="E123" s="694"/>
      <c r="F123" s="694"/>
      <c r="G123" s="692"/>
      <c r="H123" s="694"/>
      <c r="I123" s="694"/>
      <c r="J123" s="692"/>
      <c r="K123" s="692"/>
      <c r="L123" s="694"/>
      <c r="M123" s="694"/>
      <c r="N123" s="694"/>
      <c r="O123" s="694"/>
      <c r="P123" s="280"/>
      <c r="Q123" s="280"/>
      <c r="R123" s="280"/>
      <c r="S123" s="694"/>
      <c r="T123" s="694"/>
      <c r="U123" s="694"/>
      <c r="V123" s="1"/>
      <c r="W123" s="1"/>
      <c r="X123" s="1"/>
      <c r="Y123" s="1"/>
      <c r="Z123" s="1"/>
    </row>
    <row r="124" ht="14.25" customHeight="1">
      <c r="A124" s="1"/>
      <c r="B124" s="694"/>
      <c r="C124" s="694"/>
      <c r="D124" s="694"/>
      <c r="E124" s="694"/>
      <c r="F124" s="694"/>
      <c r="G124" s="692"/>
      <c r="H124" s="694"/>
      <c r="I124" s="694"/>
      <c r="J124" s="692"/>
      <c r="K124" s="692"/>
      <c r="L124" s="694"/>
      <c r="M124" s="694"/>
      <c r="N124" s="694"/>
      <c r="O124" s="694"/>
      <c r="P124" s="280"/>
      <c r="Q124" s="280"/>
      <c r="R124" s="280"/>
      <c r="S124" s="694"/>
      <c r="T124" s="694"/>
      <c r="U124" s="694"/>
      <c r="V124" s="1"/>
      <c r="W124" s="1"/>
      <c r="X124" s="1"/>
      <c r="Y124" s="1"/>
      <c r="Z124" s="1"/>
    </row>
    <row r="125" ht="14.25" customHeight="1">
      <c r="A125" s="1"/>
      <c r="B125" s="694"/>
      <c r="C125" s="694"/>
      <c r="D125" s="694"/>
      <c r="E125" s="694"/>
      <c r="F125" s="694"/>
      <c r="G125" s="692"/>
      <c r="H125" s="694"/>
      <c r="I125" s="694"/>
      <c r="J125" s="692"/>
      <c r="K125" s="692"/>
      <c r="L125" s="694"/>
      <c r="M125" s="694"/>
      <c r="N125" s="694"/>
      <c r="O125" s="694"/>
      <c r="P125" s="280"/>
      <c r="Q125" s="280"/>
      <c r="R125" s="280"/>
      <c r="S125" s="694"/>
      <c r="T125" s="694"/>
      <c r="U125" s="694"/>
      <c r="V125" s="1"/>
      <c r="W125" s="1"/>
      <c r="X125" s="1"/>
      <c r="Y125" s="1"/>
      <c r="Z125" s="1"/>
    </row>
    <row r="126" ht="14.25" customHeight="1">
      <c r="A126" s="1"/>
      <c r="B126" s="694"/>
      <c r="C126" s="694"/>
      <c r="D126" s="694"/>
      <c r="E126" s="694"/>
      <c r="F126" s="694"/>
      <c r="G126" s="692"/>
      <c r="H126" s="694"/>
      <c r="I126" s="694"/>
      <c r="J126" s="692"/>
      <c r="K126" s="692"/>
      <c r="L126" s="694"/>
      <c r="M126" s="694"/>
      <c r="N126" s="694"/>
      <c r="O126" s="694"/>
      <c r="P126" s="280"/>
      <c r="Q126" s="280"/>
      <c r="R126" s="280"/>
      <c r="S126" s="694"/>
      <c r="T126" s="694"/>
      <c r="U126" s="694"/>
      <c r="V126" s="1"/>
      <c r="W126" s="1"/>
      <c r="X126" s="1"/>
      <c r="Y126" s="1"/>
      <c r="Z126" s="1"/>
    </row>
    <row r="127" ht="14.25" customHeight="1">
      <c r="A127" s="1"/>
      <c r="B127" s="694"/>
      <c r="C127" s="694"/>
      <c r="D127" s="694"/>
      <c r="E127" s="694"/>
      <c r="F127" s="694"/>
      <c r="G127" s="692"/>
      <c r="H127" s="694"/>
      <c r="I127" s="694"/>
      <c r="J127" s="692"/>
      <c r="K127" s="692"/>
      <c r="L127" s="694"/>
      <c r="M127" s="694"/>
      <c r="N127" s="694"/>
      <c r="O127" s="694"/>
      <c r="P127" s="280"/>
      <c r="Q127" s="280"/>
      <c r="R127" s="280"/>
      <c r="S127" s="694"/>
      <c r="T127" s="694"/>
      <c r="U127" s="694"/>
      <c r="V127" s="1"/>
      <c r="W127" s="1"/>
      <c r="X127" s="1"/>
      <c r="Y127" s="1"/>
      <c r="Z127" s="1"/>
    </row>
    <row r="128" ht="14.25" customHeight="1">
      <c r="A128" s="1"/>
      <c r="B128" s="694"/>
      <c r="C128" s="694"/>
      <c r="D128" s="694"/>
      <c r="E128" s="694"/>
      <c r="F128" s="694"/>
      <c r="G128" s="692"/>
      <c r="H128" s="694"/>
      <c r="I128" s="694"/>
      <c r="J128" s="692"/>
      <c r="K128" s="692"/>
      <c r="L128" s="694"/>
      <c r="M128" s="694"/>
      <c r="N128" s="694"/>
      <c r="O128" s="694"/>
      <c r="P128" s="280"/>
      <c r="Q128" s="280"/>
      <c r="R128" s="280"/>
      <c r="S128" s="694"/>
      <c r="T128" s="694"/>
      <c r="U128" s="694"/>
      <c r="V128" s="1"/>
      <c r="W128" s="1"/>
      <c r="X128" s="1"/>
      <c r="Y128" s="1"/>
      <c r="Z128" s="1"/>
    </row>
    <row r="129" ht="14.25" customHeight="1">
      <c r="A129" s="1"/>
      <c r="B129" s="694"/>
      <c r="C129" s="694"/>
      <c r="D129" s="694"/>
      <c r="E129" s="694"/>
      <c r="F129" s="694"/>
      <c r="G129" s="692"/>
      <c r="H129" s="694"/>
      <c r="I129" s="694"/>
      <c r="J129" s="692"/>
      <c r="K129" s="692"/>
      <c r="L129" s="694"/>
      <c r="M129" s="694"/>
      <c r="N129" s="694"/>
      <c r="O129" s="694"/>
      <c r="P129" s="280"/>
      <c r="Q129" s="280"/>
      <c r="R129" s="280"/>
      <c r="S129" s="694"/>
      <c r="T129" s="694"/>
      <c r="U129" s="694"/>
      <c r="V129" s="1"/>
      <c r="W129" s="1"/>
      <c r="X129" s="1"/>
      <c r="Y129" s="1"/>
      <c r="Z129" s="1"/>
    </row>
    <row r="130" ht="14.25" customHeight="1">
      <c r="A130" s="1"/>
      <c r="B130" s="694"/>
      <c r="C130" s="694"/>
      <c r="D130" s="694"/>
      <c r="E130" s="694"/>
      <c r="F130" s="694"/>
      <c r="G130" s="692"/>
      <c r="H130" s="694"/>
      <c r="I130" s="694"/>
      <c r="J130" s="692"/>
      <c r="K130" s="692"/>
      <c r="L130" s="694"/>
      <c r="M130" s="694"/>
      <c r="N130" s="694"/>
      <c r="O130" s="694"/>
      <c r="P130" s="280"/>
      <c r="Q130" s="280"/>
      <c r="R130" s="280"/>
      <c r="S130" s="694"/>
      <c r="T130" s="694"/>
      <c r="U130" s="694"/>
      <c r="V130" s="1"/>
      <c r="W130" s="1"/>
      <c r="X130" s="1"/>
      <c r="Y130" s="1"/>
      <c r="Z130" s="1"/>
    </row>
    <row r="131" ht="14.25" customHeight="1">
      <c r="A131" s="1"/>
      <c r="B131" s="694"/>
      <c r="C131" s="694"/>
      <c r="D131" s="694"/>
      <c r="E131" s="694"/>
      <c r="F131" s="694"/>
      <c r="G131" s="692"/>
      <c r="H131" s="694"/>
      <c r="I131" s="694"/>
      <c r="J131" s="692"/>
      <c r="K131" s="692"/>
      <c r="L131" s="694"/>
      <c r="M131" s="694"/>
      <c r="N131" s="694"/>
      <c r="O131" s="694"/>
      <c r="P131" s="280"/>
      <c r="Q131" s="280"/>
      <c r="R131" s="280"/>
      <c r="S131" s="694"/>
      <c r="T131" s="694"/>
      <c r="U131" s="694"/>
      <c r="V131" s="1"/>
      <c r="W131" s="1"/>
      <c r="X131" s="1"/>
      <c r="Y131" s="1"/>
      <c r="Z131" s="1"/>
    </row>
    <row r="132" ht="14.25" customHeight="1">
      <c r="A132" s="1"/>
      <c r="B132" s="694"/>
      <c r="C132" s="694"/>
      <c r="D132" s="694"/>
      <c r="E132" s="694"/>
      <c r="F132" s="694"/>
      <c r="G132" s="692"/>
      <c r="H132" s="694"/>
      <c r="I132" s="694"/>
      <c r="J132" s="692"/>
      <c r="K132" s="692"/>
      <c r="L132" s="694"/>
      <c r="M132" s="694"/>
      <c r="N132" s="694"/>
      <c r="O132" s="694"/>
      <c r="P132" s="280"/>
      <c r="Q132" s="280"/>
      <c r="R132" s="280"/>
      <c r="S132" s="694"/>
      <c r="T132" s="694"/>
      <c r="U132" s="694"/>
      <c r="V132" s="1"/>
      <c r="W132" s="1"/>
      <c r="X132" s="1"/>
      <c r="Y132" s="1"/>
      <c r="Z132" s="1"/>
    </row>
    <row r="133" ht="14.25" customHeight="1">
      <c r="A133" s="1"/>
      <c r="B133" s="694"/>
      <c r="C133" s="694"/>
      <c r="D133" s="694"/>
      <c r="E133" s="694"/>
      <c r="F133" s="694"/>
      <c r="G133" s="692"/>
      <c r="H133" s="694"/>
      <c r="I133" s="694"/>
      <c r="J133" s="692"/>
      <c r="K133" s="692"/>
      <c r="L133" s="694"/>
      <c r="M133" s="694"/>
      <c r="N133" s="694"/>
      <c r="O133" s="694"/>
      <c r="P133" s="280"/>
      <c r="Q133" s="280"/>
      <c r="R133" s="280"/>
      <c r="S133" s="694"/>
      <c r="T133" s="694"/>
      <c r="U133" s="694"/>
      <c r="V133" s="1"/>
      <c r="W133" s="1"/>
      <c r="X133" s="1"/>
      <c r="Y133" s="1"/>
      <c r="Z133" s="1"/>
    </row>
    <row r="134" ht="14.25" customHeight="1">
      <c r="A134" s="1"/>
      <c r="B134" s="694"/>
      <c r="C134" s="694"/>
      <c r="D134" s="694"/>
      <c r="E134" s="694"/>
      <c r="F134" s="694"/>
      <c r="G134" s="692"/>
      <c r="H134" s="694"/>
      <c r="I134" s="694"/>
      <c r="J134" s="692"/>
      <c r="K134" s="692"/>
      <c r="L134" s="694"/>
      <c r="M134" s="694"/>
      <c r="N134" s="694"/>
      <c r="O134" s="694"/>
      <c r="P134" s="280"/>
      <c r="Q134" s="280"/>
      <c r="R134" s="280"/>
      <c r="S134" s="694"/>
      <c r="T134" s="694"/>
      <c r="U134" s="694"/>
      <c r="V134" s="1"/>
      <c r="W134" s="1"/>
      <c r="X134" s="1"/>
      <c r="Y134" s="1"/>
      <c r="Z134" s="1"/>
    </row>
    <row r="135" ht="14.25" customHeight="1">
      <c r="A135" s="1"/>
      <c r="B135" s="694"/>
      <c r="C135" s="694"/>
      <c r="D135" s="694"/>
      <c r="E135" s="694"/>
      <c r="F135" s="694"/>
      <c r="G135" s="692"/>
      <c r="H135" s="694"/>
      <c r="I135" s="694"/>
      <c r="J135" s="692"/>
      <c r="K135" s="692"/>
      <c r="L135" s="694"/>
      <c r="M135" s="694"/>
      <c r="N135" s="694"/>
      <c r="O135" s="694"/>
      <c r="P135" s="280"/>
      <c r="Q135" s="280"/>
      <c r="R135" s="280"/>
      <c r="S135" s="694"/>
      <c r="T135" s="694"/>
      <c r="U135" s="694"/>
      <c r="V135" s="1"/>
      <c r="W135" s="1"/>
      <c r="X135" s="1"/>
      <c r="Y135" s="1"/>
      <c r="Z135" s="1"/>
    </row>
    <row r="136" ht="14.25" customHeight="1">
      <c r="A136" s="1"/>
      <c r="B136" s="694"/>
      <c r="C136" s="694"/>
      <c r="D136" s="694"/>
      <c r="E136" s="694"/>
      <c r="F136" s="694"/>
      <c r="G136" s="692"/>
      <c r="H136" s="694"/>
      <c r="I136" s="694"/>
      <c r="J136" s="692"/>
      <c r="K136" s="692"/>
      <c r="L136" s="694"/>
      <c r="M136" s="694"/>
      <c r="N136" s="694"/>
      <c r="O136" s="694"/>
      <c r="P136" s="280"/>
      <c r="Q136" s="280"/>
      <c r="R136" s="280"/>
      <c r="S136" s="694"/>
      <c r="T136" s="694"/>
      <c r="U136" s="694"/>
      <c r="V136" s="1"/>
      <c r="W136" s="1"/>
      <c r="X136" s="1"/>
      <c r="Y136" s="1"/>
      <c r="Z136" s="1"/>
    </row>
    <row r="137" ht="14.25" customHeight="1">
      <c r="A137" s="1"/>
      <c r="B137" s="694"/>
      <c r="C137" s="694"/>
      <c r="D137" s="694"/>
      <c r="E137" s="694"/>
      <c r="F137" s="694"/>
      <c r="G137" s="692"/>
      <c r="H137" s="694"/>
      <c r="I137" s="694"/>
      <c r="J137" s="692"/>
      <c r="K137" s="692"/>
      <c r="L137" s="694"/>
      <c r="M137" s="694"/>
      <c r="N137" s="694"/>
      <c r="O137" s="694"/>
      <c r="P137" s="280"/>
      <c r="Q137" s="280"/>
      <c r="R137" s="280"/>
      <c r="S137" s="694"/>
      <c r="T137" s="694"/>
      <c r="U137" s="694"/>
      <c r="V137" s="1"/>
      <c r="W137" s="1"/>
      <c r="X137" s="1"/>
      <c r="Y137" s="1"/>
      <c r="Z137" s="1"/>
    </row>
    <row r="138" ht="14.25" customHeight="1">
      <c r="A138" s="1"/>
      <c r="B138" s="694"/>
      <c r="C138" s="694"/>
      <c r="D138" s="694"/>
      <c r="E138" s="694"/>
      <c r="F138" s="694"/>
      <c r="G138" s="692"/>
      <c r="H138" s="694"/>
      <c r="I138" s="694"/>
      <c r="J138" s="692"/>
      <c r="K138" s="692"/>
      <c r="L138" s="694"/>
      <c r="M138" s="694"/>
      <c r="N138" s="694"/>
      <c r="O138" s="694"/>
      <c r="P138" s="280"/>
      <c r="Q138" s="280"/>
      <c r="R138" s="280"/>
      <c r="S138" s="694"/>
      <c r="T138" s="694"/>
      <c r="U138" s="694"/>
      <c r="V138" s="1"/>
      <c r="W138" s="1"/>
      <c r="X138" s="1"/>
      <c r="Y138" s="1"/>
      <c r="Z138" s="1"/>
    </row>
    <row r="139" ht="14.25" customHeight="1">
      <c r="A139" s="1"/>
      <c r="B139" s="694"/>
      <c r="C139" s="694"/>
      <c r="D139" s="694"/>
      <c r="E139" s="694"/>
      <c r="F139" s="694"/>
      <c r="G139" s="692"/>
      <c r="H139" s="694"/>
      <c r="I139" s="694"/>
      <c r="J139" s="692"/>
      <c r="K139" s="692"/>
      <c r="L139" s="694"/>
      <c r="M139" s="694"/>
      <c r="N139" s="694"/>
      <c r="O139" s="694"/>
      <c r="P139" s="280"/>
      <c r="Q139" s="280"/>
      <c r="R139" s="280"/>
      <c r="S139" s="694"/>
      <c r="T139" s="694"/>
      <c r="U139" s="694"/>
      <c r="V139" s="1"/>
      <c r="W139" s="1"/>
      <c r="X139" s="1"/>
      <c r="Y139" s="1"/>
      <c r="Z139" s="1"/>
    </row>
    <row r="140" ht="14.25" customHeight="1">
      <c r="A140" s="1"/>
      <c r="B140" s="694"/>
      <c r="C140" s="694"/>
      <c r="D140" s="694"/>
      <c r="E140" s="694"/>
      <c r="F140" s="694"/>
      <c r="G140" s="692"/>
      <c r="H140" s="694"/>
      <c r="I140" s="694"/>
      <c r="J140" s="692"/>
      <c r="K140" s="692"/>
      <c r="L140" s="694"/>
      <c r="M140" s="694"/>
      <c r="N140" s="694"/>
      <c r="O140" s="694"/>
      <c r="P140" s="280"/>
      <c r="Q140" s="280"/>
      <c r="R140" s="280"/>
      <c r="S140" s="694"/>
      <c r="T140" s="694"/>
      <c r="U140" s="694"/>
      <c r="V140" s="1"/>
      <c r="W140" s="1"/>
      <c r="X140" s="1"/>
      <c r="Y140" s="1"/>
      <c r="Z140" s="1"/>
    </row>
    <row r="141" ht="14.25" customHeight="1">
      <c r="A141" s="1"/>
      <c r="B141" s="694"/>
      <c r="C141" s="694"/>
      <c r="D141" s="694"/>
      <c r="E141" s="694"/>
      <c r="F141" s="694"/>
      <c r="G141" s="692"/>
      <c r="H141" s="694"/>
      <c r="I141" s="694"/>
      <c r="J141" s="692"/>
      <c r="K141" s="692"/>
      <c r="L141" s="694"/>
      <c r="M141" s="694"/>
      <c r="N141" s="694"/>
      <c r="O141" s="694"/>
      <c r="P141" s="280"/>
      <c r="Q141" s="280"/>
      <c r="R141" s="280"/>
      <c r="S141" s="694"/>
      <c r="T141" s="694"/>
      <c r="U141" s="694"/>
      <c r="V141" s="1"/>
      <c r="W141" s="1"/>
      <c r="X141" s="1"/>
      <c r="Y141" s="1"/>
      <c r="Z141" s="1"/>
    </row>
    <row r="142" ht="14.25" customHeight="1">
      <c r="A142" s="1"/>
      <c r="B142" s="694"/>
      <c r="C142" s="694"/>
      <c r="D142" s="694"/>
      <c r="E142" s="694"/>
      <c r="F142" s="694"/>
      <c r="G142" s="692"/>
      <c r="H142" s="694"/>
      <c r="I142" s="694"/>
      <c r="J142" s="692"/>
      <c r="K142" s="692"/>
      <c r="L142" s="694"/>
      <c r="M142" s="694"/>
      <c r="N142" s="694"/>
      <c r="O142" s="694"/>
      <c r="P142" s="280"/>
      <c r="Q142" s="280"/>
      <c r="R142" s="280"/>
      <c r="S142" s="694"/>
      <c r="T142" s="694"/>
      <c r="U142" s="694"/>
      <c r="V142" s="1"/>
      <c r="W142" s="1"/>
      <c r="X142" s="1"/>
      <c r="Y142" s="1"/>
      <c r="Z142" s="1"/>
    </row>
    <row r="143" ht="14.25" customHeight="1">
      <c r="A143" s="1"/>
      <c r="B143" s="694"/>
      <c r="C143" s="694"/>
      <c r="D143" s="694"/>
      <c r="E143" s="694"/>
      <c r="F143" s="694"/>
      <c r="G143" s="692"/>
      <c r="H143" s="694"/>
      <c r="I143" s="694"/>
      <c r="J143" s="692"/>
      <c r="K143" s="692"/>
      <c r="L143" s="694"/>
      <c r="M143" s="694"/>
      <c r="N143" s="694"/>
      <c r="O143" s="694"/>
      <c r="P143" s="280"/>
      <c r="Q143" s="280"/>
      <c r="R143" s="280"/>
      <c r="S143" s="694"/>
      <c r="T143" s="694"/>
      <c r="U143" s="694"/>
      <c r="V143" s="1"/>
      <c r="W143" s="1"/>
      <c r="X143" s="1"/>
      <c r="Y143" s="1"/>
      <c r="Z143" s="1"/>
    </row>
    <row r="144" ht="14.25" customHeight="1">
      <c r="A144" s="1"/>
      <c r="B144" s="694"/>
      <c r="C144" s="694"/>
      <c r="D144" s="694"/>
      <c r="E144" s="694"/>
      <c r="F144" s="694"/>
      <c r="G144" s="692"/>
      <c r="H144" s="694"/>
      <c r="I144" s="694"/>
      <c r="J144" s="692"/>
      <c r="K144" s="692"/>
      <c r="L144" s="694"/>
      <c r="M144" s="694"/>
      <c r="N144" s="694"/>
      <c r="O144" s="694"/>
      <c r="P144" s="280"/>
      <c r="Q144" s="280"/>
      <c r="R144" s="280"/>
      <c r="S144" s="694"/>
      <c r="T144" s="694"/>
      <c r="U144" s="694"/>
      <c r="V144" s="1"/>
      <c r="W144" s="1"/>
      <c r="X144" s="1"/>
      <c r="Y144" s="1"/>
      <c r="Z144" s="1"/>
    </row>
    <row r="145" ht="14.25" customHeight="1">
      <c r="A145" s="1"/>
      <c r="B145" s="694"/>
      <c r="C145" s="694"/>
      <c r="D145" s="694"/>
      <c r="E145" s="694"/>
      <c r="F145" s="694"/>
      <c r="G145" s="692"/>
      <c r="H145" s="694"/>
      <c r="I145" s="694"/>
      <c r="J145" s="692"/>
      <c r="K145" s="692"/>
      <c r="L145" s="694"/>
      <c r="M145" s="694"/>
      <c r="N145" s="694"/>
      <c r="O145" s="694"/>
      <c r="P145" s="280"/>
      <c r="Q145" s="280"/>
      <c r="R145" s="280"/>
      <c r="S145" s="694"/>
      <c r="T145" s="694"/>
      <c r="U145" s="694"/>
      <c r="V145" s="1"/>
      <c r="W145" s="1"/>
      <c r="X145" s="1"/>
      <c r="Y145" s="1"/>
      <c r="Z145" s="1"/>
    </row>
    <row r="146" ht="14.25" customHeight="1">
      <c r="A146" s="1"/>
      <c r="B146" s="694"/>
      <c r="C146" s="694"/>
      <c r="D146" s="694"/>
      <c r="E146" s="694"/>
      <c r="F146" s="694"/>
      <c r="G146" s="692"/>
      <c r="H146" s="694"/>
      <c r="I146" s="694"/>
      <c r="J146" s="692"/>
      <c r="K146" s="692"/>
      <c r="L146" s="694"/>
      <c r="M146" s="694"/>
      <c r="N146" s="694"/>
      <c r="O146" s="694"/>
      <c r="P146" s="280"/>
      <c r="Q146" s="280"/>
      <c r="R146" s="280"/>
      <c r="S146" s="694"/>
      <c r="T146" s="694"/>
      <c r="U146" s="694"/>
      <c r="V146" s="1"/>
      <c r="W146" s="1"/>
      <c r="X146" s="1"/>
      <c r="Y146" s="1"/>
      <c r="Z146" s="1"/>
    </row>
    <row r="147" ht="14.25" customHeight="1">
      <c r="A147" s="1"/>
      <c r="B147" s="694"/>
      <c r="C147" s="694"/>
      <c r="D147" s="694"/>
      <c r="E147" s="694"/>
      <c r="F147" s="694"/>
      <c r="G147" s="692"/>
      <c r="H147" s="694"/>
      <c r="I147" s="694"/>
      <c r="J147" s="692"/>
      <c r="K147" s="692"/>
      <c r="L147" s="694"/>
      <c r="M147" s="694"/>
      <c r="N147" s="694"/>
      <c r="O147" s="694"/>
      <c r="P147" s="280"/>
      <c r="Q147" s="280"/>
      <c r="R147" s="280"/>
      <c r="S147" s="694"/>
      <c r="T147" s="694"/>
      <c r="U147" s="694"/>
      <c r="V147" s="1"/>
      <c r="W147" s="1"/>
      <c r="X147" s="1"/>
      <c r="Y147" s="1"/>
      <c r="Z147" s="1"/>
    </row>
    <row r="148" ht="14.25" customHeight="1">
      <c r="A148" s="1"/>
      <c r="B148" s="694"/>
      <c r="C148" s="694"/>
      <c r="D148" s="694"/>
      <c r="E148" s="694"/>
      <c r="F148" s="694"/>
      <c r="G148" s="692"/>
      <c r="H148" s="694"/>
      <c r="I148" s="694"/>
      <c r="J148" s="692"/>
      <c r="K148" s="692"/>
      <c r="L148" s="694"/>
      <c r="M148" s="694"/>
      <c r="N148" s="694"/>
      <c r="O148" s="694"/>
      <c r="P148" s="280"/>
      <c r="Q148" s="280"/>
      <c r="R148" s="280"/>
      <c r="S148" s="694"/>
      <c r="T148" s="694"/>
      <c r="U148" s="694"/>
      <c r="V148" s="1"/>
      <c r="W148" s="1"/>
      <c r="X148" s="1"/>
      <c r="Y148" s="1"/>
      <c r="Z148" s="1"/>
    </row>
    <row r="149" ht="14.25" customHeight="1">
      <c r="A149" s="1"/>
      <c r="B149" s="694"/>
      <c r="C149" s="694"/>
      <c r="D149" s="694"/>
      <c r="E149" s="694"/>
      <c r="F149" s="694"/>
      <c r="G149" s="692"/>
      <c r="H149" s="694"/>
      <c r="I149" s="694"/>
      <c r="J149" s="692"/>
      <c r="K149" s="692"/>
      <c r="L149" s="694"/>
      <c r="M149" s="694"/>
      <c r="N149" s="694"/>
      <c r="O149" s="694"/>
      <c r="P149" s="280"/>
      <c r="Q149" s="280"/>
      <c r="R149" s="280"/>
      <c r="S149" s="694"/>
      <c r="T149" s="694"/>
      <c r="U149" s="694"/>
      <c r="V149" s="1"/>
      <c r="W149" s="1"/>
      <c r="X149" s="1"/>
      <c r="Y149" s="1"/>
      <c r="Z149" s="1"/>
    </row>
    <row r="150" ht="14.25" customHeight="1">
      <c r="A150" s="1"/>
      <c r="B150" s="694"/>
      <c r="C150" s="694"/>
      <c r="D150" s="694"/>
      <c r="E150" s="694"/>
      <c r="F150" s="694"/>
      <c r="G150" s="692"/>
      <c r="H150" s="694"/>
      <c r="I150" s="694"/>
      <c r="J150" s="692"/>
      <c r="K150" s="692"/>
      <c r="L150" s="694"/>
      <c r="M150" s="694"/>
      <c r="N150" s="694"/>
      <c r="O150" s="694"/>
      <c r="P150" s="280"/>
      <c r="Q150" s="280"/>
      <c r="R150" s="280"/>
      <c r="S150" s="694"/>
      <c r="T150" s="694"/>
      <c r="U150" s="694"/>
      <c r="V150" s="1"/>
      <c r="W150" s="1"/>
      <c r="X150" s="1"/>
      <c r="Y150" s="1"/>
      <c r="Z150" s="1"/>
    </row>
    <row r="151" ht="14.25" customHeight="1">
      <c r="A151" s="1"/>
      <c r="B151" s="694"/>
      <c r="C151" s="694"/>
      <c r="D151" s="694"/>
      <c r="E151" s="694"/>
      <c r="F151" s="694"/>
      <c r="G151" s="692"/>
      <c r="H151" s="694"/>
      <c r="I151" s="694"/>
      <c r="J151" s="692"/>
      <c r="K151" s="692"/>
      <c r="L151" s="694"/>
      <c r="M151" s="694"/>
      <c r="N151" s="694"/>
      <c r="O151" s="694"/>
      <c r="P151" s="280"/>
      <c r="Q151" s="280"/>
      <c r="R151" s="280"/>
      <c r="S151" s="694"/>
      <c r="T151" s="694"/>
      <c r="U151" s="694"/>
      <c r="V151" s="1"/>
      <c r="W151" s="1"/>
      <c r="X151" s="1"/>
      <c r="Y151" s="1"/>
      <c r="Z151" s="1"/>
    </row>
    <row r="152" ht="14.25" customHeight="1">
      <c r="A152" s="1"/>
      <c r="B152" s="694"/>
      <c r="C152" s="694"/>
      <c r="D152" s="694"/>
      <c r="E152" s="694"/>
      <c r="F152" s="694"/>
      <c r="G152" s="692"/>
      <c r="H152" s="694"/>
      <c r="I152" s="694"/>
      <c r="J152" s="692"/>
      <c r="K152" s="692"/>
      <c r="L152" s="694"/>
      <c r="M152" s="694"/>
      <c r="N152" s="694"/>
      <c r="O152" s="694"/>
      <c r="P152" s="280"/>
      <c r="Q152" s="280"/>
      <c r="R152" s="280"/>
      <c r="S152" s="694"/>
      <c r="T152" s="694"/>
      <c r="U152" s="694"/>
      <c r="V152" s="1"/>
      <c r="W152" s="1"/>
      <c r="X152" s="1"/>
      <c r="Y152" s="1"/>
      <c r="Z152" s="1"/>
    </row>
    <row r="153" ht="14.25" customHeight="1">
      <c r="A153" s="1"/>
      <c r="B153" s="694"/>
      <c r="C153" s="694"/>
      <c r="D153" s="694"/>
      <c r="E153" s="694"/>
      <c r="F153" s="694"/>
      <c r="G153" s="692"/>
      <c r="H153" s="694"/>
      <c r="I153" s="694"/>
      <c r="J153" s="692"/>
      <c r="K153" s="692"/>
      <c r="L153" s="694"/>
      <c r="M153" s="694"/>
      <c r="N153" s="694"/>
      <c r="O153" s="694"/>
      <c r="P153" s="280"/>
      <c r="Q153" s="280"/>
      <c r="R153" s="280"/>
      <c r="S153" s="694"/>
      <c r="T153" s="694"/>
      <c r="U153" s="694"/>
      <c r="V153" s="1"/>
      <c r="W153" s="1"/>
      <c r="X153" s="1"/>
      <c r="Y153" s="1"/>
      <c r="Z153" s="1"/>
    </row>
    <row r="154" ht="14.25" customHeight="1">
      <c r="A154" s="1"/>
      <c r="B154" s="694"/>
      <c r="C154" s="694"/>
      <c r="D154" s="694"/>
      <c r="E154" s="694"/>
      <c r="F154" s="694"/>
      <c r="G154" s="692"/>
      <c r="H154" s="694"/>
      <c r="I154" s="694"/>
      <c r="J154" s="692"/>
      <c r="K154" s="692"/>
      <c r="L154" s="694"/>
      <c r="M154" s="694"/>
      <c r="N154" s="694"/>
      <c r="O154" s="694"/>
      <c r="P154" s="280"/>
      <c r="Q154" s="280"/>
      <c r="R154" s="280"/>
      <c r="S154" s="694"/>
      <c r="T154" s="694"/>
      <c r="U154" s="694"/>
      <c r="V154" s="1"/>
      <c r="W154" s="1"/>
      <c r="X154" s="1"/>
      <c r="Y154" s="1"/>
      <c r="Z154" s="1"/>
    </row>
    <row r="155" ht="14.25" customHeight="1">
      <c r="A155" s="1"/>
      <c r="B155" s="694"/>
      <c r="C155" s="694"/>
      <c r="D155" s="694"/>
      <c r="E155" s="694"/>
      <c r="F155" s="694"/>
      <c r="G155" s="692"/>
      <c r="H155" s="694"/>
      <c r="I155" s="694"/>
      <c r="J155" s="692"/>
      <c r="K155" s="692"/>
      <c r="L155" s="694"/>
      <c r="M155" s="694"/>
      <c r="N155" s="694"/>
      <c r="O155" s="694"/>
      <c r="P155" s="280"/>
      <c r="Q155" s="280"/>
      <c r="R155" s="280"/>
      <c r="S155" s="694"/>
      <c r="T155" s="694"/>
      <c r="U155" s="694"/>
      <c r="V155" s="1"/>
      <c r="W155" s="1"/>
      <c r="X155" s="1"/>
      <c r="Y155" s="1"/>
      <c r="Z155" s="1"/>
    </row>
    <row r="156" ht="14.25" customHeight="1">
      <c r="A156" s="1"/>
      <c r="B156" s="694"/>
      <c r="C156" s="694"/>
      <c r="D156" s="694"/>
      <c r="E156" s="694"/>
      <c r="F156" s="694"/>
      <c r="G156" s="692"/>
      <c r="H156" s="694"/>
      <c r="I156" s="694"/>
      <c r="J156" s="692"/>
      <c r="K156" s="692"/>
      <c r="L156" s="694"/>
      <c r="M156" s="694"/>
      <c r="N156" s="694"/>
      <c r="O156" s="694"/>
      <c r="P156" s="280"/>
      <c r="Q156" s="280"/>
      <c r="R156" s="280"/>
      <c r="S156" s="694"/>
      <c r="T156" s="694"/>
      <c r="U156" s="694"/>
      <c r="V156" s="1"/>
      <c r="W156" s="1"/>
      <c r="X156" s="1"/>
      <c r="Y156" s="1"/>
      <c r="Z156" s="1"/>
    </row>
    <row r="157" ht="14.25" customHeight="1">
      <c r="A157" s="1"/>
      <c r="B157" s="694"/>
      <c r="C157" s="694"/>
      <c r="D157" s="694"/>
      <c r="E157" s="694"/>
      <c r="F157" s="694"/>
      <c r="G157" s="692"/>
      <c r="H157" s="694"/>
      <c r="I157" s="694"/>
      <c r="J157" s="692"/>
      <c r="K157" s="692"/>
      <c r="L157" s="694"/>
      <c r="M157" s="694"/>
      <c r="N157" s="694"/>
      <c r="O157" s="694"/>
      <c r="P157" s="280"/>
      <c r="Q157" s="280"/>
      <c r="R157" s="280"/>
      <c r="S157" s="694"/>
      <c r="T157" s="694"/>
      <c r="U157" s="694"/>
      <c r="V157" s="1"/>
      <c r="W157" s="1"/>
      <c r="X157" s="1"/>
      <c r="Y157" s="1"/>
      <c r="Z157" s="1"/>
    </row>
    <row r="158" ht="14.25" customHeight="1">
      <c r="A158" s="1"/>
      <c r="B158" s="694"/>
      <c r="C158" s="694"/>
      <c r="D158" s="694"/>
      <c r="E158" s="694"/>
      <c r="F158" s="694"/>
      <c r="G158" s="692"/>
      <c r="H158" s="694"/>
      <c r="I158" s="694"/>
      <c r="J158" s="692"/>
      <c r="K158" s="692"/>
      <c r="L158" s="694"/>
      <c r="M158" s="694"/>
      <c r="N158" s="694"/>
      <c r="O158" s="694"/>
      <c r="P158" s="280"/>
      <c r="Q158" s="280"/>
      <c r="R158" s="280"/>
      <c r="S158" s="694"/>
      <c r="T158" s="694"/>
      <c r="U158" s="694"/>
      <c r="V158" s="1"/>
      <c r="W158" s="1"/>
      <c r="X158" s="1"/>
      <c r="Y158" s="1"/>
      <c r="Z158" s="1"/>
    </row>
    <row r="159" ht="14.25" customHeight="1">
      <c r="A159" s="1"/>
      <c r="B159" s="694"/>
      <c r="C159" s="694"/>
      <c r="D159" s="694"/>
      <c r="E159" s="694"/>
      <c r="F159" s="694"/>
      <c r="G159" s="692"/>
      <c r="H159" s="694"/>
      <c r="I159" s="694"/>
      <c r="J159" s="692"/>
      <c r="K159" s="692"/>
      <c r="L159" s="694"/>
      <c r="M159" s="694"/>
      <c r="N159" s="694"/>
      <c r="O159" s="694"/>
      <c r="P159" s="280"/>
      <c r="Q159" s="280"/>
      <c r="R159" s="280"/>
      <c r="S159" s="694"/>
      <c r="T159" s="694"/>
      <c r="U159" s="694"/>
      <c r="V159" s="1"/>
      <c r="W159" s="1"/>
      <c r="X159" s="1"/>
      <c r="Y159" s="1"/>
      <c r="Z159" s="1"/>
    </row>
    <row r="160" ht="14.25" customHeight="1">
      <c r="A160" s="1"/>
      <c r="B160" s="694"/>
      <c r="C160" s="694"/>
      <c r="D160" s="694"/>
      <c r="E160" s="694"/>
      <c r="F160" s="694"/>
      <c r="G160" s="692"/>
      <c r="H160" s="694"/>
      <c r="I160" s="694"/>
      <c r="J160" s="692"/>
      <c r="K160" s="692"/>
      <c r="L160" s="694"/>
      <c r="M160" s="694"/>
      <c r="N160" s="694"/>
      <c r="O160" s="694"/>
      <c r="P160" s="280"/>
      <c r="Q160" s="280"/>
      <c r="R160" s="280"/>
      <c r="S160" s="694"/>
      <c r="T160" s="694"/>
      <c r="U160" s="694"/>
      <c r="V160" s="1"/>
      <c r="W160" s="1"/>
      <c r="X160" s="1"/>
      <c r="Y160" s="1"/>
      <c r="Z160" s="1"/>
    </row>
    <row r="161" ht="14.25" customHeight="1">
      <c r="A161" s="1"/>
      <c r="B161" s="694"/>
      <c r="C161" s="694"/>
      <c r="D161" s="694"/>
      <c r="E161" s="694"/>
      <c r="F161" s="694"/>
      <c r="G161" s="692"/>
      <c r="H161" s="694"/>
      <c r="I161" s="694"/>
      <c r="J161" s="692"/>
      <c r="K161" s="692"/>
      <c r="L161" s="694"/>
      <c r="M161" s="694"/>
      <c r="N161" s="694"/>
      <c r="O161" s="694"/>
      <c r="P161" s="280"/>
      <c r="Q161" s="280"/>
      <c r="R161" s="280"/>
      <c r="S161" s="694"/>
      <c r="T161" s="694"/>
      <c r="U161" s="694"/>
      <c r="V161" s="1"/>
      <c r="W161" s="1"/>
      <c r="X161" s="1"/>
      <c r="Y161" s="1"/>
      <c r="Z161" s="1"/>
    </row>
    <row r="162" ht="14.25" customHeight="1">
      <c r="A162" s="1"/>
      <c r="B162" s="694"/>
      <c r="C162" s="694"/>
      <c r="D162" s="694"/>
      <c r="E162" s="694"/>
      <c r="F162" s="694"/>
      <c r="G162" s="692"/>
      <c r="H162" s="694"/>
      <c r="I162" s="694"/>
      <c r="J162" s="692"/>
      <c r="K162" s="692"/>
      <c r="L162" s="694"/>
      <c r="M162" s="694"/>
      <c r="N162" s="694"/>
      <c r="O162" s="694"/>
      <c r="P162" s="280"/>
      <c r="Q162" s="280"/>
      <c r="R162" s="280"/>
      <c r="S162" s="694"/>
      <c r="T162" s="694"/>
      <c r="U162" s="694"/>
      <c r="V162" s="1"/>
      <c r="W162" s="1"/>
      <c r="X162" s="1"/>
      <c r="Y162" s="1"/>
      <c r="Z162" s="1"/>
    </row>
    <row r="163" ht="14.25" customHeight="1">
      <c r="A163" s="1"/>
      <c r="B163" s="694"/>
      <c r="C163" s="694"/>
      <c r="D163" s="694"/>
      <c r="E163" s="694"/>
      <c r="F163" s="694"/>
      <c r="G163" s="692"/>
      <c r="H163" s="694"/>
      <c r="I163" s="694"/>
      <c r="J163" s="692"/>
      <c r="K163" s="692"/>
      <c r="L163" s="694"/>
      <c r="M163" s="694"/>
      <c r="N163" s="694"/>
      <c r="O163" s="694"/>
      <c r="P163" s="280"/>
      <c r="Q163" s="280"/>
      <c r="R163" s="280"/>
      <c r="S163" s="694"/>
      <c r="T163" s="694"/>
      <c r="U163" s="694"/>
      <c r="V163" s="1"/>
      <c r="W163" s="1"/>
      <c r="X163" s="1"/>
      <c r="Y163" s="1"/>
      <c r="Z163" s="1"/>
    </row>
    <row r="164" ht="14.25" customHeight="1">
      <c r="A164" s="1"/>
      <c r="B164" s="694"/>
      <c r="C164" s="694"/>
      <c r="D164" s="694"/>
      <c r="E164" s="694"/>
      <c r="F164" s="694"/>
      <c r="G164" s="692"/>
      <c r="H164" s="694"/>
      <c r="I164" s="694"/>
      <c r="J164" s="692"/>
      <c r="K164" s="692"/>
      <c r="L164" s="694"/>
      <c r="M164" s="694"/>
      <c r="N164" s="694"/>
      <c r="O164" s="694"/>
      <c r="P164" s="280"/>
      <c r="Q164" s="280"/>
      <c r="R164" s="280"/>
      <c r="S164" s="694"/>
      <c r="T164" s="694"/>
      <c r="U164" s="694"/>
      <c r="V164" s="1"/>
      <c r="W164" s="1"/>
      <c r="X164" s="1"/>
      <c r="Y164" s="1"/>
      <c r="Z164" s="1"/>
    </row>
    <row r="165" ht="14.25" customHeight="1">
      <c r="A165" s="1"/>
      <c r="B165" s="694"/>
      <c r="C165" s="694"/>
      <c r="D165" s="694"/>
      <c r="E165" s="694"/>
      <c r="F165" s="694"/>
      <c r="G165" s="692"/>
      <c r="H165" s="694"/>
      <c r="I165" s="694"/>
      <c r="J165" s="692"/>
      <c r="K165" s="692"/>
      <c r="L165" s="694"/>
      <c r="M165" s="694"/>
      <c r="N165" s="694"/>
      <c r="O165" s="694"/>
      <c r="P165" s="280"/>
      <c r="Q165" s="280"/>
      <c r="R165" s="280"/>
      <c r="S165" s="694"/>
      <c r="T165" s="694"/>
      <c r="U165" s="694"/>
      <c r="V165" s="1"/>
      <c r="W165" s="1"/>
      <c r="X165" s="1"/>
      <c r="Y165" s="1"/>
      <c r="Z165" s="1"/>
    </row>
    <row r="166" ht="14.25" customHeight="1">
      <c r="A166" s="1"/>
      <c r="B166" s="694"/>
      <c r="C166" s="694"/>
      <c r="D166" s="694"/>
      <c r="E166" s="694"/>
      <c r="F166" s="694"/>
      <c r="G166" s="692"/>
      <c r="H166" s="694"/>
      <c r="I166" s="694"/>
      <c r="J166" s="692"/>
      <c r="K166" s="692"/>
      <c r="L166" s="694"/>
      <c r="M166" s="694"/>
      <c r="N166" s="694"/>
      <c r="O166" s="694"/>
      <c r="P166" s="280"/>
      <c r="Q166" s="280"/>
      <c r="R166" s="280"/>
      <c r="S166" s="694"/>
      <c r="T166" s="694"/>
      <c r="U166" s="694"/>
      <c r="V166" s="1"/>
      <c r="W166" s="1"/>
      <c r="X166" s="1"/>
      <c r="Y166" s="1"/>
      <c r="Z166" s="1"/>
    </row>
    <row r="167" ht="14.25" customHeight="1">
      <c r="A167" s="1"/>
      <c r="B167" s="694"/>
      <c r="C167" s="694"/>
      <c r="D167" s="694"/>
      <c r="E167" s="694"/>
      <c r="F167" s="694"/>
      <c r="G167" s="692"/>
      <c r="H167" s="694"/>
      <c r="I167" s="694"/>
      <c r="J167" s="692"/>
      <c r="K167" s="692"/>
      <c r="L167" s="694"/>
      <c r="M167" s="694"/>
      <c r="N167" s="694"/>
      <c r="O167" s="694"/>
      <c r="P167" s="280"/>
      <c r="Q167" s="280"/>
      <c r="R167" s="280"/>
      <c r="S167" s="694"/>
      <c r="T167" s="694"/>
      <c r="U167" s="694"/>
      <c r="V167" s="1"/>
      <c r="W167" s="1"/>
      <c r="X167" s="1"/>
      <c r="Y167" s="1"/>
      <c r="Z167" s="1"/>
    </row>
    <row r="168" ht="14.25" customHeight="1">
      <c r="A168" s="1"/>
      <c r="B168" s="694"/>
      <c r="C168" s="694"/>
      <c r="D168" s="694"/>
      <c r="E168" s="694"/>
      <c r="F168" s="694"/>
      <c r="G168" s="692"/>
      <c r="H168" s="694"/>
      <c r="I168" s="694"/>
      <c r="J168" s="692"/>
      <c r="K168" s="692"/>
      <c r="L168" s="694"/>
      <c r="M168" s="694"/>
      <c r="N168" s="694"/>
      <c r="O168" s="694"/>
      <c r="P168" s="280"/>
      <c r="Q168" s="280"/>
      <c r="R168" s="280"/>
      <c r="S168" s="694"/>
      <c r="T168" s="694"/>
      <c r="U168" s="694"/>
      <c r="V168" s="1"/>
      <c r="W168" s="1"/>
      <c r="X168" s="1"/>
      <c r="Y168" s="1"/>
      <c r="Z168" s="1"/>
    </row>
    <row r="169" ht="14.25" customHeight="1">
      <c r="A169" s="1"/>
      <c r="B169" s="694"/>
      <c r="C169" s="694"/>
      <c r="D169" s="694"/>
      <c r="E169" s="694"/>
      <c r="F169" s="694"/>
      <c r="G169" s="692"/>
      <c r="H169" s="694"/>
      <c r="I169" s="694"/>
      <c r="J169" s="692"/>
      <c r="K169" s="692"/>
      <c r="L169" s="694"/>
      <c r="M169" s="694"/>
      <c r="N169" s="694"/>
      <c r="O169" s="694"/>
      <c r="P169" s="280"/>
      <c r="Q169" s="280"/>
      <c r="R169" s="280"/>
      <c r="S169" s="694"/>
      <c r="T169" s="694"/>
      <c r="U169" s="694"/>
      <c r="V169" s="1"/>
      <c r="W169" s="1"/>
      <c r="X169" s="1"/>
      <c r="Y169" s="1"/>
      <c r="Z169" s="1"/>
    </row>
    <row r="170" ht="14.25" customHeight="1">
      <c r="A170" s="1"/>
      <c r="B170" s="694"/>
      <c r="C170" s="694"/>
      <c r="D170" s="694"/>
      <c r="E170" s="694"/>
      <c r="F170" s="694"/>
      <c r="G170" s="692"/>
      <c r="H170" s="694"/>
      <c r="I170" s="694"/>
      <c r="J170" s="692"/>
      <c r="K170" s="692"/>
      <c r="L170" s="694"/>
      <c r="M170" s="694"/>
      <c r="N170" s="694"/>
      <c r="O170" s="694"/>
      <c r="P170" s="280"/>
      <c r="Q170" s="280"/>
      <c r="R170" s="280"/>
      <c r="S170" s="694"/>
      <c r="T170" s="694"/>
      <c r="U170" s="694"/>
      <c r="V170" s="1"/>
      <c r="W170" s="1"/>
      <c r="X170" s="1"/>
      <c r="Y170" s="1"/>
      <c r="Z170" s="1"/>
    </row>
    <row r="171" ht="14.25" customHeight="1">
      <c r="A171" s="1"/>
      <c r="B171" s="694"/>
      <c r="C171" s="694"/>
      <c r="D171" s="694"/>
      <c r="E171" s="694"/>
      <c r="F171" s="694"/>
      <c r="G171" s="692"/>
      <c r="H171" s="694"/>
      <c r="I171" s="694"/>
      <c r="J171" s="692"/>
      <c r="K171" s="692"/>
      <c r="L171" s="694"/>
      <c r="M171" s="694"/>
      <c r="N171" s="694"/>
      <c r="O171" s="694"/>
      <c r="P171" s="280"/>
      <c r="Q171" s="280"/>
      <c r="R171" s="280"/>
      <c r="S171" s="694"/>
      <c r="T171" s="694"/>
      <c r="U171" s="694"/>
      <c r="V171" s="1"/>
      <c r="W171" s="1"/>
      <c r="X171" s="1"/>
      <c r="Y171" s="1"/>
      <c r="Z171" s="1"/>
    </row>
    <row r="172" ht="14.25" customHeight="1">
      <c r="A172" s="1"/>
      <c r="B172" s="694"/>
      <c r="C172" s="694"/>
      <c r="D172" s="694"/>
      <c r="E172" s="694"/>
      <c r="F172" s="694"/>
      <c r="G172" s="692"/>
      <c r="H172" s="694"/>
      <c r="I172" s="694"/>
      <c r="J172" s="692"/>
      <c r="K172" s="692"/>
      <c r="L172" s="694"/>
      <c r="M172" s="694"/>
      <c r="N172" s="694"/>
      <c r="O172" s="694"/>
      <c r="P172" s="280"/>
      <c r="Q172" s="280"/>
      <c r="R172" s="280"/>
      <c r="S172" s="694"/>
      <c r="T172" s="694"/>
      <c r="U172" s="694"/>
      <c r="V172" s="1"/>
      <c r="W172" s="1"/>
      <c r="X172" s="1"/>
      <c r="Y172" s="1"/>
      <c r="Z172" s="1"/>
    </row>
    <row r="173" ht="14.25" customHeight="1">
      <c r="A173" s="1"/>
      <c r="B173" s="694"/>
      <c r="C173" s="694"/>
      <c r="D173" s="694"/>
      <c r="E173" s="694"/>
      <c r="F173" s="694"/>
      <c r="G173" s="692"/>
      <c r="H173" s="694"/>
      <c r="I173" s="694"/>
      <c r="J173" s="692"/>
      <c r="K173" s="692"/>
      <c r="L173" s="694"/>
      <c r="M173" s="694"/>
      <c r="N173" s="694"/>
      <c r="O173" s="694"/>
      <c r="P173" s="280"/>
      <c r="Q173" s="280"/>
      <c r="R173" s="280"/>
      <c r="S173" s="694"/>
      <c r="T173" s="694"/>
      <c r="U173" s="694"/>
      <c r="V173" s="1"/>
      <c r="W173" s="1"/>
      <c r="X173" s="1"/>
      <c r="Y173" s="1"/>
      <c r="Z173" s="1"/>
    </row>
    <row r="174" ht="14.25" customHeight="1">
      <c r="A174" s="1"/>
      <c r="B174" s="694"/>
      <c r="C174" s="694"/>
      <c r="D174" s="694"/>
      <c r="E174" s="694"/>
      <c r="F174" s="694"/>
      <c r="G174" s="692"/>
      <c r="H174" s="694"/>
      <c r="I174" s="694"/>
      <c r="J174" s="692"/>
      <c r="K174" s="692"/>
      <c r="L174" s="694"/>
      <c r="M174" s="694"/>
      <c r="N174" s="694"/>
      <c r="O174" s="694"/>
      <c r="P174" s="280"/>
      <c r="Q174" s="280"/>
      <c r="R174" s="280"/>
      <c r="S174" s="694"/>
      <c r="T174" s="694"/>
      <c r="U174" s="694"/>
      <c r="V174" s="1"/>
      <c r="W174" s="1"/>
      <c r="X174" s="1"/>
      <c r="Y174" s="1"/>
      <c r="Z174" s="1"/>
    </row>
    <row r="175" ht="14.25" customHeight="1">
      <c r="A175" s="1"/>
      <c r="B175" s="694"/>
      <c r="C175" s="694"/>
      <c r="D175" s="694"/>
      <c r="E175" s="694"/>
      <c r="F175" s="694"/>
      <c r="G175" s="692"/>
      <c r="H175" s="694"/>
      <c r="I175" s="694"/>
      <c r="J175" s="692"/>
      <c r="K175" s="692"/>
      <c r="L175" s="694"/>
      <c r="M175" s="694"/>
      <c r="N175" s="694"/>
      <c r="O175" s="694"/>
      <c r="P175" s="280"/>
      <c r="Q175" s="280"/>
      <c r="R175" s="280"/>
      <c r="S175" s="694"/>
      <c r="T175" s="694"/>
      <c r="U175" s="694"/>
      <c r="V175" s="1"/>
      <c r="W175" s="1"/>
      <c r="X175" s="1"/>
      <c r="Y175" s="1"/>
      <c r="Z175" s="1"/>
    </row>
    <row r="176" ht="14.25" customHeight="1">
      <c r="A176" s="1"/>
      <c r="B176" s="694"/>
      <c r="C176" s="694"/>
      <c r="D176" s="694"/>
      <c r="E176" s="694"/>
      <c r="F176" s="694"/>
      <c r="G176" s="692"/>
      <c r="H176" s="694"/>
      <c r="I176" s="694"/>
      <c r="J176" s="692"/>
      <c r="K176" s="692"/>
      <c r="L176" s="694"/>
      <c r="M176" s="694"/>
      <c r="N176" s="694"/>
      <c r="O176" s="694"/>
      <c r="P176" s="280"/>
      <c r="Q176" s="280"/>
      <c r="R176" s="280"/>
      <c r="S176" s="694"/>
      <c r="T176" s="694"/>
      <c r="U176" s="694"/>
      <c r="V176" s="1"/>
      <c r="W176" s="1"/>
      <c r="X176" s="1"/>
      <c r="Y176" s="1"/>
      <c r="Z176" s="1"/>
    </row>
    <row r="177" ht="14.25" customHeight="1">
      <c r="A177" s="1"/>
      <c r="B177" s="694"/>
      <c r="C177" s="694"/>
      <c r="D177" s="694"/>
      <c r="E177" s="694"/>
      <c r="F177" s="694"/>
      <c r="G177" s="692"/>
      <c r="H177" s="694"/>
      <c r="I177" s="694"/>
      <c r="J177" s="692"/>
      <c r="K177" s="692"/>
      <c r="L177" s="694"/>
      <c r="M177" s="694"/>
      <c r="N177" s="694"/>
      <c r="O177" s="694"/>
      <c r="P177" s="280"/>
      <c r="Q177" s="280"/>
      <c r="R177" s="280"/>
      <c r="S177" s="694"/>
      <c r="T177" s="694"/>
      <c r="U177" s="694"/>
      <c r="V177" s="1"/>
      <c r="W177" s="1"/>
      <c r="X177" s="1"/>
      <c r="Y177" s="1"/>
      <c r="Z177" s="1"/>
    </row>
    <row r="178" ht="14.25" customHeight="1">
      <c r="A178" s="1"/>
      <c r="B178" s="694"/>
      <c r="C178" s="694"/>
      <c r="D178" s="694"/>
      <c r="E178" s="694"/>
      <c r="F178" s="694"/>
      <c r="G178" s="692"/>
      <c r="H178" s="694"/>
      <c r="I178" s="694"/>
      <c r="J178" s="692"/>
      <c r="K178" s="692"/>
      <c r="L178" s="694"/>
      <c r="M178" s="694"/>
      <c r="N178" s="694"/>
      <c r="O178" s="694"/>
      <c r="P178" s="280"/>
      <c r="Q178" s="280"/>
      <c r="R178" s="280"/>
      <c r="S178" s="694"/>
      <c r="T178" s="694"/>
      <c r="U178" s="694"/>
      <c r="V178" s="1"/>
      <c r="W178" s="1"/>
      <c r="X178" s="1"/>
      <c r="Y178" s="1"/>
      <c r="Z178" s="1"/>
    </row>
    <row r="179" ht="14.25" customHeight="1">
      <c r="A179" s="1"/>
      <c r="B179" s="694"/>
      <c r="C179" s="694"/>
      <c r="D179" s="694"/>
      <c r="E179" s="694"/>
      <c r="F179" s="694"/>
      <c r="G179" s="692"/>
      <c r="H179" s="694"/>
      <c r="I179" s="694"/>
      <c r="J179" s="692"/>
      <c r="K179" s="692"/>
      <c r="L179" s="694"/>
      <c r="M179" s="694"/>
      <c r="N179" s="694"/>
      <c r="O179" s="694"/>
      <c r="P179" s="280"/>
      <c r="Q179" s="280"/>
      <c r="R179" s="280"/>
      <c r="S179" s="694"/>
      <c r="T179" s="694"/>
      <c r="U179" s="694"/>
      <c r="V179" s="1"/>
      <c r="W179" s="1"/>
      <c r="X179" s="1"/>
      <c r="Y179" s="1"/>
      <c r="Z179" s="1"/>
    </row>
    <row r="180" ht="14.25" customHeight="1">
      <c r="A180" s="1"/>
      <c r="B180" s="694"/>
      <c r="C180" s="694"/>
      <c r="D180" s="694"/>
      <c r="E180" s="694"/>
      <c r="F180" s="694"/>
      <c r="G180" s="692"/>
      <c r="H180" s="694"/>
      <c r="I180" s="694"/>
      <c r="J180" s="692"/>
      <c r="K180" s="692"/>
      <c r="L180" s="694"/>
      <c r="M180" s="694"/>
      <c r="N180" s="694"/>
      <c r="O180" s="694"/>
      <c r="P180" s="280"/>
      <c r="Q180" s="280"/>
      <c r="R180" s="280"/>
      <c r="S180" s="694"/>
      <c r="T180" s="694"/>
      <c r="U180" s="694"/>
      <c r="V180" s="1"/>
      <c r="W180" s="1"/>
      <c r="X180" s="1"/>
      <c r="Y180" s="1"/>
      <c r="Z180" s="1"/>
    </row>
    <row r="181" ht="14.25" customHeight="1">
      <c r="A181" s="1"/>
      <c r="B181" s="694"/>
      <c r="C181" s="694"/>
      <c r="D181" s="694"/>
      <c r="E181" s="694"/>
      <c r="F181" s="694"/>
      <c r="G181" s="692"/>
      <c r="H181" s="694"/>
      <c r="I181" s="694"/>
      <c r="J181" s="692"/>
      <c r="K181" s="692"/>
      <c r="L181" s="694"/>
      <c r="M181" s="694"/>
      <c r="N181" s="694"/>
      <c r="O181" s="694"/>
      <c r="P181" s="280"/>
      <c r="Q181" s="280"/>
      <c r="R181" s="280"/>
      <c r="S181" s="694"/>
      <c r="T181" s="694"/>
      <c r="U181" s="694"/>
      <c r="V181" s="1"/>
      <c r="W181" s="1"/>
      <c r="X181" s="1"/>
      <c r="Y181" s="1"/>
      <c r="Z181" s="1"/>
    </row>
    <row r="182" ht="14.25" customHeight="1">
      <c r="A182" s="1"/>
      <c r="B182" s="694"/>
      <c r="C182" s="694"/>
      <c r="D182" s="694"/>
      <c r="E182" s="694"/>
      <c r="F182" s="694"/>
      <c r="G182" s="692"/>
      <c r="H182" s="694"/>
      <c r="I182" s="694"/>
      <c r="J182" s="692"/>
      <c r="K182" s="692"/>
      <c r="L182" s="694"/>
      <c r="M182" s="694"/>
      <c r="N182" s="694"/>
      <c r="O182" s="694"/>
      <c r="P182" s="280"/>
      <c r="Q182" s="280"/>
      <c r="R182" s="280"/>
      <c r="S182" s="694"/>
      <c r="T182" s="694"/>
      <c r="U182" s="694"/>
      <c r="V182" s="1"/>
      <c r="W182" s="1"/>
      <c r="X182" s="1"/>
      <c r="Y182" s="1"/>
      <c r="Z182" s="1"/>
    </row>
    <row r="183" ht="14.25" customHeight="1">
      <c r="A183" s="1"/>
      <c r="B183" s="694"/>
      <c r="C183" s="694"/>
      <c r="D183" s="694"/>
      <c r="E183" s="694"/>
      <c r="F183" s="694"/>
      <c r="G183" s="692"/>
      <c r="H183" s="694"/>
      <c r="I183" s="694"/>
      <c r="J183" s="692"/>
      <c r="K183" s="692"/>
      <c r="L183" s="694"/>
      <c r="M183" s="694"/>
      <c r="N183" s="694"/>
      <c r="O183" s="694"/>
      <c r="P183" s="280"/>
      <c r="Q183" s="280"/>
      <c r="R183" s="280"/>
      <c r="S183" s="694"/>
      <c r="T183" s="694"/>
      <c r="U183" s="694"/>
      <c r="V183" s="1"/>
      <c r="W183" s="1"/>
      <c r="X183" s="1"/>
      <c r="Y183" s="1"/>
      <c r="Z183" s="1"/>
    </row>
    <row r="184" ht="14.25" customHeight="1">
      <c r="A184" s="1"/>
      <c r="B184" s="694"/>
      <c r="C184" s="694"/>
      <c r="D184" s="694"/>
      <c r="E184" s="694"/>
      <c r="F184" s="694"/>
      <c r="G184" s="692"/>
      <c r="H184" s="694"/>
      <c r="I184" s="694"/>
      <c r="J184" s="692"/>
      <c r="K184" s="692"/>
      <c r="L184" s="694"/>
      <c r="M184" s="694"/>
      <c r="N184" s="694"/>
      <c r="O184" s="694"/>
      <c r="P184" s="280"/>
      <c r="Q184" s="280"/>
      <c r="R184" s="280"/>
      <c r="S184" s="694"/>
      <c r="T184" s="694"/>
      <c r="U184" s="694"/>
      <c r="V184" s="1"/>
      <c r="W184" s="1"/>
      <c r="X184" s="1"/>
      <c r="Y184" s="1"/>
      <c r="Z184" s="1"/>
    </row>
    <row r="185" ht="14.25" customHeight="1">
      <c r="A185" s="1"/>
      <c r="B185" s="694"/>
      <c r="C185" s="694"/>
      <c r="D185" s="694"/>
      <c r="E185" s="694"/>
      <c r="F185" s="694"/>
      <c r="G185" s="692"/>
      <c r="H185" s="694"/>
      <c r="I185" s="694"/>
      <c r="J185" s="692"/>
      <c r="K185" s="692"/>
      <c r="L185" s="694"/>
      <c r="M185" s="694"/>
      <c r="N185" s="694"/>
      <c r="O185" s="694"/>
      <c r="P185" s="280"/>
      <c r="Q185" s="280"/>
      <c r="R185" s="280"/>
      <c r="S185" s="694"/>
      <c r="T185" s="694"/>
      <c r="U185" s="694"/>
      <c r="V185" s="1"/>
      <c r="W185" s="1"/>
      <c r="X185" s="1"/>
      <c r="Y185" s="1"/>
      <c r="Z185" s="1"/>
    </row>
    <row r="186" ht="14.25" customHeight="1">
      <c r="A186" s="1"/>
      <c r="B186" s="694"/>
      <c r="C186" s="694"/>
      <c r="D186" s="694"/>
      <c r="E186" s="694"/>
      <c r="F186" s="694"/>
      <c r="G186" s="692"/>
      <c r="H186" s="694"/>
      <c r="I186" s="694"/>
      <c r="J186" s="692"/>
      <c r="K186" s="692"/>
      <c r="L186" s="694"/>
      <c r="M186" s="694"/>
      <c r="N186" s="694"/>
      <c r="O186" s="694"/>
      <c r="P186" s="280"/>
      <c r="Q186" s="280"/>
      <c r="R186" s="280"/>
      <c r="S186" s="694"/>
      <c r="T186" s="694"/>
      <c r="U186" s="694"/>
      <c r="V186" s="1"/>
      <c r="W186" s="1"/>
      <c r="X186" s="1"/>
      <c r="Y186" s="1"/>
      <c r="Z186" s="1"/>
    </row>
    <row r="187" ht="14.25" customHeight="1">
      <c r="A187" s="1"/>
      <c r="B187" s="694"/>
      <c r="C187" s="694"/>
      <c r="D187" s="694"/>
      <c r="E187" s="694"/>
      <c r="F187" s="694"/>
      <c r="G187" s="692"/>
      <c r="H187" s="694"/>
      <c r="I187" s="694"/>
      <c r="J187" s="692"/>
      <c r="K187" s="692"/>
      <c r="L187" s="694"/>
      <c r="M187" s="694"/>
      <c r="N187" s="694"/>
      <c r="O187" s="694"/>
      <c r="P187" s="280"/>
      <c r="Q187" s="280"/>
      <c r="R187" s="280"/>
      <c r="S187" s="694"/>
      <c r="T187" s="694"/>
      <c r="U187" s="694"/>
      <c r="V187" s="1"/>
      <c r="W187" s="1"/>
      <c r="X187" s="1"/>
      <c r="Y187" s="1"/>
      <c r="Z187" s="1"/>
    </row>
    <row r="188" ht="14.25" customHeight="1">
      <c r="A188" s="1"/>
      <c r="B188" s="694"/>
      <c r="C188" s="694"/>
      <c r="D188" s="694"/>
      <c r="E188" s="694"/>
      <c r="F188" s="694"/>
      <c r="G188" s="692"/>
      <c r="H188" s="694"/>
      <c r="I188" s="694"/>
      <c r="J188" s="692"/>
      <c r="K188" s="692"/>
      <c r="L188" s="694"/>
      <c r="M188" s="694"/>
      <c r="N188" s="694"/>
      <c r="O188" s="694"/>
      <c r="P188" s="280"/>
      <c r="Q188" s="280"/>
      <c r="R188" s="280"/>
      <c r="S188" s="694"/>
      <c r="T188" s="694"/>
      <c r="U188" s="694"/>
      <c r="V188" s="1"/>
      <c r="W188" s="1"/>
      <c r="X188" s="1"/>
      <c r="Y188" s="1"/>
      <c r="Z188" s="1"/>
    </row>
    <row r="189" ht="14.25" customHeight="1">
      <c r="A189" s="1"/>
      <c r="B189" s="694"/>
      <c r="C189" s="694"/>
      <c r="D189" s="694"/>
      <c r="E189" s="694"/>
      <c r="F189" s="694"/>
      <c r="G189" s="692"/>
      <c r="H189" s="694"/>
      <c r="I189" s="694"/>
      <c r="J189" s="692"/>
      <c r="K189" s="692"/>
      <c r="L189" s="694"/>
      <c r="M189" s="694"/>
      <c r="N189" s="694"/>
      <c r="O189" s="694"/>
      <c r="P189" s="280"/>
      <c r="Q189" s="280"/>
      <c r="R189" s="280"/>
      <c r="S189" s="694"/>
      <c r="T189" s="694"/>
      <c r="U189" s="694"/>
      <c r="V189" s="1"/>
      <c r="W189" s="1"/>
      <c r="X189" s="1"/>
      <c r="Y189" s="1"/>
      <c r="Z189" s="1"/>
    </row>
    <row r="190" ht="14.25" customHeight="1">
      <c r="A190" s="1"/>
      <c r="B190" s="694"/>
      <c r="C190" s="694"/>
      <c r="D190" s="694"/>
      <c r="E190" s="694"/>
      <c r="F190" s="694"/>
      <c r="G190" s="692"/>
      <c r="H190" s="694"/>
      <c r="I190" s="694"/>
      <c r="J190" s="692"/>
      <c r="K190" s="692"/>
      <c r="L190" s="694"/>
      <c r="M190" s="694"/>
      <c r="N190" s="694"/>
      <c r="O190" s="694"/>
      <c r="P190" s="280"/>
      <c r="Q190" s="280"/>
      <c r="R190" s="280"/>
      <c r="S190" s="694"/>
      <c r="T190" s="694"/>
      <c r="U190" s="694"/>
      <c r="V190" s="1"/>
      <c r="W190" s="1"/>
      <c r="X190" s="1"/>
      <c r="Y190" s="1"/>
      <c r="Z190" s="1"/>
    </row>
    <row r="191" ht="14.25" customHeight="1">
      <c r="A191" s="1"/>
      <c r="B191" s="694"/>
      <c r="C191" s="694"/>
      <c r="D191" s="694"/>
      <c r="E191" s="694"/>
      <c r="F191" s="694"/>
      <c r="G191" s="692"/>
      <c r="H191" s="694"/>
      <c r="I191" s="694"/>
      <c r="J191" s="692"/>
      <c r="K191" s="692"/>
      <c r="L191" s="694"/>
      <c r="M191" s="694"/>
      <c r="N191" s="694"/>
      <c r="O191" s="694"/>
      <c r="P191" s="280"/>
      <c r="Q191" s="280"/>
      <c r="R191" s="280"/>
      <c r="S191" s="694"/>
      <c r="T191" s="694"/>
      <c r="U191" s="694"/>
      <c r="V191" s="1"/>
      <c r="W191" s="1"/>
      <c r="X191" s="1"/>
      <c r="Y191" s="1"/>
      <c r="Z191" s="1"/>
    </row>
    <row r="192" ht="14.25" customHeight="1">
      <c r="A192" s="1"/>
      <c r="B192" s="694"/>
      <c r="C192" s="694"/>
      <c r="D192" s="694"/>
      <c r="E192" s="694"/>
      <c r="F192" s="694"/>
      <c r="G192" s="692"/>
      <c r="H192" s="694"/>
      <c r="I192" s="694"/>
      <c r="J192" s="692"/>
      <c r="K192" s="692"/>
      <c r="L192" s="694"/>
      <c r="M192" s="694"/>
      <c r="N192" s="694"/>
      <c r="O192" s="694"/>
      <c r="P192" s="280"/>
      <c r="Q192" s="280"/>
      <c r="R192" s="280"/>
      <c r="S192" s="694"/>
      <c r="T192" s="694"/>
      <c r="U192" s="694"/>
      <c r="V192" s="1"/>
      <c r="W192" s="1"/>
      <c r="X192" s="1"/>
      <c r="Y192" s="1"/>
      <c r="Z192" s="1"/>
    </row>
    <row r="193" ht="14.25" customHeight="1">
      <c r="A193" s="1"/>
      <c r="B193" s="694"/>
      <c r="C193" s="694"/>
      <c r="D193" s="694"/>
      <c r="E193" s="694"/>
      <c r="F193" s="694"/>
      <c r="G193" s="692"/>
      <c r="H193" s="694"/>
      <c r="I193" s="694"/>
      <c r="J193" s="692"/>
      <c r="K193" s="692"/>
      <c r="L193" s="694"/>
      <c r="M193" s="694"/>
      <c r="N193" s="694"/>
      <c r="O193" s="694"/>
      <c r="P193" s="280"/>
      <c r="Q193" s="280"/>
      <c r="R193" s="280"/>
      <c r="S193" s="694"/>
      <c r="T193" s="694"/>
      <c r="U193" s="694"/>
      <c r="V193" s="1"/>
      <c r="W193" s="1"/>
      <c r="X193" s="1"/>
      <c r="Y193" s="1"/>
      <c r="Z193" s="1"/>
    </row>
    <row r="194" ht="14.25" customHeight="1">
      <c r="A194" s="1"/>
      <c r="B194" s="694"/>
      <c r="C194" s="694"/>
      <c r="D194" s="694"/>
      <c r="E194" s="694"/>
      <c r="F194" s="694"/>
      <c r="G194" s="692"/>
      <c r="H194" s="694"/>
      <c r="I194" s="694"/>
      <c r="J194" s="692"/>
      <c r="K194" s="692"/>
      <c r="L194" s="694"/>
      <c r="M194" s="694"/>
      <c r="N194" s="694"/>
      <c r="O194" s="694"/>
      <c r="P194" s="280"/>
      <c r="Q194" s="280"/>
      <c r="R194" s="280"/>
      <c r="S194" s="694"/>
      <c r="T194" s="694"/>
      <c r="U194" s="694"/>
      <c r="V194" s="1"/>
      <c r="W194" s="1"/>
      <c r="X194" s="1"/>
      <c r="Y194" s="1"/>
      <c r="Z194" s="1"/>
    </row>
    <row r="195" ht="14.25" customHeight="1">
      <c r="A195" s="1"/>
      <c r="B195" s="694"/>
      <c r="C195" s="694"/>
      <c r="D195" s="694"/>
      <c r="E195" s="694"/>
      <c r="F195" s="694"/>
      <c r="G195" s="692"/>
      <c r="H195" s="694"/>
      <c r="I195" s="694"/>
      <c r="J195" s="692"/>
      <c r="K195" s="692"/>
      <c r="L195" s="694"/>
      <c r="M195" s="694"/>
      <c r="N195" s="694"/>
      <c r="O195" s="694"/>
      <c r="P195" s="280"/>
      <c r="Q195" s="280"/>
      <c r="R195" s="280"/>
      <c r="S195" s="694"/>
      <c r="T195" s="694"/>
      <c r="U195" s="694"/>
      <c r="V195" s="1"/>
      <c r="W195" s="1"/>
      <c r="X195" s="1"/>
      <c r="Y195" s="1"/>
      <c r="Z195" s="1"/>
    </row>
    <row r="196" ht="14.25" customHeight="1">
      <c r="A196" s="1"/>
      <c r="B196" s="694"/>
      <c r="C196" s="694"/>
      <c r="D196" s="694"/>
      <c r="E196" s="694"/>
      <c r="F196" s="694"/>
      <c r="G196" s="692"/>
      <c r="H196" s="694"/>
      <c r="I196" s="694"/>
      <c r="J196" s="692"/>
      <c r="K196" s="692"/>
      <c r="L196" s="694"/>
      <c r="M196" s="694"/>
      <c r="N196" s="694"/>
      <c r="O196" s="694"/>
      <c r="P196" s="280"/>
      <c r="Q196" s="280"/>
      <c r="R196" s="280"/>
      <c r="S196" s="694"/>
      <c r="T196" s="694"/>
      <c r="U196" s="694"/>
      <c r="V196" s="1"/>
      <c r="W196" s="1"/>
      <c r="X196" s="1"/>
      <c r="Y196" s="1"/>
      <c r="Z196" s="1"/>
    </row>
    <row r="197" ht="14.25" customHeight="1">
      <c r="A197" s="1"/>
      <c r="B197" s="694"/>
      <c r="C197" s="694"/>
      <c r="D197" s="694"/>
      <c r="E197" s="694"/>
      <c r="F197" s="694"/>
      <c r="G197" s="692"/>
      <c r="H197" s="694"/>
      <c r="I197" s="694"/>
      <c r="J197" s="692"/>
      <c r="K197" s="692"/>
      <c r="L197" s="694"/>
      <c r="M197" s="694"/>
      <c r="N197" s="694"/>
      <c r="O197" s="694"/>
      <c r="P197" s="280"/>
      <c r="Q197" s="280"/>
      <c r="R197" s="280"/>
      <c r="S197" s="694"/>
      <c r="T197" s="694"/>
      <c r="U197" s="694"/>
      <c r="V197" s="1"/>
      <c r="W197" s="1"/>
      <c r="X197" s="1"/>
      <c r="Y197" s="1"/>
      <c r="Z197" s="1"/>
    </row>
    <row r="198" ht="14.25" customHeight="1">
      <c r="A198" s="1"/>
      <c r="B198" s="694"/>
      <c r="C198" s="694"/>
      <c r="D198" s="694"/>
      <c r="E198" s="694"/>
      <c r="F198" s="694"/>
      <c r="G198" s="692"/>
      <c r="H198" s="694"/>
      <c r="I198" s="694"/>
      <c r="J198" s="692"/>
      <c r="K198" s="692"/>
      <c r="L198" s="694"/>
      <c r="M198" s="694"/>
      <c r="N198" s="694"/>
      <c r="O198" s="694"/>
      <c r="P198" s="280"/>
      <c r="Q198" s="280"/>
      <c r="R198" s="280"/>
      <c r="S198" s="694"/>
      <c r="T198" s="694"/>
      <c r="U198" s="694"/>
      <c r="V198" s="1"/>
      <c r="W198" s="1"/>
      <c r="X198" s="1"/>
      <c r="Y198" s="1"/>
      <c r="Z198" s="1"/>
    </row>
    <row r="199" ht="14.25" customHeight="1">
      <c r="A199" s="1"/>
      <c r="B199" s="694"/>
      <c r="C199" s="694"/>
      <c r="D199" s="694"/>
      <c r="E199" s="694"/>
      <c r="F199" s="694"/>
      <c r="G199" s="692"/>
      <c r="H199" s="694"/>
      <c r="I199" s="694"/>
      <c r="J199" s="692"/>
      <c r="K199" s="692"/>
      <c r="L199" s="694"/>
      <c r="M199" s="694"/>
      <c r="N199" s="694"/>
      <c r="O199" s="694"/>
      <c r="P199" s="280"/>
      <c r="Q199" s="280"/>
      <c r="R199" s="280"/>
      <c r="S199" s="694"/>
      <c r="T199" s="694"/>
      <c r="U199" s="694"/>
      <c r="V199" s="1"/>
      <c r="W199" s="1"/>
      <c r="X199" s="1"/>
      <c r="Y199" s="1"/>
      <c r="Z199" s="1"/>
    </row>
    <row r="200" ht="14.25" customHeight="1">
      <c r="A200" s="1"/>
      <c r="B200" s="694"/>
      <c r="C200" s="694"/>
      <c r="D200" s="694"/>
      <c r="E200" s="694"/>
      <c r="F200" s="694"/>
      <c r="G200" s="692"/>
      <c r="H200" s="694"/>
      <c r="I200" s="694"/>
      <c r="J200" s="692"/>
      <c r="K200" s="692"/>
      <c r="L200" s="694"/>
      <c r="M200" s="694"/>
      <c r="N200" s="694"/>
      <c r="O200" s="694"/>
      <c r="P200" s="280"/>
      <c r="Q200" s="280"/>
      <c r="R200" s="280"/>
      <c r="S200" s="694"/>
      <c r="T200" s="694"/>
      <c r="U200" s="694"/>
      <c r="V200" s="1"/>
      <c r="W200" s="1"/>
      <c r="X200" s="1"/>
      <c r="Y200" s="1"/>
      <c r="Z200" s="1"/>
    </row>
    <row r="201" ht="14.25" customHeight="1">
      <c r="A201" s="1"/>
      <c r="B201" s="694"/>
      <c r="C201" s="694"/>
      <c r="D201" s="694"/>
      <c r="E201" s="694"/>
      <c r="F201" s="694"/>
      <c r="G201" s="692"/>
      <c r="H201" s="694"/>
      <c r="I201" s="694"/>
      <c r="J201" s="692"/>
      <c r="K201" s="692"/>
      <c r="L201" s="694"/>
      <c r="M201" s="694"/>
      <c r="N201" s="694"/>
      <c r="O201" s="694"/>
      <c r="P201" s="280"/>
      <c r="Q201" s="280"/>
      <c r="R201" s="280"/>
      <c r="S201" s="694"/>
      <c r="T201" s="694"/>
      <c r="U201" s="694"/>
      <c r="V201" s="1"/>
      <c r="W201" s="1"/>
      <c r="X201" s="1"/>
      <c r="Y201" s="1"/>
      <c r="Z201" s="1"/>
    </row>
    <row r="202" ht="14.25" customHeight="1">
      <c r="A202" s="1"/>
      <c r="B202" s="694"/>
      <c r="C202" s="694"/>
      <c r="D202" s="694"/>
      <c r="E202" s="694"/>
      <c r="F202" s="694"/>
      <c r="G202" s="692"/>
      <c r="H202" s="694"/>
      <c r="I202" s="694"/>
      <c r="J202" s="692"/>
      <c r="K202" s="692"/>
      <c r="L202" s="694"/>
      <c r="M202" s="694"/>
      <c r="N202" s="694"/>
      <c r="O202" s="694"/>
      <c r="P202" s="280"/>
      <c r="Q202" s="280"/>
      <c r="R202" s="280"/>
      <c r="S202" s="694"/>
      <c r="T202" s="694"/>
      <c r="U202" s="694"/>
      <c r="V202" s="1"/>
      <c r="W202" s="1"/>
      <c r="X202" s="1"/>
      <c r="Y202" s="1"/>
      <c r="Z202" s="1"/>
    </row>
    <row r="203" ht="14.25" customHeight="1">
      <c r="A203" s="1"/>
      <c r="B203" s="694"/>
      <c r="C203" s="694"/>
      <c r="D203" s="694"/>
      <c r="E203" s="694"/>
      <c r="F203" s="694"/>
      <c r="G203" s="692"/>
      <c r="H203" s="694"/>
      <c r="I203" s="694"/>
      <c r="J203" s="692"/>
      <c r="K203" s="692"/>
      <c r="L203" s="694"/>
      <c r="M203" s="694"/>
      <c r="N203" s="694"/>
      <c r="O203" s="694"/>
      <c r="P203" s="280"/>
      <c r="Q203" s="280"/>
      <c r="R203" s="280"/>
      <c r="S203" s="694"/>
      <c r="T203" s="694"/>
      <c r="U203" s="694"/>
      <c r="V203" s="1"/>
      <c r="W203" s="1"/>
      <c r="X203" s="1"/>
      <c r="Y203" s="1"/>
      <c r="Z203" s="1"/>
    </row>
    <row r="204" ht="14.25" customHeight="1">
      <c r="A204" s="1"/>
      <c r="B204" s="694"/>
      <c r="C204" s="694"/>
      <c r="D204" s="694"/>
      <c r="E204" s="694"/>
      <c r="F204" s="694"/>
      <c r="G204" s="692"/>
      <c r="H204" s="694"/>
      <c r="I204" s="694"/>
      <c r="J204" s="692"/>
      <c r="K204" s="692"/>
      <c r="L204" s="694"/>
      <c r="M204" s="694"/>
      <c r="N204" s="694"/>
      <c r="O204" s="694"/>
      <c r="P204" s="280"/>
      <c r="Q204" s="280"/>
      <c r="R204" s="280"/>
      <c r="S204" s="694"/>
      <c r="T204" s="694"/>
      <c r="U204" s="694"/>
      <c r="V204" s="1"/>
      <c r="W204" s="1"/>
      <c r="X204" s="1"/>
      <c r="Y204" s="1"/>
      <c r="Z204" s="1"/>
    </row>
    <row r="205" ht="14.25" customHeight="1">
      <c r="A205" s="1"/>
      <c r="B205" s="694"/>
      <c r="C205" s="694"/>
      <c r="D205" s="694"/>
      <c r="E205" s="694"/>
      <c r="F205" s="694"/>
      <c r="G205" s="692"/>
      <c r="H205" s="694"/>
      <c r="I205" s="694"/>
      <c r="J205" s="692"/>
      <c r="K205" s="692"/>
      <c r="L205" s="694"/>
      <c r="M205" s="694"/>
      <c r="N205" s="694"/>
      <c r="O205" s="694"/>
      <c r="P205" s="280"/>
      <c r="Q205" s="280"/>
      <c r="R205" s="280"/>
      <c r="S205" s="694"/>
      <c r="T205" s="694"/>
      <c r="U205" s="694"/>
      <c r="V205" s="1"/>
      <c r="W205" s="1"/>
      <c r="X205" s="1"/>
      <c r="Y205" s="1"/>
      <c r="Z205" s="1"/>
    </row>
    <row r="206" ht="14.25" customHeight="1">
      <c r="A206" s="1"/>
      <c r="B206" s="694"/>
      <c r="C206" s="694"/>
      <c r="D206" s="694"/>
      <c r="E206" s="694"/>
      <c r="F206" s="694"/>
      <c r="G206" s="692"/>
      <c r="H206" s="694"/>
      <c r="I206" s="694"/>
      <c r="J206" s="692"/>
      <c r="K206" s="692"/>
      <c r="L206" s="694"/>
      <c r="M206" s="694"/>
      <c r="N206" s="694"/>
      <c r="O206" s="694"/>
      <c r="P206" s="280"/>
      <c r="Q206" s="280"/>
      <c r="R206" s="280"/>
      <c r="S206" s="694"/>
      <c r="T206" s="694"/>
      <c r="U206" s="694"/>
      <c r="V206" s="1"/>
      <c r="W206" s="1"/>
      <c r="X206" s="1"/>
      <c r="Y206" s="1"/>
      <c r="Z206" s="1"/>
    </row>
    <row r="207" ht="14.25" customHeight="1">
      <c r="A207" s="1"/>
      <c r="B207" s="694"/>
      <c r="C207" s="694"/>
      <c r="D207" s="694"/>
      <c r="E207" s="694"/>
      <c r="F207" s="694"/>
      <c r="G207" s="692"/>
      <c r="H207" s="694"/>
      <c r="I207" s="694"/>
      <c r="J207" s="692"/>
      <c r="K207" s="692"/>
      <c r="L207" s="694"/>
      <c r="M207" s="694"/>
      <c r="N207" s="694"/>
      <c r="O207" s="694"/>
      <c r="P207" s="280"/>
      <c r="Q207" s="280"/>
      <c r="R207" s="280"/>
      <c r="S207" s="694"/>
      <c r="T207" s="694"/>
      <c r="U207" s="694"/>
      <c r="V207" s="1"/>
      <c r="W207" s="1"/>
      <c r="X207" s="1"/>
      <c r="Y207" s="1"/>
      <c r="Z207" s="1"/>
    </row>
    <row r="208" ht="14.25" customHeight="1">
      <c r="A208" s="1"/>
      <c r="B208" s="694"/>
      <c r="C208" s="694"/>
      <c r="D208" s="694"/>
      <c r="E208" s="694"/>
      <c r="F208" s="694"/>
      <c r="G208" s="692"/>
      <c r="H208" s="694"/>
      <c r="I208" s="694"/>
      <c r="J208" s="692"/>
      <c r="K208" s="692"/>
      <c r="L208" s="694"/>
      <c r="M208" s="694"/>
      <c r="N208" s="694"/>
      <c r="O208" s="694"/>
      <c r="P208" s="280"/>
      <c r="Q208" s="280"/>
      <c r="R208" s="280"/>
      <c r="S208" s="694"/>
      <c r="T208" s="694"/>
      <c r="U208" s="694"/>
      <c r="V208" s="1"/>
      <c r="W208" s="1"/>
      <c r="X208" s="1"/>
      <c r="Y208" s="1"/>
      <c r="Z208" s="1"/>
    </row>
    <row r="209" ht="14.25" customHeight="1">
      <c r="A209" s="1"/>
      <c r="B209" s="694"/>
      <c r="C209" s="694"/>
      <c r="D209" s="694"/>
      <c r="E209" s="694"/>
      <c r="F209" s="694"/>
      <c r="G209" s="692"/>
      <c r="H209" s="694"/>
      <c r="I209" s="694"/>
      <c r="J209" s="692"/>
      <c r="K209" s="692"/>
      <c r="L209" s="694"/>
      <c r="M209" s="694"/>
      <c r="N209" s="694"/>
      <c r="O209" s="694"/>
      <c r="P209" s="280"/>
      <c r="Q209" s="280"/>
      <c r="R209" s="280"/>
      <c r="S209" s="694"/>
      <c r="T209" s="694"/>
      <c r="U209" s="694"/>
      <c r="V209" s="1"/>
      <c r="W209" s="1"/>
      <c r="X209" s="1"/>
      <c r="Y209" s="1"/>
      <c r="Z209" s="1"/>
    </row>
    <row r="210" ht="14.25" customHeight="1">
      <c r="A210" s="1"/>
      <c r="B210" s="694"/>
      <c r="C210" s="694"/>
      <c r="D210" s="694"/>
      <c r="E210" s="694"/>
      <c r="F210" s="694"/>
      <c r="G210" s="692"/>
      <c r="H210" s="694"/>
      <c r="I210" s="694"/>
      <c r="J210" s="692"/>
      <c r="K210" s="692"/>
      <c r="L210" s="694"/>
      <c r="M210" s="694"/>
      <c r="N210" s="694"/>
      <c r="O210" s="694"/>
      <c r="P210" s="280"/>
      <c r="Q210" s="280"/>
      <c r="R210" s="280"/>
      <c r="S210" s="694"/>
      <c r="T210" s="694"/>
      <c r="U210" s="694"/>
      <c r="V210" s="1"/>
      <c r="W210" s="1"/>
      <c r="X210" s="1"/>
      <c r="Y210" s="1"/>
      <c r="Z210" s="1"/>
    </row>
    <row r="211" ht="14.25" customHeight="1">
      <c r="A211" s="1"/>
      <c r="B211" s="694"/>
      <c r="C211" s="694"/>
      <c r="D211" s="694"/>
      <c r="E211" s="694"/>
      <c r="F211" s="694"/>
      <c r="G211" s="692"/>
      <c r="H211" s="694"/>
      <c r="I211" s="694"/>
      <c r="J211" s="692"/>
      <c r="K211" s="692"/>
      <c r="L211" s="694"/>
      <c r="M211" s="694"/>
      <c r="N211" s="694"/>
      <c r="O211" s="694"/>
      <c r="P211" s="280"/>
      <c r="Q211" s="280"/>
      <c r="R211" s="280"/>
      <c r="S211" s="694"/>
      <c r="T211" s="694"/>
      <c r="U211" s="694"/>
      <c r="V211" s="1"/>
      <c r="W211" s="1"/>
      <c r="X211" s="1"/>
      <c r="Y211" s="1"/>
      <c r="Z211" s="1"/>
    </row>
    <row r="212" ht="14.25" customHeight="1">
      <c r="A212" s="1"/>
      <c r="B212" s="694"/>
      <c r="C212" s="694"/>
      <c r="D212" s="694"/>
      <c r="E212" s="694"/>
      <c r="F212" s="694"/>
      <c r="G212" s="692"/>
      <c r="H212" s="694"/>
      <c r="I212" s="694"/>
      <c r="J212" s="692"/>
      <c r="K212" s="692"/>
      <c r="L212" s="694"/>
      <c r="M212" s="694"/>
      <c r="N212" s="694"/>
      <c r="O212" s="694"/>
      <c r="P212" s="280"/>
      <c r="Q212" s="280"/>
      <c r="R212" s="280"/>
      <c r="S212" s="694"/>
      <c r="T212" s="694"/>
      <c r="U212" s="694"/>
      <c r="V212" s="1"/>
      <c r="W212" s="1"/>
      <c r="X212" s="1"/>
      <c r="Y212" s="1"/>
      <c r="Z212" s="1"/>
    </row>
    <row r="213" ht="14.25" customHeight="1">
      <c r="A213" s="1"/>
      <c r="B213" s="694"/>
      <c r="C213" s="694"/>
      <c r="D213" s="694"/>
      <c r="E213" s="694"/>
      <c r="F213" s="694"/>
      <c r="G213" s="692"/>
      <c r="H213" s="694"/>
      <c r="I213" s="694"/>
      <c r="J213" s="692"/>
      <c r="K213" s="692"/>
      <c r="L213" s="694"/>
      <c r="M213" s="694"/>
      <c r="N213" s="694"/>
      <c r="O213" s="694"/>
      <c r="P213" s="280"/>
      <c r="Q213" s="280"/>
      <c r="R213" s="280"/>
      <c r="S213" s="694"/>
      <c r="T213" s="694"/>
      <c r="U213" s="694"/>
      <c r="V213" s="1"/>
      <c r="W213" s="1"/>
      <c r="X213" s="1"/>
      <c r="Y213" s="1"/>
      <c r="Z213" s="1"/>
    </row>
    <row r="214" ht="14.25" customHeight="1">
      <c r="A214" s="1"/>
      <c r="B214" s="694"/>
      <c r="C214" s="694"/>
      <c r="D214" s="694"/>
      <c r="E214" s="694"/>
      <c r="F214" s="694"/>
      <c r="G214" s="692"/>
      <c r="H214" s="694"/>
      <c r="I214" s="694"/>
      <c r="J214" s="692"/>
      <c r="K214" s="692"/>
      <c r="L214" s="694"/>
      <c r="M214" s="694"/>
      <c r="N214" s="694"/>
      <c r="O214" s="694"/>
      <c r="P214" s="280"/>
      <c r="Q214" s="280"/>
      <c r="R214" s="280"/>
      <c r="S214" s="694"/>
      <c r="T214" s="694"/>
      <c r="U214" s="694"/>
      <c r="V214" s="1"/>
      <c r="W214" s="1"/>
      <c r="X214" s="1"/>
      <c r="Y214" s="1"/>
      <c r="Z214" s="1"/>
    </row>
    <row r="215" ht="14.25" customHeight="1">
      <c r="A215" s="1"/>
      <c r="B215" s="694"/>
      <c r="C215" s="694"/>
      <c r="D215" s="694"/>
      <c r="E215" s="694"/>
      <c r="F215" s="694"/>
      <c r="G215" s="692"/>
      <c r="H215" s="694"/>
      <c r="I215" s="694"/>
      <c r="J215" s="692"/>
      <c r="K215" s="692"/>
      <c r="L215" s="694"/>
      <c r="M215" s="694"/>
      <c r="N215" s="694"/>
      <c r="O215" s="694"/>
      <c r="P215" s="280"/>
      <c r="Q215" s="280"/>
      <c r="R215" s="280"/>
      <c r="S215" s="694"/>
      <c r="T215" s="694"/>
      <c r="U215" s="694"/>
      <c r="V215" s="1"/>
      <c r="W215" s="1"/>
      <c r="X215" s="1"/>
      <c r="Y215" s="1"/>
      <c r="Z215" s="1"/>
    </row>
    <row r="216" ht="14.25" customHeight="1">
      <c r="A216" s="1"/>
      <c r="B216" s="694"/>
      <c r="C216" s="694"/>
      <c r="D216" s="694"/>
      <c r="E216" s="694"/>
      <c r="F216" s="694"/>
      <c r="G216" s="692"/>
      <c r="H216" s="694"/>
      <c r="I216" s="694"/>
      <c r="J216" s="692"/>
      <c r="K216" s="692"/>
      <c r="L216" s="694"/>
      <c r="M216" s="694"/>
      <c r="N216" s="694"/>
      <c r="O216" s="694"/>
      <c r="P216" s="280"/>
      <c r="Q216" s="280"/>
      <c r="R216" s="280"/>
      <c r="S216" s="694"/>
      <c r="T216" s="694"/>
      <c r="U216" s="694"/>
      <c r="V216" s="1"/>
      <c r="W216" s="1"/>
      <c r="X216" s="1"/>
      <c r="Y216" s="1"/>
      <c r="Z216" s="1"/>
    </row>
    <row r="217" ht="14.25" customHeight="1">
      <c r="A217" s="1"/>
      <c r="B217" s="694"/>
      <c r="C217" s="694"/>
      <c r="D217" s="694"/>
      <c r="E217" s="694"/>
      <c r="F217" s="694"/>
      <c r="G217" s="692"/>
      <c r="H217" s="694"/>
      <c r="I217" s="694"/>
      <c r="J217" s="692"/>
      <c r="K217" s="692"/>
      <c r="L217" s="694"/>
      <c r="M217" s="694"/>
      <c r="N217" s="694"/>
      <c r="O217" s="694"/>
      <c r="P217" s="280"/>
      <c r="Q217" s="280"/>
      <c r="R217" s="280"/>
      <c r="S217" s="694"/>
      <c r="T217" s="694"/>
      <c r="U217" s="694"/>
      <c r="V217" s="1"/>
      <c r="W217" s="1"/>
      <c r="X217" s="1"/>
      <c r="Y217" s="1"/>
      <c r="Z217" s="1"/>
    </row>
    <row r="218" ht="14.25" customHeight="1">
      <c r="A218" s="1"/>
      <c r="B218" s="694"/>
      <c r="C218" s="694"/>
      <c r="D218" s="694"/>
      <c r="E218" s="694"/>
      <c r="F218" s="694"/>
      <c r="G218" s="692"/>
      <c r="H218" s="694"/>
      <c r="I218" s="694"/>
      <c r="J218" s="692"/>
      <c r="K218" s="692"/>
      <c r="L218" s="694"/>
      <c r="M218" s="694"/>
      <c r="N218" s="694"/>
      <c r="O218" s="694"/>
      <c r="P218" s="280"/>
      <c r="Q218" s="280"/>
      <c r="R218" s="280"/>
      <c r="S218" s="694"/>
      <c r="T218" s="694"/>
      <c r="U218" s="694"/>
      <c r="V218" s="1"/>
      <c r="W218" s="1"/>
      <c r="X218" s="1"/>
      <c r="Y218" s="1"/>
      <c r="Z218" s="1"/>
    </row>
    <row r="219" ht="14.25" customHeight="1">
      <c r="A219" s="1"/>
      <c r="B219" s="694"/>
      <c r="C219" s="694"/>
      <c r="D219" s="694"/>
      <c r="E219" s="694"/>
      <c r="F219" s="694"/>
      <c r="G219" s="692"/>
      <c r="H219" s="694"/>
      <c r="I219" s="694"/>
      <c r="J219" s="692"/>
      <c r="K219" s="692"/>
      <c r="L219" s="694"/>
      <c r="M219" s="694"/>
      <c r="N219" s="694"/>
      <c r="O219" s="694"/>
      <c r="P219" s="280"/>
      <c r="Q219" s="280"/>
      <c r="R219" s="280"/>
      <c r="S219" s="694"/>
      <c r="T219" s="694"/>
      <c r="U219" s="694"/>
      <c r="V219" s="1"/>
      <c r="W219" s="1"/>
      <c r="X219" s="1"/>
      <c r="Y219" s="1"/>
      <c r="Z219" s="1"/>
    </row>
    <row r="220" ht="14.25" customHeight="1">
      <c r="A220" s="1"/>
      <c r="B220" s="694"/>
      <c r="C220" s="694"/>
      <c r="D220" s="694"/>
      <c r="E220" s="694"/>
      <c r="F220" s="694"/>
      <c r="G220" s="692"/>
      <c r="H220" s="694"/>
      <c r="I220" s="694"/>
      <c r="J220" s="692"/>
      <c r="K220" s="692"/>
      <c r="L220" s="694"/>
      <c r="M220" s="694"/>
      <c r="N220" s="694"/>
      <c r="O220" s="694"/>
      <c r="P220" s="280"/>
      <c r="Q220" s="280"/>
      <c r="R220" s="280"/>
      <c r="S220" s="694"/>
      <c r="T220" s="694"/>
      <c r="U220" s="694"/>
      <c r="V220" s="1"/>
      <c r="W220" s="1"/>
      <c r="X220" s="1"/>
      <c r="Y220" s="1"/>
      <c r="Z220" s="1"/>
    </row>
    <row r="221" ht="14.25" customHeight="1">
      <c r="A221" s="1"/>
      <c r="B221" s="694"/>
      <c r="C221" s="694"/>
      <c r="D221" s="694"/>
      <c r="E221" s="694"/>
      <c r="F221" s="694"/>
      <c r="G221" s="692"/>
      <c r="H221" s="694"/>
      <c r="I221" s="694"/>
      <c r="J221" s="692"/>
      <c r="K221" s="692"/>
      <c r="L221" s="694"/>
      <c r="M221" s="694"/>
      <c r="N221" s="694"/>
      <c r="O221" s="694"/>
      <c r="P221" s="280"/>
      <c r="Q221" s="280"/>
      <c r="R221" s="280"/>
      <c r="S221" s="694"/>
      <c r="T221" s="694"/>
      <c r="U221" s="694"/>
      <c r="V221" s="1"/>
      <c r="W221" s="1"/>
      <c r="X221" s="1"/>
      <c r="Y221" s="1"/>
      <c r="Z221" s="1"/>
    </row>
    <row r="222" ht="14.25" customHeight="1">
      <c r="A222" s="1"/>
      <c r="B222" s="694"/>
      <c r="C222" s="694"/>
      <c r="D222" s="694"/>
      <c r="E222" s="694"/>
      <c r="F222" s="694"/>
      <c r="G222" s="692"/>
      <c r="H222" s="694"/>
      <c r="I222" s="694"/>
      <c r="J222" s="692"/>
      <c r="K222" s="692"/>
      <c r="L222" s="694"/>
      <c r="M222" s="694"/>
      <c r="N222" s="694"/>
      <c r="O222" s="694"/>
      <c r="P222" s="280"/>
      <c r="Q222" s="280"/>
      <c r="R222" s="280"/>
      <c r="S222" s="694"/>
      <c r="T222" s="694"/>
      <c r="U222" s="694"/>
      <c r="V222" s="1"/>
      <c r="W222" s="1"/>
      <c r="X222" s="1"/>
      <c r="Y222" s="1"/>
      <c r="Z222" s="1"/>
    </row>
    <row r="223" ht="14.25" customHeight="1">
      <c r="A223" s="1"/>
      <c r="B223" s="694"/>
      <c r="C223" s="694"/>
      <c r="D223" s="694"/>
      <c r="E223" s="694"/>
      <c r="F223" s="694"/>
      <c r="G223" s="692"/>
      <c r="H223" s="694"/>
      <c r="I223" s="694"/>
      <c r="J223" s="692"/>
      <c r="K223" s="692"/>
      <c r="L223" s="694"/>
      <c r="M223" s="694"/>
      <c r="N223" s="694"/>
      <c r="O223" s="694"/>
      <c r="P223" s="280"/>
      <c r="Q223" s="280"/>
      <c r="R223" s="280"/>
      <c r="S223" s="694"/>
      <c r="T223" s="694"/>
      <c r="U223" s="694"/>
      <c r="V223" s="1"/>
      <c r="W223" s="1"/>
      <c r="X223" s="1"/>
      <c r="Y223" s="1"/>
      <c r="Z223" s="1"/>
    </row>
    <row r="224" ht="14.25" customHeight="1">
      <c r="A224" s="1"/>
      <c r="B224" s="694"/>
      <c r="C224" s="694"/>
      <c r="D224" s="694"/>
      <c r="E224" s="694"/>
      <c r="F224" s="694"/>
      <c r="G224" s="692"/>
      <c r="H224" s="694"/>
      <c r="I224" s="694"/>
      <c r="J224" s="692"/>
      <c r="K224" s="692"/>
      <c r="L224" s="694"/>
      <c r="M224" s="694"/>
      <c r="N224" s="694"/>
      <c r="O224" s="694"/>
      <c r="P224" s="280"/>
      <c r="Q224" s="280"/>
      <c r="R224" s="280"/>
      <c r="S224" s="694"/>
      <c r="T224" s="694"/>
      <c r="U224" s="694"/>
      <c r="V224" s="1"/>
      <c r="W224" s="1"/>
      <c r="X224" s="1"/>
      <c r="Y224" s="1"/>
      <c r="Z224" s="1"/>
    </row>
    <row r="225" ht="14.25" customHeight="1">
      <c r="A225" s="1"/>
      <c r="B225" s="694"/>
      <c r="C225" s="694"/>
      <c r="D225" s="694"/>
      <c r="E225" s="694"/>
      <c r="F225" s="694"/>
      <c r="G225" s="692"/>
      <c r="H225" s="694"/>
      <c r="I225" s="694"/>
      <c r="J225" s="692"/>
      <c r="K225" s="692"/>
      <c r="L225" s="694"/>
      <c r="M225" s="694"/>
      <c r="N225" s="694"/>
      <c r="O225" s="694"/>
      <c r="P225" s="280"/>
      <c r="Q225" s="280"/>
      <c r="R225" s="280"/>
      <c r="S225" s="694"/>
      <c r="T225" s="694"/>
      <c r="U225" s="694"/>
      <c r="V225" s="1"/>
      <c r="W225" s="1"/>
      <c r="X225" s="1"/>
      <c r="Y225" s="1"/>
      <c r="Z225" s="1"/>
    </row>
    <row r="226" ht="14.25" customHeight="1">
      <c r="A226" s="1"/>
      <c r="B226" s="694"/>
      <c r="C226" s="694"/>
      <c r="D226" s="694"/>
      <c r="E226" s="694"/>
      <c r="F226" s="694"/>
      <c r="G226" s="692"/>
      <c r="H226" s="694"/>
      <c r="I226" s="694"/>
      <c r="J226" s="692"/>
      <c r="K226" s="692"/>
      <c r="L226" s="694"/>
      <c r="M226" s="694"/>
      <c r="N226" s="694"/>
      <c r="O226" s="694"/>
      <c r="P226" s="280"/>
      <c r="Q226" s="280"/>
      <c r="R226" s="280"/>
      <c r="S226" s="694"/>
      <c r="T226" s="694"/>
      <c r="U226" s="694"/>
      <c r="V226" s="1"/>
      <c r="W226" s="1"/>
      <c r="X226" s="1"/>
      <c r="Y226" s="1"/>
      <c r="Z226" s="1"/>
    </row>
    <row r="227" ht="14.25" customHeight="1">
      <c r="A227" s="1"/>
      <c r="B227" s="694"/>
      <c r="C227" s="694"/>
      <c r="D227" s="694"/>
      <c r="E227" s="694"/>
      <c r="F227" s="694"/>
      <c r="G227" s="692"/>
      <c r="H227" s="694"/>
      <c r="I227" s="694"/>
      <c r="J227" s="692"/>
      <c r="K227" s="692"/>
      <c r="L227" s="694"/>
      <c r="M227" s="694"/>
      <c r="N227" s="694"/>
      <c r="O227" s="694"/>
      <c r="P227" s="280"/>
      <c r="Q227" s="280"/>
      <c r="R227" s="280"/>
      <c r="S227" s="694"/>
      <c r="T227" s="694"/>
      <c r="U227" s="694"/>
      <c r="V227" s="1"/>
      <c r="W227" s="1"/>
      <c r="X227" s="1"/>
      <c r="Y227" s="1"/>
      <c r="Z227" s="1"/>
    </row>
    <row r="228" ht="14.25" customHeight="1">
      <c r="A228" s="1"/>
      <c r="B228" s="694"/>
      <c r="C228" s="694"/>
      <c r="D228" s="694"/>
      <c r="E228" s="694"/>
      <c r="F228" s="694"/>
      <c r="G228" s="692"/>
      <c r="H228" s="694"/>
      <c r="I228" s="694"/>
      <c r="J228" s="692"/>
      <c r="K228" s="692"/>
      <c r="L228" s="694"/>
      <c r="M228" s="694"/>
      <c r="N228" s="694"/>
      <c r="O228" s="694"/>
      <c r="P228" s="280"/>
      <c r="Q228" s="280"/>
      <c r="R228" s="280"/>
      <c r="S228" s="694"/>
      <c r="T228" s="694"/>
      <c r="U228" s="694"/>
      <c r="V228" s="1"/>
      <c r="W228" s="1"/>
      <c r="X228" s="1"/>
      <c r="Y228" s="1"/>
      <c r="Z228" s="1"/>
    </row>
    <row r="229" ht="14.25" customHeight="1">
      <c r="A229" s="1"/>
      <c r="B229" s="694"/>
      <c r="C229" s="694"/>
      <c r="D229" s="694"/>
      <c r="E229" s="694"/>
      <c r="F229" s="694"/>
      <c r="G229" s="692"/>
      <c r="H229" s="694"/>
      <c r="I229" s="694"/>
      <c r="J229" s="692"/>
      <c r="K229" s="692"/>
      <c r="L229" s="694"/>
      <c r="M229" s="694"/>
      <c r="N229" s="694"/>
      <c r="O229" s="694"/>
      <c r="P229" s="280"/>
      <c r="Q229" s="280"/>
      <c r="R229" s="280"/>
      <c r="S229" s="694"/>
      <c r="T229" s="694"/>
      <c r="U229" s="694"/>
      <c r="V229" s="1"/>
      <c r="W229" s="1"/>
      <c r="X229" s="1"/>
      <c r="Y229" s="1"/>
      <c r="Z229" s="1"/>
    </row>
    <row r="230" ht="14.25" customHeight="1">
      <c r="A230" s="1"/>
      <c r="B230" s="694"/>
      <c r="C230" s="694"/>
      <c r="D230" s="694"/>
      <c r="E230" s="694"/>
      <c r="F230" s="694"/>
      <c r="G230" s="692"/>
      <c r="H230" s="694"/>
      <c r="I230" s="694"/>
      <c r="J230" s="692"/>
      <c r="K230" s="692"/>
      <c r="L230" s="694"/>
      <c r="M230" s="694"/>
      <c r="N230" s="694"/>
      <c r="O230" s="694"/>
      <c r="P230" s="280"/>
      <c r="Q230" s="280"/>
      <c r="R230" s="280"/>
      <c r="S230" s="694"/>
      <c r="T230" s="694"/>
      <c r="U230" s="694"/>
      <c r="V230" s="1"/>
      <c r="W230" s="1"/>
      <c r="X230" s="1"/>
      <c r="Y230" s="1"/>
      <c r="Z230" s="1"/>
    </row>
    <row r="231" ht="14.25" customHeight="1">
      <c r="A231" s="1"/>
      <c r="B231" s="694"/>
      <c r="C231" s="694"/>
      <c r="D231" s="694"/>
      <c r="E231" s="694"/>
      <c r="F231" s="694"/>
      <c r="G231" s="692"/>
      <c r="H231" s="694"/>
      <c r="I231" s="694"/>
      <c r="J231" s="692"/>
      <c r="K231" s="692"/>
      <c r="L231" s="694"/>
      <c r="M231" s="694"/>
      <c r="N231" s="694"/>
      <c r="O231" s="694"/>
      <c r="P231" s="280"/>
      <c r="Q231" s="280"/>
      <c r="R231" s="280"/>
      <c r="S231" s="694"/>
      <c r="T231" s="694"/>
      <c r="U231" s="694"/>
      <c r="V231" s="1"/>
      <c r="W231" s="1"/>
      <c r="X231" s="1"/>
      <c r="Y231" s="1"/>
      <c r="Z231" s="1"/>
    </row>
    <row r="232" ht="14.25" customHeight="1">
      <c r="A232" s="1"/>
      <c r="B232" s="694"/>
      <c r="C232" s="694"/>
      <c r="D232" s="694"/>
      <c r="E232" s="694"/>
      <c r="F232" s="694"/>
      <c r="G232" s="692"/>
      <c r="H232" s="694"/>
      <c r="I232" s="694"/>
      <c r="J232" s="692"/>
      <c r="K232" s="692"/>
      <c r="L232" s="694"/>
      <c r="M232" s="694"/>
      <c r="N232" s="694"/>
      <c r="O232" s="694"/>
      <c r="P232" s="280"/>
      <c r="Q232" s="280"/>
      <c r="R232" s="280"/>
      <c r="S232" s="694"/>
      <c r="T232" s="694"/>
      <c r="U232" s="694"/>
      <c r="V232" s="1"/>
      <c r="W232" s="1"/>
      <c r="X232" s="1"/>
      <c r="Y232" s="1"/>
      <c r="Z232" s="1"/>
    </row>
    <row r="233" ht="14.25" customHeight="1">
      <c r="A233" s="1"/>
      <c r="B233" s="694"/>
      <c r="C233" s="694"/>
      <c r="D233" s="694"/>
      <c r="E233" s="694"/>
      <c r="F233" s="694"/>
      <c r="G233" s="692"/>
      <c r="H233" s="694"/>
      <c r="I233" s="694"/>
      <c r="J233" s="692"/>
      <c r="K233" s="692"/>
      <c r="L233" s="694"/>
      <c r="M233" s="694"/>
      <c r="N233" s="694"/>
      <c r="O233" s="694"/>
      <c r="P233" s="280"/>
      <c r="Q233" s="280"/>
      <c r="R233" s="280"/>
      <c r="S233" s="694"/>
      <c r="T233" s="694"/>
      <c r="U233" s="694"/>
      <c r="V233" s="1"/>
      <c r="W233" s="1"/>
      <c r="X233" s="1"/>
      <c r="Y233" s="1"/>
      <c r="Z233" s="1"/>
    </row>
    <row r="234" ht="14.25" customHeight="1">
      <c r="A234" s="1"/>
      <c r="B234" s="694"/>
      <c r="C234" s="694"/>
      <c r="D234" s="694"/>
      <c r="E234" s="694"/>
      <c r="F234" s="694"/>
      <c r="G234" s="692"/>
      <c r="H234" s="694"/>
      <c r="I234" s="694"/>
      <c r="J234" s="692"/>
      <c r="K234" s="692"/>
      <c r="L234" s="694"/>
      <c r="M234" s="694"/>
      <c r="N234" s="694"/>
      <c r="O234" s="694"/>
      <c r="P234" s="280"/>
      <c r="Q234" s="280"/>
      <c r="R234" s="280"/>
      <c r="S234" s="694"/>
      <c r="T234" s="694"/>
      <c r="U234" s="694"/>
      <c r="V234" s="1"/>
      <c r="W234" s="1"/>
      <c r="X234" s="1"/>
      <c r="Y234" s="1"/>
      <c r="Z234" s="1"/>
    </row>
    <row r="235" ht="14.25" customHeight="1">
      <c r="A235" s="1"/>
      <c r="B235" s="694"/>
      <c r="C235" s="694"/>
      <c r="D235" s="694"/>
      <c r="E235" s="694"/>
      <c r="F235" s="694"/>
      <c r="G235" s="692"/>
      <c r="H235" s="694"/>
      <c r="I235" s="694"/>
      <c r="J235" s="692"/>
      <c r="K235" s="692"/>
      <c r="L235" s="694"/>
      <c r="M235" s="694"/>
      <c r="N235" s="694"/>
      <c r="O235" s="694"/>
      <c r="P235" s="280"/>
      <c r="Q235" s="280"/>
      <c r="R235" s="280"/>
      <c r="S235" s="694"/>
      <c r="T235" s="694"/>
      <c r="U235" s="694"/>
      <c r="V235" s="1"/>
      <c r="W235" s="1"/>
      <c r="X235" s="1"/>
      <c r="Y235" s="1"/>
      <c r="Z235" s="1"/>
    </row>
    <row r="236" ht="14.25" customHeight="1">
      <c r="A236" s="1"/>
      <c r="B236" s="694"/>
      <c r="C236" s="694"/>
      <c r="D236" s="694"/>
      <c r="E236" s="694"/>
      <c r="F236" s="694"/>
      <c r="G236" s="692"/>
      <c r="H236" s="694"/>
      <c r="I236" s="694"/>
      <c r="J236" s="692"/>
      <c r="K236" s="692"/>
      <c r="L236" s="694"/>
      <c r="M236" s="694"/>
      <c r="N236" s="694"/>
      <c r="O236" s="694"/>
      <c r="P236" s="280"/>
      <c r="Q236" s="280"/>
      <c r="R236" s="280"/>
      <c r="S236" s="694"/>
      <c r="T236" s="694"/>
      <c r="U236" s="694"/>
      <c r="V236" s="1"/>
      <c r="W236" s="1"/>
      <c r="X236" s="1"/>
      <c r="Y236" s="1"/>
      <c r="Z236" s="1"/>
    </row>
    <row r="237" ht="14.25" customHeight="1">
      <c r="A237" s="1"/>
      <c r="B237" s="694"/>
      <c r="C237" s="694"/>
      <c r="D237" s="694"/>
      <c r="E237" s="694"/>
      <c r="F237" s="694"/>
      <c r="G237" s="692"/>
      <c r="H237" s="694"/>
      <c r="I237" s="694"/>
      <c r="J237" s="692"/>
      <c r="K237" s="692"/>
      <c r="L237" s="694"/>
      <c r="M237" s="694"/>
      <c r="N237" s="694"/>
      <c r="O237" s="694"/>
      <c r="P237" s="280"/>
      <c r="Q237" s="280"/>
      <c r="R237" s="280"/>
      <c r="S237" s="694"/>
      <c r="T237" s="694"/>
      <c r="U237" s="694"/>
      <c r="V237" s="1"/>
      <c r="W237" s="1"/>
      <c r="X237" s="1"/>
      <c r="Y237" s="1"/>
      <c r="Z237" s="1"/>
    </row>
    <row r="238" ht="14.25" customHeight="1">
      <c r="A238" s="1"/>
      <c r="B238" s="694"/>
      <c r="C238" s="694"/>
      <c r="D238" s="694"/>
      <c r="E238" s="694"/>
      <c r="F238" s="694"/>
      <c r="G238" s="692"/>
      <c r="H238" s="694"/>
      <c r="I238" s="694"/>
      <c r="J238" s="692"/>
      <c r="K238" s="692"/>
      <c r="L238" s="694"/>
      <c r="M238" s="694"/>
      <c r="N238" s="694"/>
      <c r="O238" s="694"/>
      <c r="P238" s="280"/>
      <c r="Q238" s="280"/>
      <c r="R238" s="280"/>
      <c r="S238" s="694"/>
      <c r="T238" s="694"/>
      <c r="U238" s="694"/>
      <c r="V238" s="1"/>
      <c r="W238" s="1"/>
      <c r="X238" s="1"/>
      <c r="Y238" s="1"/>
      <c r="Z238" s="1"/>
    </row>
    <row r="239" ht="14.25" customHeight="1">
      <c r="A239" s="1"/>
      <c r="B239" s="694"/>
      <c r="C239" s="694"/>
      <c r="D239" s="694"/>
      <c r="E239" s="694"/>
      <c r="F239" s="694"/>
      <c r="G239" s="692"/>
      <c r="H239" s="694"/>
      <c r="I239" s="694"/>
      <c r="J239" s="692"/>
      <c r="K239" s="692"/>
      <c r="L239" s="694"/>
      <c r="M239" s="694"/>
      <c r="N239" s="694"/>
      <c r="O239" s="694"/>
      <c r="P239" s="280"/>
      <c r="Q239" s="280"/>
      <c r="R239" s="280"/>
      <c r="S239" s="694"/>
      <c r="T239" s="694"/>
      <c r="U239" s="694"/>
      <c r="V239" s="1"/>
      <c r="W239" s="1"/>
      <c r="X239" s="1"/>
      <c r="Y239" s="1"/>
      <c r="Z239" s="1"/>
    </row>
    <row r="240" ht="14.25" customHeight="1">
      <c r="A240" s="1"/>
      <c r="B240" s="694"/>
      <c r="C240" s="694"/>
      <c r="D240" s="694"/>
      <c r="E240" s="694"/>
      <c r="F240" s="694"/>
      <c r="G240" s="692"/>
      <c r="H240" s="694"/>
      <c r="I240" s="694"/>
      <c r="J240" s="692"/>
      <c r="K240" s="692"/>
      <c r="L240" s="694"/>
      <c r="M240" s="694"/>
      <c r="N240" s="694"/>
      <c r="O240" s="694"/>
      <c r="P240" s="280"/>
      <c r="Q240" s="280"/>
      <c r="R240" s="280"/>
      <c r="S240" s="694"/>
      <c r="T240" s="694"/>
      <c r="U240" s="694"/>
      <c r="V240" s="1"/>
      <c r="W240" s="1"/>
      <c r="X240" s="1"/>
      <c r="Y240" s="1"/>
      <c r="Z240" s="1"/>
    </row>
    <row r="241" ht="14.25" customHeight="1">
      <c r="A241" s="1"/>
      <c r="B241" s="694"/>
      <c r="C241" s="694"/>
      <c r="D241" s="694"/>
      <c r="E241" s="694"/>
      <c r="F241" s="694"/>
      <c r="G241" s="692"/>
      <c r="H241" s="694"/>
      <c r="I241" s="694"/>
      <c r="J241" s="692"/>
      <c r="K241" s="692"/>
      <c r="L241" s="694"/>
      <c r="M241" s="694"/>
      <c r="N241" s="694"/>
      <c r="O241" s="694"/>
      <c r="P241" s="280"/>
      <c r="Q241" s="280"/>
      <c r="R241" s="280"/>
      <c r="S241" s="694"/>
      <c r="T241" s="694"/>
      <c r="U241" s="694"/>
      <c r="V241" s="1"/>
      <c r="W241" s="1"/>
      <c r="X241" s="1"/>
      <c r="Y241" s="1"/>
      <c r="Z241" s="1"/>
    </row>
    <row r="242" ht="14.25" customHeight="1">
      <c r="A242" s="1"/>
      <c r="B242" s="694"/>
      <c r="C242" s="694"/>
      <c r="D242" s="694"/>
      <c r="E242" s="694"/>
      <c r="F242" s="694"/>
      <c r="G242" s="692"/>
      <c r="H242" s="694"/>
      <c r="I242" s="694"/>
      <c r="J242" s="692"/>
      <c r="K242" s="692"/>
      <c r="L242" s="694"/>
      <c r="M242" s="694"/>
      <c r="N242" s="694"/>
      <c r="O242" s="694"/>
      <c r="P242" s="280"/>
      <c r="Q242" s="280"/>
      <c r="R242" s="280"/>
      <c r="S242" s="694"/>
      <c r="T242" s="694"/>
      <c r="U242" s="694"/>
      <c r="V242" s="1"/>
      <c r="W242" s="1"/>
      <c r="X242" s="1"/>
      <c r="Y242" s="1"/>
      <c r="Z242" s="1"/>
    </row>
    <row r="243" ht="14.25" customHeight="1">
      <c r="A243" s="1"/>
      <c r="B243" s="694"/>
      <c r="C243" s="694"/>
      <c r="D243" s="694"/>
      <c r="E243" s="694"/>
      <c r="F243" s="694"/>
      <c r="G243" s="692"/>
      <c r="H243" s="694"/>
      <c r="I243" s="694"/>
      <c r="J243" s="692"/>
      <c r="K243" s="692"/>
      <c r="L243" s="694"/>
      <c r="M243" s="694"/>
      <c r="N243" s="694"/>
      <c r="O243" s="694"/>
      <c r="P243" s="280"/>
      <c r="Q243" s="280"/>
      <c r="R243" s="280"/>
      <c r="S243" s="694"/>
      <c r="T243" s="694"/>
      <c r="U243" s="694"/>
      <c r="V243" s="1"/>
      <c r="W243" s="1"/>
      <c r="X243" s="1"/>
      <c r="Y243" s="1"/>
      <c r="Z243" s="1"/>
    </row>
    <row r="244" ht="14.25" customHeight="1">
      <c r="A244" s="1"/>
      <c r="B244" s="694"/>
      <c r="C244" s="694"/>
      <c r="D244" s="694"/>
      <c r="E244" s="694"/>
      <c r="F244" s="694"/>
      <c r="G244" s="692"/>
      <c r="H244" s="694"/>
      <c r="I244" s="694"/>
      <c r="J244" s="692"/>
      <c r="K244" s="692"/>
      <c r="L244" s="694"/>
      <c r="M244" s="694"/>
      <c r="N244" s="694"/>
      <c r="O244" s="694"/>
      <c r="P244" s="280"/>
      <c r="Q244" s="280"/>
      <c r="R244" s="280"/>
      <c r="S244" s="694"/>
      <c r="T244" s="694"/>
      <c r="U244" s="694"/>
      <c r="V244" s="1"/>
      <c r="W244" s="1"/>
      <c r="X244" s="1"/>
      <c r="Y244" s="1"/>
      <c r="Z244" s="1"/>
    </row>
    <row r="245" ht="14.25" customHeight="1">
      <c r="A245" s="1"/>
      <c r="B245" s="694"/>
      <c r="C245" s="694"/>
      <c r="D245" s="694"/>
      <c r="E245" s="694"/>
      <c r="F245" s="694"/>
      <c r="G245" s="692"/>
      <c r="H245" s="694"/>
      <c r="I245" s="694"/>
      <c r="J245" s="692"/>
      <c r="K245" s="692"/>
      <c r="L245" s="694"/>
      <c r="M245" s="694"/>
      <c r="N245" s="694"/>
      <c r="O245" s="694"/>
      <c r="P245" s="280"/>
      <c r="Q245" s="280"/>
      <c r="R245" s="280"/>
      <c r="S245" s="694"/>
      <c r="T245" s="694"/>
      <c r="U245" s="694"/>
      <c r="V245" s="1"/>
      <c r="W245" s="1"/>
      <c r="X245" s="1"/>
      <c r="Y245" s="1"/>
      <c r="Z245" s="1"/>
    </row>
    <row r="246" ht="14.25" customHeight="1">
      <c r="A246" s="1"/>
      <c r="B246" s="694"/>
      <c r="C246" s="694"/>
      <c r="D246" s="694"/>
      <c r="E246" s="694"/>
      <c r="F246" s="694"/>
      <c r="G246" s="692"/>
      <c r="H246" s="694"/>
      <c r="I246" s="694"/>
      <c r="J246" s="692"/>
      <c r="K246" s="692"/>
      <c r="L246" s="694"/>
      <c r="M246" s="694"/>
      <c r="N246" s="694"/>
      <c r="O246" s="694"/>
      <c r="P246" s="280"/>
      <c r="Q246" s="280"/>
      <c r="R246" s="280"/>
      <c r="S246" s="694"/>
      <c r="T246" s="694"/>
      <c r="U246" s="694"/>
      <c r="V246" s="1"/>
      <c r="W246" s="1"/>
      <c r="X246" s="1"/>
      <c r="Y246" s="1"/>
      <c r="Z246" s="1"/>
    </row>
    <row r="247" ht="14.25" customHeight="1">
      <c r="A247" s="1"/>
      <c r="B247" s="694"/>
      <c r="C247" s="694"/>
      <c r="D247" s="694"/>
      <c r="E247" s="694"/>
      <c r="F247" s="694"/>
      <c r="G247" s="692"/>
      <c r="H247" s="694"/>
      <c r="I247" s="694"/>
      <c r="J247" s="692"/>
      <c r="K247" s="692"/>
      <c r="L247" s="694"/>
      <c r="M247" s="694"/>
      <c r="N247" s="694"/>
      <c r="O247" s="694"/>
      <c r="P247" s="280"/>
      <c r="Q247" s="280"/>
      <c r="R247" s="280"/>
      <c r="S247" s="694"/>
      <c r="T247" s="694"/>
      <c r="U247" s="694"/>
      <c r="V247" s="1"/>
      <c r="W247" s="1"/>
      <c r="X247" s="1"/>
      <c r="Y247" s="1"/>
      <c r="Z247" s="1"/>
    </row>
    <row r="248" ht="14.25" customHeight="1">
      <c r="A248" s="1"/>
      <c r="B248" s="694"/>
      <c r="C248" s="694"/>
      <c r="D248" s="694"/>
      <c r="E248" s="694"/>
      <c r="F248" s="694"/>
      <c r="G248" s="692"/>
      <c r="H248" s="694"/>
      <c r="I248" s="694"/>
      <c r="J248" s="692"/>
      <c r="K248" s="692"/>
      <c r="L248" s="694"/>
      <c r="M248" s="694"/>
      <c r="N248" s="694"/>
      <c r="O248" s="694"/>
      <c r="P248" s="280"/>
      <c r="Q248" s="280"/>
      <c r="R248" s="280"/>
      <c r="S248" s="694"/>
      <c r="T248" s="694"/>
      <c r="U248" s="694"/>
      <c r="V248" s="1"/>
      <c r="W248" s="1"/>
      <c r="X248" s="1"/>
      <c r="Y248" s="1"/>
      <c r="Z248" s="1"/>
    </row>
    <row r="249" ht="14.25" customHeight="1">
      <c r="A249" s="1"/>
      <c r="B249" s="694"/>
      <c r="C249" s="694"/>
      <c r="D249" s="694"/>
      <c r="E249" s="694"/>
      <c r="F249" s="694"/>
      <c r="G249" s="692"/>
      <c r="H249" s="694"/>
      <c r="I249" s="694"/>
      <c r="J249" s="692"/>
      <c r="K249" s="692"/>
      <c r="L249" s="694"/>
      <c r="M249" s="694"/>
      <c r="N249" s="694"/>
      <c r="O249" s="694"/>
      <c r="P249" s="280"/>
      <c r="Q249" s="280"/>
      <c r="R249" s="280"/>
      <c r="S249" s="694"/>
      <c r="T249" s="694"/>
      <c r="U249" s="694"/>
      <c r="V249" s="1"/>
      <c r="W249" s="1"/>
      <c r="X249" s="1"/>
      <c r="Y249" s="1"/>
      <c r="Z249" s="1"/>
    </row>
    <row r="250" ht="14.25" customHeight="1">
      <c r="A250" s="1"/>
      <c r="B250" s="694"/>
      <c r="C250" s="694"/>
      <c r="D250" s="694"/>
      <c r="E250" s="694"/>
      <c r="F250" s="694"/>
      <c r="G250" s="692"/>
      <c r="H250" s="694"/>
      <c r="I250" s="694"/>
      <c r="J250" s="692"/>
      <c r="K250" s="692"/>
      <c r="L250" s="694"/>
      <c r="M250" s="694"/>
      <c r="N250" s="694"/>
      <c r="O250" s="694"/>
      <c r="P250" s="280"/>
      <c r="Q250" s="280"/>
      <c r="R250" s="280"/>
      <c r="S250" s="694"/>
      <c r="T250" s="694"/>
      <c r="U250" s="694"/>
      <c r="V250" s="1"/>
      <c r="W250" s="1"/>
      <c r="X250" s="1"/>
      <c r="Y250" s="1"/>
      <c r="Z250" s="1"/>
    </row>
    <row r="251" ht="14.25" customHeight="1">
      <c r="A251" s="1"/>
      <c r="B251" s="694"/>
      <c r="C251" s="694"/>
      <c r="D251" s="694"/>
      <c r="E251" s="694"/>
      <c r="F251" s="694"/>
      <c r="G251" s="692"/>
      <c r="H251" s="694"/>
      <c r="I251" s="694"/>
      <c r="J251" s="692"/>
      <c r="K251" s="692"/>
      <c r="L251" s="694"/>
      <c r="M251" s="694"/>
      <c r="N251" s="694"/>
      <c r="O251" s="694"/>
      <c r="P251" s="280"/>
      <c r="Q251" s="280"/>
      <c r="R251" s="280"/>
      <c r="S251" s="694"/>
      <c r="T251" s="694"/>
      <c r="U251" s="694"/>
      <c r="V251" s="1"/>
      <c r="W251" s="1"/>
      <c r="X251" s="1"/>
      <c r="Y251" s="1"/>
      <c r="Z251" s="1"/>
    </row>
    <row r="252" ht="14.25" customHeight="1">
      <c r="A252" s="1"/>
      <c r="B252" s="694"/>
      <c r="C252" s="694"/>
      <c r="D252" s="694"/>
      <c r="E252" s="694"/>
      <c r="F252" s="694"/>
      <c r="G252" s="692"/>
      <c r="H252" s="694"/>
      <c r="I252" s="694"/>
      <c r="J252" s="692"/>
      <c r="K252" s="692"/>
      <c r="L252" s="694"/>
      <c r="M252" s="694"/>
      <c r="N252" s="694"/>
      <c r="O252" s="694"/>
      <c r="P252" s="280"/>
      <c r="Q252" s="280"/>
      <c r="R252" s="280"/>
      <c r="S252" s="694"/>
      <c r="T252" s="694"/>
      <c r="U252" s="694"/>
      <c r="V252" s="1"/>
      <c r="W252" s="1"/>
      <c r="X252" s="1"/>
      <c r="Y252" s="1"/>
      <c r="Z252" s="1"/>
    </row>
    <row r="253" ht="14.25" customHeight="1">
      <c r="A253" s="1"/>
      <c r="B253" s="694"/>
      <c r="C253" s="694"/>
      <c r="D253" s="694"/>
      <c r="E253" s="694"/>
      <c r="F253" s="694"/>
      <c r="G253" s="692"/>
      <c r="H253" s="694"/>
      <c r="I253" s="694"/>
      <c r="J253" s="692"/>
      <c r="K253" s="692"/>
      <c r="L253" s="694"/>
      <c r="M253" s="694"/>
      <c r="N253" s="694"/>
      <c r="O253" s="694"/>
      <c r="P253" s="280"/>
      <c r="Q253" s="280"/>
      <c r="R253" s="280"/>
      <c r="S253" s="694"/>
      <c r="T253" s="694"/>
      <c r="U253" s="694"/>
      <c r="V253" s="1"/>
      <c r="W253" s="1"/>
      <c r="X253" s="1"/>
      <c r="Y253" s="1"/>
      <c r="Z253" s="1"/>
    </row>
    <row r="254" ht="14.25" customHeight="1">
      <c r="A254" s="1"/>
      <c r="B254" s="694"/>
      <c r="C254" s="694"/>
      <c r="D254" s="694"/>
      <c r="E254" s="694"/>
      <c r="F254" s="694"/>
      <c r="G254" s="692"/>
      <c r="H254" s="694"/>
      <c r="I254" s="694"/>
      <c r="J254" s="692"/>
      <c r="K254" s="692"/>
      <c r="L254" s="694"/>
      <c r="M254" s="694"/>
      <c r="N254" s="694"/>
      <c r="O254" s="694"/>
      <c r="P254" s="280"/>
      <c r="Q254" s="280"/>
      <c r="R254" s="280"/>
      <c r="S254" s="694"/>
      <c r="T254" s="694"/>
      <c r="U254" s="694"/>
      <c r="V254" s="1"/>
      <c r="W254" s="1"/>
      <c r="X254" s="1"/>
      <c r="Y254" s="1"/>
      <c r="Z254" s="1"/>
    </row>
    <row r="255" ht="14.25" customHeight="1">
      <c r="A255" s="1"/>
      <c r="B255" s="694"/>
      <c r="C255" s="694"/>
      <c r="D255" s="694"/>
      <c r="E255" s="694"/>
      <c r="F255" s="694"/>
      <c r="G255" s="692"/>
      <c r="H255" s="694"/>
      <c r="I255" s="694"/>
      <c r="J255" s="692"/>
      <c r="K255" s="692"/>
      <c r="L255" s="694"/>
      <c r="M255" s="694"/>
      <c r="N255" s="694"/>
      <c r="O255" s="694"/>
      <c r="P255" s="280"/>
      <c r="Q255" s="280"/>
      <c r="R255" s="280"/>
      <c r="S255" s="694"/>
      <c r="T255" s="694"/>
      <c r="U255" s="694"/>
      <c r="V255" s="1"/>
      <c r="W255" s="1"/>
      <c r="X255" s="1"/>
      <c r="Y255" s="1"/>
      <c r="Z255" s="1"/>
    </row>
    <row r="256" ht="14.25" customHeight="1">
      <c r="A256" s="1"/>
      <c r="B256" s="694"/>
      <c r="C256" s="694"/>
      <c r="D256" s="694"/>
      <c r="E256" s="694"/>
      <c r="F256" s="694"/>
      <c r="G256" s="692"/>
      <c r="H256" s="694"/>
      <c r="I256" s="694"/>
      <c r="J256" s="692"/>
      <c r="K256" s="692"/>
      <c r="L256" s="694"/>
      <c r="M256" s="694"/>
      <c r="N256" s="694"/>
      <c r="O256" s="694"/>
      <c r="P256" s="280"/>
      <c r="Q256" s="280"/>
      <c r="R256" s="280"/>
      <c r="S256" s="694"/>
      <c r="T256" s="694"/>
      <c r="U256" s="694"/>
      <c r="V256" s="1"/>
      <c r="W256" s="1"/>
      <c r="X256" s="1"/>
      <c r="Y256" s="1"/>
      <c r="Z256" s="1"/>
    </row>
    <row r="257" ht="14.25" customHeight="1">
      <c r="A257" s="1"/>
      <c r="B257" s="694"/>
      <c r="C257" s="694"/>
      <c r="D257" s="694"/>
      <c r="E257" s="694"/>
      <c r="F257" s="694"/>
      <c r="G257" s="692"/>
      <c r="H257" s="694"/>
      <c r="I257" s="694"/>
      <c r="J257" s="692"/>
      <c r="K257" s="692"/>
      <c r="L257" s="694"/>
      <c r="M257" s="694"/>
      <c r="N257" s="694"/>
      <c r="O257" s="694"/>
      <c r="P257" s="280"/>
      <c r="Q257" s="280"/>
      <c r="R257" s="280"/>
      <c r="S257" s="694"/>
      <c r="T257" s="694"/>
      <c r="U257" s="694"/>
      <c r="V257" s="1"/>
      <c r="W257" s="1"/>
      <c r="X257" s="1"/>
      <c r="Y257" s="1"/>
      <c r="Z257" s="1"/>
    </row>
    <row r="258" ht="14.25" customHeight="1">
      <c r="A258" s="1"/>
      <c r="B258" s="694"/>
      <c r="C258" s="694"/>
      <c r="D258" s="694"/>
      <c r="E258" s="694"/>
      <c r="F258" s="694"/>
      <c r="G258" s="692"/>
      <c r="H258" s="694"/>
      <c r="I258" s="694"/>
      <c r="J258" s="692"/>
      <c r="K258" s="692"/>
      <c r="L258" s="694"/>
      <c r="M258" s="694"/>
      <c r="N258" s="694"/>
      <c r="O258" s="694"/>
      <c r="P258" s="280"/>
      <c r="Q258" s="280"/>
      <c r="R258" s="280"/>
      <c r="S258" s="694"/>
      <c r="T258" s="694"/>
      <c r="U258" s="694"/>
      <c r="V258" s="1"/>
      <c r="W258" s="1"/>
      <c r="X258" s="1"/>
      <c r="Y258" s="1"/>
      <c r="Z258" s="1"/>
    </row>
    <row r="259" ht="14.25" customHeight="1">
      <c r="A259" s="1"/>
      <c r="B259" s="694"/>
      <c r="C259" s="694"/>
      <c r="D259" s="694"/>
      <c r="E259" s="694"/>
      <c r="F259" s="694"/>
      <c r="G259" s="692"/>
      <c r="H259" s="694"/>
      <c r="I259" s="694"/>
      <c r="J259" s="692"/>
      <c r="K259" s="692"/>
      <c r="L259" s="694"/>
      <c r="M259" s="694"/>
      <c r="N259" s="694"/>
      <c r="O259" s="694"/>
      <c r="P259" s="280"/>
      <c r="Q259" s="280"/>
      <c r="R259" s="280"/>
      <c r="S259" s="694"/>
      <c r="T259" s="694"/>
      <c r="U259" s="694"/>
      <c r="V259" s="1"/>
      <c r="W259" s="1"/>
      <c r="X259" s="1"/>
      <c r="Y259" s="1"/>
      <c r="Z259" s="1"/>
    </row>
    <row r="260" ht="14.25" customHeight="1">
      <c r="A260" s="1"/>
      <c r="B260" s="694"/>
      <c r="C260" s="694"/>
      <c r="D260" s="694"/>
      <c r="E260" s="694"/>
      <c r="F260" s="694"/>
      <c r="G260" s="692"/>
      <c r="H260" s="694"/>
      <c r="I260" s="694"/>
      <c r="J260" s="692"/>
      <c r="K260" s="692"/>
      <c r="L260" s="694"/>
      <c r="M260" s="694"/>
      <c r="N260" s="694"/>
      <c r="O260" s="694"/>
      <c r="P260" s="280"/>
      <c r="Q260" s="280"/>
      <c r="R260" s="280"/>
      <c r="S260" s="694"/>
      <c r="T260" s="694"/>
      <c r="U260" s="694"/>
      <c r="V260" s="1"/>
      <c r="W260" s="1"/>
      <c r="X260" s="1"/>
      <c r="Y260" s="1"/>
      <c r="Z260" s="1"/>
    </row>
    <row r="261" ht="14.25" customHeight="1">
      <c r="A261" s="1"/>
      <c r="B261" s="694"/>
      <c r="C261" s="694"/>
      <c r="D261" s="694"/>
      <c r="E261" s="694"/>
      <c r="F261" s="694"/>
      <c r="G261" s="692"/>
      <c r="H261" s="694"/>
      <c r="I261" s="694"/>
      <c r="J261" s="692"/>
      <c r="K261" s="692"/>
      <c r="L261" s="694"/>
      <c r="M261" s="694"/>
      <c r="N261" s="694"/>
      <c r="O261" s="694"/>
      <c r="P261" s="280"/>
      <c r="Q261" s="280"/>
      <c r="R261" s="280"/>
      <c r="S261" s="694"/>
      <c r="T261" s="694"/>
      <c r="U261" s="694"/>
      <c r="V261" s="1"/>
      <c r="W261" s="1"/>
      <c r="X261" s="1"/>
      <c r="Y261" s="1"/>
      <c r="Z261" s="1"/>
    </row>
    <row r="262" ht="14.25" customHeight="1">
      <c r="A262" s="1"/>
      <c r="B262" s="694"/>
      <c r="C262" s="694"/>
      <c r="D262" s="694"/>
      <c r="E262" s="694"/>
      <c r="F262" s="694"/>
      <c r="G262" s="692"/>
      <c r="H262" s="694"/>
      <c r="I262" s="694"/>
      <c r="J262" s="692"/>
      <c r="K262" s="692"/>
      <c r="L262" s="694"/>
      <c r="M262" s="694"/>
      <c r="N262" s="694"/>
      <c r="O262" s="694"/>
      <c r="P262" s="280"/>
      <c r="Q262" s="280"/>
      <c r="R262" s="280"/>
      <c r="S262" s="694"/>
      <c r="T262" s="694"/>
      <c r="U262" s="694"/>
      <c r="V262" s="1"/>
      <c r="W262" s="1"/>
      <c r="X262" s="1"/>
      <c r="Y262" s="1"/>
      <c r="Z262" s="1"/>
    </row>
    <row r="263" ht="14.25" customHeight="1">
      <c r="A263" s="1"/>
      <c r="B263" s="694"/>
      <c r="C263" s="694"/>
      <c r="D263" s="694"/>
      <c r="E263" s="694"/>
      <c r="F263" s="694"/>
      <c r="G263" s="692"/>
      <c r="H263" s="694"/>
      <c r="I263" s="694"/>
      <c r="J263" s="692"/>
      <c r="K263" s="692"/>
      <c r="L263" s="694"/>
      <c r="M263" s="694"/>
      <c r="N263" s="694"/>
      <c r="O263" s="694"/>
      <c r="P263" s="280"/>
      <c r="Q263" s="280"/>
      <c r="R263" s="280"/>
      <c r="S263" s="694"/>
      <c r="T263" s="694"/>
      <c r="U263" s="694"/>
      <c r="V263" s="1"/>
      <c r="W263" s="1"/>
      <c r="X263" s="1"/>
      <c r="Y263" s="1"/>
      <c r="Z263" s="1"/>
    </row>
    <row r="264" ht="14.25" customHeight="1">
      <c r="A264" s="1"/>
      <c r="B264" s="694"/>
      <c r="C264" s="694"/>
      <c r="D264" s="694"/>
      <c r="E264" s="694"/>
      <c r="F264" s="694"/>
      <c r="G264" s="692"/>
      <c r="H264" s="694"/>
      <c r="I264" s="694"/>
      <c r="J264" s="692"/>
      <c r="K264" s="692"/>
      <c r="L264" s="694"/>
      <c r="M264" s="694"/>
      <c r="N264" s="694"/>
      <c r="O264" s="694"/>
      <c r="P264" s="280"/>
      <c r="Q264" s="280"/>
      <c r="R264" s="280"/>
      <c r="S264" s="694"/>
      <c r="T264" s="694"/>
      <c r="U264" s="694"/>
      <c r="V264" s="1"/>
      <c r="W264" s="1"/>
      <c r="X264" s="1"/>
      <c r="Y264" s="1"/>
      <c r="Z264" s="1"/>
    </row>
    <row r="265" ht="14.25" customHeight="1">
      <c r="A265" s="1"/>
      <c r="B265" s="694"/>
      <c r="C265" s="694"/>
      <c r="D265" s="694"/>
      <c r="E265" s="694"/>
      <c r="F265" s="694"/>
      <c r="G265" s="692"/>
      <c r="H265" s="694"/>
      <c r="I265" s="694"/>
      <c r="J265" s="692"/>
      <c r="K265" s="692"/>
      <c r="L265" s="694"/>
      <c r="M265" s="694"/>
      <c r="N265" s="694"/>
      <c r="O265" s="694"/>
      <c r="P265" s="280"/>
      <c r="Q265" s="280"/>
      <c r="R265" s="280"/>
      <c r="S265" s="694"/>
      <c r="T265" s="694"/>
      <c r="U265" s="694"/>
      <c r="V265" s="1"/>
      <c r="W265" s="1"/>
      <c r="X265" s="1"/>
      <c r="Y265" s="1"/>
      <c r="Z265" s="1"/>
    </row>
    <row r="266" ht="14.25" customHeight="1">
      <c r="A266" s="1"/>
      <c r="B266" s="694"/>
      <c r="C266" s="694"/>
      <c r="D266" s="694"/>
      <c r="E266" s="694"/>
      <c r="F266" s="694"/>
      <c r="G266" s="692"/>
      <c r="H266" s="694"/>
      <c r="I266" s="694"/>
      <c r="J266" s="692"/>
      <c r="K266" s="692"/>
      <c r="L266" s="694"/>
      <c r="M266" s="694"/>
      <c r="N266" s="694"/>
      <c r="O266" s="694"/>
      <c r="P266" s="280"/>
      <c r="Q266" s="280"/>
      <c r="R266" s="280"/>
      <c r="S266" s="694"/>
      <c r="T266" s="694"/>
      <c r="U266" s="694"/>
      <c r="V266" s="1"/>
      <c r="W266" s="1"/>
      <c r="X266" s="1"/>
      <c r="Y266" s="1"/>
      <c r="Z266" s="1"/>
    </row>
    <row r="267" ht="14.25" customHeight="1">
      <c r="A267" s="1"/>
      <c r="B267" s="694"/>
      <c r="C267" s="694"/>
      <c r="D267" s="694"/>
      <c r="E267" s="694"/>
      <c r="F267" s="694"/>
      <c r="G267" s="692"/>
      <c r="H267" s="694"/>
      <c r="I267" s="694"/>
      <c r="J267" s="692"/>
      <c r="K267" s="692"/>
      <c r="L267" s="694"/>
      <c r="M267" s="694"/>
      <c r="N267" s="694"/>
      <c r="O267" s="694"/>
      <c r="P267" s="280"/>
      <c r="Q267" s="280"/>
      <c r="R267" s="280"/>
      <c r="S267" s="694"/>
      <c r="T267" s="694"/>
      <c r="U267" s="694"/>
      <c r="V267" s="1"/>
      <c r="W267" s="1"/>
      <c r="X267" s="1"/>
      <c r="Y267" s="1"/>
      <c r="Z267" s="1"/>
    </row>
    <row r="268" ht="14.25" customHeight="1">
      <c r="A268" s="1"/>
      <c r="B268" s="694"/>
      <c r="C268" s="694"/>
      <c r="D268" s="694"/>
      <c r="E268" s="694"/>
      <c r="F268" s="694"/>
      <c r="G268" s="692"/>
      <c r="H268" s="694"/>
      <c r="I268" s="694"/>
      <c r="J268" s="692"/>
      <c r="K268" s="692"/>
      <c r="L268" s="694"/>
      <c r="M268" s="694"/>
      <c r="N268" s="694"/>
      <c r="O268" s="694"/>
      <c r="P268" s="280"/>
      <c r="Q268" s="280"/>
      <c r="R268" s="280"/>
      <c r="S268" s="694"/>
      <c r="T268" s="694"/>
      <c r="U268" s="694"/>
      <c r="V268" s="1"/>
      <c r="W268" s="1"/>
      <c r="X268" s="1"/>
      <c r="Y268" s="1"/>
      <c r="Z268" s="1"/>
    </row>
    <row r="269" ht="14.25" customHeight="1">
      <c r="A269" s="1"/>
      <c r="B269" s="694"/>
      <c r="C269" s="694"/>
      <c r="D269" s="694"/>
      <c r="E269" s="694"/>
      <c r="F269" s="694"/>
      <c r="G269" s="692"/>
      <c r="H269" s="694"/>
      <c r="I269" s="694"/>
      <c r="J269" s="692"/>
      <c r="K269" s="692"/>
      <c r="L269" s="694"/>
      <c r="M269" s="694"/>
      <c r="N269" s="694"/>
      <c r="O269" s="694"/>
      <c r="P269" s="280"/>
      <c r="Q269" s="280"/>
      <c r="R269" s="280"/>
      <c r="S269" s="694"/>
      <c r="T269" s="694"/>
      <c r="U269" s="694"/>
      <c r="V269" s="1"/>
      <c r="W269" s="1"/>
      <c r="X269" s="1"/>
      <c r="Y269" s="1"/>
      <c r="Z269" s="1"/>
    </row>
    <row r="270" ht="14.25" customHeight="1">
      <c r="A270" s="1"/>
      <c r="B270" s="694"/>
      <c r="C270" s="694"/>
      <c r="D270" s="694"/>
      <c r="E270" s="694"/>
      <c r="F270" s="694"/>
      <c r="G270" s="692"/>
      <c r="H270" s="694"/>
      <c r="I270" s="694"/>
      <c r="J270" s="692"/>
      <c r="K270" s="692"/>
      <c r="L270" s="694"/>
      <c r="M270" s="694"/>
      <c r="N270" s="694"/>
      <c r="O270" s="694"/>
      <c r="P270" s="280"/>
      <c r="Q270" s="280"/>
      <c r="R270" s="280"/>
      <c r="S270" s="694"/>
      <c r="T270" s="694"/>
      <c r="U270" s="694"/>
      <c r="V270" s="1"/>
      <c r="W270" s="1"/>
      <c r="X270" s="1"/>
      <c r="Y270" s="1"/>
      <c r="Z270" s="1"/>
    </row>
    <row r="271" ht="14.25" customHeight="1">
      <c r="A271" s="1"/>
      <c r="B271" s="694"/>
      <c r="C271" s="694"/>
      <c r="D271" s="694"/>
      <c r="E271" s="694"/>
      <c r="F271" s="694"/>
      <c r="G271" s="692"/>
      <c r="H271" s="694"/>
      <c r="I271" s="694"/>
      <c r="J271" s="692"/>
      <c r="K271" s="692"/>
      <c r="L271" s="694"/>
      <c r="M271" s="694"/>
      <c r="N271" s="694"/>
      <c r="O271" s="694"/>
      <c r="P271" s="280"/>
      <c r="Q271" s="280"/>
      <c r="R271" s="280"/>
      <c r="S271" s="694"/>
      <c r="T271" s="694"/>
      <c r="U271" s="694"/>
      <c r="V271" s="1"/>
      <c r="W271" s="1"/>
      <c r="X271" s="1"/>
      <c r="Y271" s="1"/>
      <c r="Z271" s="1"/>
    </row>
    <row r="272" ht="14.25" customHeight="1">
      <c r="A272" s="1"/>
      <c r="B272" s="694"/>
      <c r="C272" s="694"/>
      <c r="D272" s="694"/>
      <c r="E272" s="694"/>
      <c r="F272" s="694"/>
      <c r="G272" s="692"/>
      <c r="H272" s="694"/>
      <c r="I272" s="694"/>
      <c r="J272" s="692"/>
      <c r="K272" s="692"/>
      <c r="L272" s="694"/>
      <c r="M272" s="694"/>
      <c r="N272" s="694"/>
      <c r="O272" s="694"/>
      <c r="P272" s="280"/>
      <c r="Q272" s="280"/>
      <c r="R272" s="280"/>
      <c r="S272" s="694"/>
      <c r="T272" s="694"/>
      <c r="U272" s="694"/>
      <c r="V272" s="1"/>
      <c r="W272" s="1"/>
      <c r="X272" s="1"/>
      <c r="Y272" s="1"/>
      <c r="Z272" s="1"/>
    </row>
    <row r="273" ht="14.25" customHeight="1">
      <c r="A273" s="1"/>
      <c r="B273" s="694"/>
      <c r="C273" s="694"/>
      <c r="D273" s="694"/>
      <c r="E273" s="694"/>
      <c r="F273" s="694"/>
      <c r="G273" s="692"/>
      <c r="H273" s="694"/>
      <c r="I273" s="694"/>
      <c r="J273" s="692"/>
      <c r="K273" s="692"/>
      <c r="L273" s="694"/>
      <c r="M273" s="694"/>
      <c r="N273" s="694"/>
      <c r="O273" s="694"/>
      <c r="P273" s="280"/>
      <c r="Q273" s="280"/>
      <c r="R273" s="280"/>
      <c r="S273" s="694"/>
      <c r="T273" s="694"/>
      <c r="U273" s="694"/>
      <c r="V273" s="1"/>
      <c r="W273" s="1"/>
      <c r="X273" s="1"/>
      <c r="Y273" s="1"/>
      <c r="Z273" s="1"/>
    </row>
    <row r="274" ht="14.25" customHeight="1">
      <c r="A274" s="1"/>
      <c r="B274" s="694"/>
      <c r="C274" s="694"/>
      <c r="D274" s="694"/>
      <c r="E274" s="694"/>
      <c r="F274" s="694"/>
      <c r="G274" s="692"/>
      <c r="H274" s="694"/>
      <c r="I274" s="694"/>
      <c r="J274" s="692"/>
      <c r="K274" s="692"/>
      <c r="L274" s="694"/>
      <c r="M274" s="694"/>
      <c r="N274" s="694"/>
      <c r="O274" s="694"/>
      <c r="P274" s="280"/>
      <c r="Q274" s="280"/>
      <c r="R274" s="280"/>
      <c r="S274" s="694"/>
      <c r="T274" s="694"/>
      <c r="U274" s="694"/>
      <c r="V274" s="1"/>
      <c r="W274" s="1"/>
      <c r="X274" s="1"/>
      <c r="Y274" s="1"/>
      <c r="Z274" s="1"/>
    </row>
    <row r="275" ht="14.25" customHeight="1">
      <c r="A275" s="1"/>
      <c r="B275" s="694"/>
      <c r="C275" s="694"/>
      <c r="D275" s="694"/>
      <c r="E275" s="694"/>
      <c r="F275" s="694"/>
      <c r="G275" s="692"/>
      <c r="H275" s="694"/>
      <c r="I275" s="694"/>
      <c r="J275" s="692"/>
      <c r="K275" s="692"/>
      <c r="L275" s="694"/>
      <c r="M275" s="694"/>
      <c r="N275" s="694"/>
      <c r="O275" s="694"/>
      <c r="P275" s="280"/>
      <c r="Q275" s="280"/>
      <c r="R275" s="280"/>
      <c r="S275" s="694"/>
      <c r="T275" s="694"/>
      <c r="U275" s="694"/>
      <c r="V275" s="1"/>
      <c r="W275" s="1"/>
      <c r="X275" s="1"/>
      <c r="Y275" s="1"/>
      <c r="Z275" s="1"/>
    </row>
    <row r="276" ht="14.25" customHeight="1">
      <c r="A276" s="1"/>
      <c r="B276" s="694"/>
      <c r="C276" s="694"/>
      <c r="D276" s="694"/>
      <c r="E276" s="694"/>
      <c r="F276" s="694"/>
      <c r="G276" s="692"/>
      <c r="H276" s="694"/>
      <c r="I276" s="694"/>
      <c r="J276" s="692"/>
      <c r="K276" s="692"/>
      <c r="L276" s="694"/>
      <c r="M276" s="694"/>
      <c r="N276" s="694"/>
      <c r="O276" s="694"/>
      <c r="P276" s="280"/>
      <c r="Q276" s="280"/>
      <c r="R276" s="280"/>
      <c r="S276" s="694"/>
      <c r="T276" s="694"/>
      <c r="U276" s="694"/>
      <c r="V276" s="1"/>
      <c r="W276" s="1"/>
      <c r="X276" s="1"/>
      <c r="Y276" s="1"/>
      <c r="Z276" s="1"/>
    </row>
    <row r="277" ht="14.25" customHeight="1">
      <c r="A277" s="1"/>
      <c r="B277" s="694"/>
      <c r="C277" s="694"/>
      <c r="D277" s="694"/>
      <c r="E277" s="694"/>
      <c r="F277" s="694"/>
      <c r="G277" s="692"/>
      <c r="H277" s="694"/>
      <c r="I277" s="694"/>
      <c r="J277" s="692"/>
      <c r="K277" s="692"/>
      <c r="L277" s="694"/>
      <c r="M277" s="694"/>
      <c r="N277" s="694"/>
      <c r="O277" s="694"/>
      <c r="P277" s="280"/>
      <c r="Q277" s="280"/>
      <c r="R277" s="280"/>
      <c r="S277" s="694"/>
      <c r="T277" s="694"/>
      <c r="U277" s="694"/>
      <c r="V277" s="1"/>
      <c r="W277" s="1"/>
      <c r="X277" s="1"/>
      <c r="Y277" s="1"/>
      <c r="Z277" s="1"/>
    </row>
    <row r="278" ht="14.25" customHeight="1">
      <c r="A278" s="1"/>
      <c r="B278" s="694"/>
      <c r="C278" s="694"/>
      <c r="D278" s="694"/>
      <c r="E278" s="694"/>
      <c r="F278" s="694"/>
      <c r="G278" s="692"/>
      <c r="H278" s="694"/>
      <c r="I278" s="694"/>
      <c r="J278" s="692"/>
      <c r="K278" s="692"/>
      <c r="L278" s="694"/>
      <c r="M278" s="694"/>
      <c r="N278" s="694"/>
      <c r="O278" s="694"/>
      <c r="P278" s="280"/>
      <c r="Q278" s="280"/>
      <c r="R278" s="280"/>
      <c r="S278" s="694"/>
      <c r="T278" s="694"/>
      <c r="U278" s="694"/>
      <c r="V278" s="1"/>
      <c r="W278" s="1"/>
      <c r="X278" s="1"/>
      <c r="Y278" s="1"/>
      <c r="Z278" s="1"/>
    </row>
    <row r="279" ht="14.25" customHeight="1">
      <c r="A279" s="1"/>
      <c r="B279" s="694"/>
      <c r="C279" s="694"/>
      <c r="D279" s="694"/>
      <c r="E279" s="694"/>
      <c r="F279" s="694"/>
      <c r="G279" s="692"/>
      <c r="H279" s="694"/>
      <c r="I279" s="694"/>
      <c r="J279" s="692"/>
      <c r="K279" s="692"/>
      <c r="L279" s="694"/>
      <c r="M279" s="694"/>
      <c r="N279" s="694"/>
      <c r="O279" s="694"/>
      <c r="P279" s="280"/>
      <c r="Q279" s="280"/>
      <c r="R279" s="280"/>
      <c r="S279" s="694"/>
      <c r="T279" s="694"/>
      <c r="U279" s="694"/>
      <c r="V279" s="1"/>
      <c r="W279" s="1"/>
      <c r="X279" s="1"/>
      <c r="Y279" s="1"/>
      <c r="Z279" s="1"/>
    </row>
    <row r="280" ht="14.25" customHeight="1">
      <c r="A280" s="1"/>
      <c r="B280" s="694"/>
      <c r="C280" s="694"/>
      <c r="D280" s="694"/>
      <c r="E280" s="694"/>
      <c r="F280" s="694"/>
      <c r="G280" s="692"/>
      <c r="H280" s="694"/>
      <c r="I280" s="694"/>
      <c r="J280" s="692"/>
      <c r="K280" s="692"/>
      <c r="L280" s="694"/>
      <c r="M280" s="694"/>
      <c r="N280" s="694"/>
      <c r="O280" s="694"/>
      <c r="P280" s="280"/>
      <c r="Q280" s="280"/>
      <c r="R280" s="280"/>
      <c r="S280" s="694"/>
      <c r="T280" s="694"/>
      <c r="U280" s="694"/>
      <c r="V280" s="1"/>
      <c r="W280" s="1"/>
      <c r="X280" s="1"/>
      <c r="Y280" s="1"/>
      <c r="Z280" s="1"/>
    </row>
    <row r="281" ht="14.25" customHeight="1">
      <c r="A281" s="1"/>
      <c r="B281" s="694"/>
      <c r="C281" s="694"/>
      <c r="D281" s="694"/>
      <c r="E281" s="694"/>
      <c r="F281" s="694"/>
      <c r="G281" s="692"/>
      <c r="H281" s="694"/>
      <c r="I281" s="694"/>
      <c r="J281" s="692"/>
      <c r="K281" s="692"/>
      <c r="L281" s="694"/>
      <c r="M281" s="694"/>
      <c r="N281" s="694"/>
      <c r="O281" s="694"/>
      <c r="P281" s="280"/>
      <c r="Q281" s="280"/>
      <c r="R281" s="280"/>
      <c r="S281" s="694"/>
      <c r="T281" s="694"/>
      <c r="U281" s="694"/>
      <c r="V281" s="1"/>
      <c r="W281" s="1"/>
      <c r="X281" s="1"/>
      <c r="Y281" s="1"/>
      <c r="Z281" s="1"/>
    </row>
    <row r="282" ht="14.25" customHeight="1">
      <c r="A282" s="1"/>
      <c r="B282" s="694"/>
      <c r="C282" s="694"/>
      <c r="D282" s="694"/>
      <c r="E282" s="694"/>
      <c r="F282" s="694"/>
      <c r="G282" s="692"/>
      <c r="H282" s="694"/>
      <c r="I282" s="694"/>
      <c r="J282" s="692"/>
      <c r="K282" s="692"/>
      <c r="L282" s="694"/>
      <c r="M282" s="694"/>
      <c r="N282" s="694"/>
      <c r="O282" s="694"/>
      <c r="P282" s="280"/>
      <c r="Q282" s="280"/>
      <c r="R282" s="280"/>
      <c r="S282" s="694"/>
      <c r="T282" s="694"/>
      <c r="U282" s="694"/>
      <c r="V282" s="1"/>
      <c r="W282" s="1"/>
      <c r="X282" s="1"/>
      <c r="Y282" s="1"/>
      <c r="Z282" s="1"/>
    </row>
    <row r="283" ht="14.25" customHeight="1">
      <c r="A283" s="1"/>
      <c r="B283" s="694"/>
      <c r="C283" s="694"/>
      <c r="D283" s="694"/>
      <c r="E283" s="694"/>
      <c r="F283" s="694"/>
      <c r="G283" s="692"/>
      <c r="H283" s="694"/>
      <c r="I283" s="694"/>
      <c r="J283" s="692"/>
      <c r="K283" s="692"/>
      <c r="L283" s="694"/>
      <c r="M283" s="694"/>
      <c r="N283" s="694"/>
      <c r="O283" s="694"/>
      <c r="P283" s="280"/>
      <c r="Q283" s="280"/>
      <c r="R283" s="280"/>
      <c r="S283" s="694"/>
      <c r="T283" s="694"/>
      <c r="U283" s="694"/>
      <c r="V283" s="1"/>
      <c r="W283" s="1"/>
      <c r="X283" s="1"/>
      <c r="Y283" s="1"/>
      <c r="Z283" s="1"/>
    </row>
    <row r="284" ht="14.25" customHeight="1">
      <c r="A284" s="1"/>
      <c r="B284" s="694"/>
      <c r="C284" s="694"/>
      <c r="D284" s="694"/>
      <c r="E284" s="694"/>
      <c r="F284" s="694"/>
      <c r="G284" s="692"/>
      <c r="H284" s="694"/>
      <c r="I284" s="694"/>
      <c r="J284" s="692"/>
      <c r="K284" s="692"/>
      <c r="L284" s="694"/>
      <c r="M284" s="694"/>
      <c r="N284" s="694"/>
      <c r="O284" s="694"/>
      <c r="P284" s="280"/>
      <c r="Q284" s="280"/>
      <c r="R284" s="280"/>
      <c r="S284" s="694"/>
      <c r="T284" s="694"/>
      <c r="U284" s="694"/>
      <c r="V284" s="1"/>
      <c r="W284" s="1"/>
      <c r="X284" s="1"/>
      <c r="Y284" s="1"/>
      <c r="Z284" s="1"/>
    </row>
    <row r="285" ht="14.25" customHeight="1">
      <c r="A285" s="1"/>
      <c r="B285" s="694"/>
      <c r="C285" s="694"/>
      <c r="D285" s="694"/>
      <c r="E285" s="694"/>
      <c r="F285" s="694"/>
      <c r="G285" s="692"/>
      <c r="H285" s="694"/>
      <c r="I285" s="694"/>
      <c r="J285" s="692"/>
      <c r="K285" s="692"/>
      <c r="L285" s="694"/>
      <c r="M285" s="694"/>
      <c r="N285" s="694"/>
      <c r="O285" s="694"/>
      <c r="P285" s="280"/>
      <c r="Q285" s="280"/>
      <c r="R285" s="280"/>
      <c r="S285" s="694"/>
      <c r="T285" s="694"/>
      <c r="U285" s="694"/>
      <c r="V285" s="1"/>
      <c r="W285" s="1"/>
      <c r="X285" s="1"/>
      <c r="Y285" s="1"/>
      <c r="Z285" s="1"/>
    </row>
    <row r="286" ht="14.25" customHeight="1">
      <c r="A286" s="1"/>
      <c r="B286" s="694"/>
      <c r="C286" s="694"/>
      <c r="D286" s="694"/>
      <c r="E286" s="694"/>
      <c r="F286" s="694"/>
      <c r="G286" s="692"/>
      <c r="H286" s="694"/>
      <c r="I286" s="694"/>
      <c r="J286" s="692"/>
      <c r="K286" s="692"/>
      <c r="L286" s="694"/>
      <c r="M286" s="694"/>
      <c r="N286" s="694"/>
      <c r="O286" s="694"/>
      <c r="P286" s="280"/>
      <c r="Q286" s="280"/>
      <c r="R286" s="280"/>
      <c r="S286" s="694"/>
      <c r="T286" s="694"/>
      <c r="U286" s="694"/>
      <c r="V286" s="1"/>
      <c r="W286" s="1"/>
      <c r="X286" s="1"/>
      <c r="Y286" s="1"/>
      <c r="Z286" s="1"/>
    </row>
    <row r="287" ht="14.25" customHeight="1">
      <c r="A287" s="1"/>
      <c r="B287" s="694"/>
      <c r="C287" s="694"/>
      <c r="D287" s="694"/>
      <c r="E287" s="694"/>
      <c r="F287" s="694"/>
      <c r="G287" s="692"/>
      <c r="H287" s="694"/>
      <c r="I287" s="694"/>
      <c r="J287" s="692"/>
      <c r="K287" s="692"/>
      <c r="L287" s="694"/>
      <c r="M287" s="694"/>
      <c r="N287" s="694"/>
      <c r="O287" s="694"/>
      <c r="P287" s="280"/>
      <c r="Q287" s="280"/>
      <c r="R287" s="280"/>
      <c r="S287" s="694"/>
      <c r="T287" s="694"/>
      <c r="U287" s="694"/>
      <c r="V287" s="1"/>
      <c r="W287" s="1"/>
      <c r="X287" s="1"/>
      <c r="Y287" s="1"/>
      <c r="Z287" s="1"/>
    </row>
    <row r="288" ht="14.25" customHeight="1">
      <c r="A288" s="1"/>
      <c r="B288" s="694"/>
      <c r="C288" s="694"/>
      <c r="D288" s="694"/>
      <c r="E288" s="694"/>
      <c r="F288" s="694"/>
      <c r="G288" s="692"/>
      <c r="H288" s="694"/>
      <c r="I288" s="694"/>
      <c r="J288" s="692"/>
      <c r="K288" s="692"/>
      <c r="L288" s="694"/>
      <c r="M288" s="694"/>
      <c r="N288" s="694"/>
      <c r="O288" s="694"/>
      <c r="P288" s="280"/>
      <c r="Q288" s="280"/>
      <c r="R288" s="280"/>
      <c r="S288" s="694"/>
      <c r="T288" s="694"/>
      <c r="U288" s="694"/>
      <c r="V288" s="1"/>
      <c r="W288" s="1"/>
      <c r="X288" s="1"/>
      <c r="Y288" s="1"/>
      <c r="Z288" s="1"/>
    </row>
    <row r="289" ht="14.25" customHeight="1">
      <c r="A289" s="1"/>
      <c r="B289" s="694"/>
      <c r="C289" s="694"/>
      <c r="D289" s="694"/>
      <c r="E289" s="694"/>
      <c r="F289" s="694"/>
      <c r="G289" s="692"/>
      <c r="H289" s="694"/>
      <c r="I289" s="694"/>
      <c r="J289" s="692"/>
      <c r="K289" s="692"/>
      <c r="L289" s="694"/>
      <c r="M289" s="694"/>
      <c r="N289" s="694"/>
      <c r="O289" s="694"/>
      <c r="P289" s="280"/>
      <c r="Q289" s="280"/>
      <c r="R289" s="280"/>
      <c r="S289" s="694"/>
      <c r="T289" s="694"/>
      <c r="U289" s="694"/>
      <c r="V289" s="1"/>
      <c r="W289" s="1"/>
      <c r="X289" s="1"/>
      <c r="Y289" s="1"/>
      <c r="Z289" s="1"/>
    </row>
    <row r="290" ht="14.25" customHeight="1">
      <c r="A290" s="1"/>
      <c r="B290" s="694"/>
      <c r="C290" s="694"/>
      <c r="D290" s="694"/>
      <c r="E290" s="694"/>
      <c r="F290" s="694"/>
      <c r="G290" s="692"/>
      <c r="H290" s="694"/>
      <c r="I290" s="694"/>
      <c r="J290" s="692"/>
      <c r="K290" s="692"/>
      <c r="L290" s="694"/>
      <c r="M290" s="694"/>
      <c r="N290" s="694"/>
      <c r="O290" s="694"/>
      <c r="P290" s="280"/>
      <c r="Q290" s="280"/>
      <c r="R290" s="280"/>
      <c r="S290" s="694"/>
      <c r="T290" s="694"/>
      <c r="U290" s="694"/>
      <c r="V290" s="1"/>
      <c r="W290" s="1"/>
      <c r="X290" s="1"/>
      <c r="Y290" s="1"/>
      <c r="Z290" s="1"/>
    </row>
    <row r="291" ht="14.25" customHeight="1">
      <c r="A291" s="1"/>
      <c r="B291" s="694"/>
      <c r="C291" s="694"/>
      <c r="D291" s="694"/>
      <c r="E291" s="694"/>
      <c r="F291" s="694"/>
      <c r="G291" s="692"/>
      <c r="H291" s="694"/>
      <c r="I291" s="694"/>
      <c r="J291" s="692"/>
      <c r="K291" s="692"/>
      <c r="L291" s="694"/>
      <c r="M291" s="694"/>
      <c r="N291" s="694"/>
      <c r="O291" s="694"/>
      <c r="P291" s="280"/>
      <c r="Q291" s="280"/>
      <c r="R291" s="280"/>
      <c r="S291" s="694"/>
      <c r="T291" s="694"/>
      <c r="U291" s="694"/>
      <c r="V291" s="1"/>
      <c r="W291" s="1"/>
      <c r="X291" s="1"/>
      <c r="Y291" s="1"/>
      <c r="Z291" s="1"/>
    </row>
    <row r="292" ht="14.25" customHeight="1">
      <c r="A292" s="1"/>
      <c r="B292" s="694"/>
      <c r="C292" s="694"/>
      <c r="D292" s="694"/>
      <c r="E292" s="694"/>
      <c r="F292" s="694"/>
      <c r="G292" s="692"/>
      <c r="H292" s="694"/>
      <c r="I292" s="694"/>
      <c r="J292" s="692"/>
      <c r="K292" s="692"/>
      <c r="L292" s="694"/>
      <c r="M292" s="694"/>
      <c r="N292" s="694"/>
      <c r="O292" s="694"/>
      <c r="P292" s="280"/>
      <c r="Q292" s="280"/>
      <c r="R292" s="280"/>
      <c r="S292" s="694"/>
      <c r="T292" s="694"/>
      <c r="U292" s="694"/>
      <c r="V292" s="1"/>
      <c r="W292" s="1"/>
      <c r="X292" s="1"/>
      <c r="Y292" s="1"/>
      <c r="Z292" s="1"/>
    </row>
    <row r="293" ht="14.25" customHeight="1">
      <c r="A293" s="1"/>
      <c r="B293" s="694"/>
      <c r="C293" s="694"/>
      <c r="D293" s="694"/>
      <c r="E293" s="694"/>
      <c r="F293" s="694"/>
      <c r="G293" s="692"/>
      <c r="H293" s="694"/>
      <c r="I293" s="694"/>
      <c r="J293" s="692"/>
      <c r="K293" s="692"/>
      <c r="L293" s="694"/>
      <c r="M293" s="694"/>
      <c r="N293" s="694"/>
      <c r="O293" s="694"/>
      <c r="P293" s="280"/>
      <c r="Q293" s="280"/>
      <c r="R293" s="280"/>
      <c r="S293" s="694"/>
      <c r="T293" s="694"/>
      <c r="U293" s="694"/>
      <c r="V293" s="1"/>
      <c r="W293" s="1"/>
      <c r="X293" s="1"/>
      <c r="Y293" s="1"/>
      <c r="Z293" s="1"/>
    </row>
    <row r="294" ht="14.25" customHeight="1">
      <c r="A294" s="1"/>
      <c r="B294" s="694"/>
      <c r="C294" s="694"/>
      <c r="D294" s="694"/>
      <c r="E294" s="694"/>
      <c r="F294" s="694"/>
      <c r="G294" s="692"/>
      <c r="H294" s="694"/>
      <c r="I294" s="694"/>
      <c r="J294" s="692"/>
      <c r="K294" s="692"/>
      <c r="L294" s="694"/>
      <c r="M294" s="694"/>
      <c r="N294" s="694"/>
      <c r="O294" s="694"/>
      <c r="P294" s="280"/>
      <c r="Q294" s="280"/>
      <c r="R294" s="280"/>
      <c r="S294" s="694"/>
      <c r="T294" s="694"/>
      <c r="U294" s="694"/>
      <c r="V294" s="1"/>
      <c r="W294" s="1"/>
      <c r="X294" s="1"/>
      <c r="Y294" s="1"/>
      <c r="Z294" s="1"/>
    </row>
    <row r="295" ht="14.25" customHeight="1">
      <c r="A295" s="1"/>
      <c r="B295" s="694"/>
      <c r="C295" s="694"/>
      <c r="D295" s="694"/>
      <c r="E295" s="694"/>
      <c r="F295" s="694"/>
      <c r="G295" s="692"/>
      <c r="H295" s="694"/>
      <c r="I295" s="694"/>
      <c r="J295" s="692"/>
      <c r="K295" s="692"/>
      <c r="L295" s="694"/>
      <c r="M295" s="694"/>
      <c r="N295" s="694"/>
      <c r="O295" s="694"/>
      <c r="P295" s="280"/>
      <c r="Q295" s="280"/>
      <c r="R295" s="280"/>
      <c r="S295" s="694"/>
      <c r="T295" s="694"/>
      <c r="U295" s="694"/>
      <c r="V295" s="1"/>
      <c r="W295" s="1"/>
      <c r="X295" s="1"/>
      <c r="Y295" s="1"/>
      <c r="Z295" s="1"/>
    </row>
    <row r="296" ht="14.25" customHeight="1">
      <c r="A296" s="1"/>
      <c r="B296" s="694"/>
      <c r="C296" s="694"/>
      <c r="D296" s="694"/>
      <c r="E296" s="694"/>
      <c r="F296" s="694"/>
      <c r="G296" s="692"/>
      <c r="H296" s="694"/>
      <c r="I296" s="694"/>
      <c r="J296" s="692"/>
      <c r="K296" s="692"/>
      <c r="L296" s="694"/>
      <c r="M296" s="694"/>
      <c r="N296" s="694"/>
      <c r="O296" s="694"/>
      <c r="P296" s="280"/>
      <c r="Q296" s="280"/>
      <c r="R296" s="280"/>
      <c r="S296" s="694"/>
      <c r="T296" s="694"/>
      <c r="U296" s="694"/>
      <c r="V296" s="1"/>
      <c r="W296" s="1"/>
      <c r="X296" s="1"/>
      <c r="Y296" s="1"/>
      <c r="Z296" s="1"/>
    </row>
    <row r="297" ht="14.25" customHeight="1">
      <c r="A297" s="1"/>
      <c r="B297" s="694"/>
      <c r="C297" s="694"/>
      <c r="D297" s="694"/>
      <c r="E297" s="694"/>
      <c r="F297" s="694"/>
      <c r="G297" s="692"/>
      <c r="H297" s="694"/>
      <c r="I297" s="694"/>
      <c r="J297" s="692"/>
      <c r="K297" s="692"/>
      <c r="L297" s="694"/>
      <c r="M297" s="694"/>
      <c r="N297" s="694"/>
      <c r="O297" s="694"/>
      <c r="P297" s="280"/>
      <c r="Q297" s="280"/>
      <c r="R297" s="280"/>
      <c r="S297" s="694"/>
      <c r="T297" s="694"/>
      <c r="U297" s="694"/>
      <c r="V297" s="1"/>
      <c r="W297" s="1"/>
      <c r="X297" s="1"/>
      <c r="Y297" s="1"/>
      <c r="Z297" s="1"/>
    </row>
    <row r="298" ht="14.25" customHeight="1">
      <c r="A298" s="1"/>
      <c r="B298" s="694"/>
      <c r="C298" s="694"/>
      <c r="D298" s="694"/>
      <c r="E298" s="694"/>
      <c r="F298" s="694"/>
      <c r="G298" s="692"/>
      <c r="H298" s="694"/>
      <c r="I298" s="694"/>
      <c r="J298" s="692"/>
      <c r="K298" s="692"/>
      <c r="L298" s="694"/>
      <c r="M298" s="694"/>
      <c r="N298" s="694"/>
      <c r="O298" s="694"/>
      <c r="P298" s="280"/>
      <c r="Q298" s="280"/>
      <c r="R298" s="280"/>
      <c r="S298" s="694"/>
      <c r="T298" s="694"/>
      <c r="U298" s="694"/>
      <c r="V298" s="1"/>
      <c r="W298" s="1"/>
      <c r="X298" s="1"/>
      <c r="Y298" s="1"/>
      <c r="Z298" s="1"/>
    </row>
    <row r="299" ht="14.25" customHeight="1">
      <c r="A299" s="1"/>
      <c r="B299" s="694"/>
      <c r="C299" s="694"/>
      <c r="D299" s="694"/>
      <c r="E299" s="694"/>
      <c r="F299" s="694"/>
      <c r="G299" s="692"/>
      <c r="H299" s="694"/>
      <c r="I299" s="694"/>
      <c r="J299" s="692"/>
      <c r="K299" s="692"/>
      <c r="L299" s="694"/>
      <c r="M299" s="694"/>
      <c r="N299" s="694"/>
      <c r="O299" s="694"/>
      <c r="P299" s="280"/>
      <c r="Q299" s="280"/>
      <c r="R299" s="280"/>
      <c r="S299" s="694"/>
      <c r="T299" s="694"/>
      <c r="U299" s="694"/>
      <c r="V299" s="1"/>
      <c r="W299" s="1"/>
      <c r="X299" s="1"/>
      <c r="Y299" s="1"/>
      <c r="Z299" s="1"/>
    </row>
    <row r="300" ht="14.25" customHeight="1">
      <c r="A300" s="1"/>
      <c r="B300" s="694"/>
      <c r="C300" s="694"/>
      <c r="D300" s="694"/>
      <c r="E300" s="694"/>
      <c r="F300" s="694"/>
      <c r="G300" s="692"/>
      <c r="H300" s="694"/>
      <c r="I300" s="694"/>
      <c r="J300" s="692"/>
      <c r="K300" s="692"/>
      <c r="L300" s="694"/>
      <c r="M300" s="694"/>
      <c r="N300" s="694"/>
      <c r="O300" s="694"/>
      <c r="P300" s="280"/>
      <c r="Q300" s="280"/>
      <c r="R300" s="280"/>
      <c r="S300" s="694"/>
      <c r="T300" s="694"/>
      <c r="U300" s="694"/>
      <c r="V300" s="1"/>
      <c r="W300" s="1"/>
      <c r="X300" s="1"/>
      <c r="Y300" s="1"/>
      <c r="Z300" s="1"/>
    </row>
    <row r="301" ht="14.25" customHeight="1">
      <c r="A301" s="1"/>
      <c r="B301" s="694"/>
      <c r="C301" s="694"/>
      <c r="D301" s="694"/>
      <c r="E301" s="694"/>
      <c r="F301" s="694"/>
      <c r="G301" s="692"/>
      <c r="H301" s="694"/>
      <c r="I301" s="694"/>
      <c r="J301" s="692"/>
      <c r="K301" s="692"/>
      <c r="L301" s="694"/>
      <c r="M301" s="694"/>
      <c r="N301" s="694"/>
      <c r="O301" s="694"/>
      <c r="P301" s="280"/>
      <c r="Q301" s="280"/>
      <c r="R301" s="280"/>
      <c r="S301" s="694"/>
      <c r="T301" s="694"/>
      <c r="U301" s="694"/>
      <c r="V301" s="1"/>
      <c r="W301" s="1"/>
      <c r="X301" s="1"/>
      <c r="Y301" s="1"/>
      <c r="Z301" s="1"/>
    </row>
    <row r="302" ht="14.25" customHeight="1">
      <c r="A302" s="1"/>
      <c r="B302" s="694"/>
      <c r="C302" s="694"/>
      <c r="D302" s="694"/>
      <c r="E302" s="694"/>
      <c r="F302" s="694"/>
      <c r="G302" s="692"/>
      <c r="H302" s="694"/>
      <c r="I302" s="694"/>
      <c r="J302" s="692"/>
      <c r="K302" s="692"/>
      <c r="L302" s="694"/>
      <c r="M302" s="694"/>
      <c r="N302" s="694"/>
      <c r="O302" s="694"/>
      <c r="P302" s="280"/>
      <c r="Q302" s="280"/>
      <c r="R302" s="280"/>
      <c r="S302" s="694"/>
      <c r="T302" s="694"/>
      <c r="U302" s="694"/>
      <c r="V302" s="1"/>
      <c r="W302" s="1"/>
      <c r="X302" s="1"/>
      <c r="Y302" s="1"/>
      <c r="Z302" s="1"/>
    </row>
    <row r="303" ht="14.25" customHeight="1">
      <c r="A303" s="1"/>
      <c r="B303" s="694"/>
      <c r="C303" s="694"/>
      <c r="D303" s="694"/>
      <c r="E303" s="694"/>
      <c r="F303" s="694"/>
      <c r="G303" s="692"/>
      <c r="H303" s="694"/>
      <c r="I303" s="694"/>
      <c r="J303" s="692"/>
      <c r="K303" s="692"/>
      <c r="L303" s="694"/>
      <c r="M303" s="694"/>
      <c r="N303" s="694"/>
      <c r="O303" s="694"/>
      <c r="P303" s="280"/>
      <c r="Q303" s="280"/>
      <c r="R303" s="280"/>
      <c r="S303" s="694"/>
      <c r="T303" s="694"/>
      <c r="U303" s="694"/>
      <c r="V303" s="1"/>
      <c r="W303" s="1"/>
      <c r="X303" s="1"/>
      <c r="Y303" s="1"/>
      <c r="Z303" s="1"/>
    </row>
    <row r="304" ht="14.25" customHeight="1">
      <c r="A304" s="1"/>
      <c r="B304" s="694"/>
      <c r="C304" s="694"/>
      <c r="D304" s="694"/>
      <c r="E304" s="694"/>
      <c r="F304" s="694"/>
      <c r="G304" s="692"/>
      <c r="H304" s="694"/>
      <c r="I304" s="694"/>
      <c r="J304" s="692"/>
      <c r="K304" s="692"/>
      <c r="L304" s="694"/>
      <c r="M304" s="694"/>
      <c r="N304" s="694"/>
      <c r="O304" s="694"/>
      <c r="P304" s="280"/>
      <c r="Q304" s="280"/>
      <c r="R304" s="280"/>
      <c r="S304" s="694"/>
      <c r="T304" s="694"/>
      <c r="U304" s="694"/>
      <c r="V304" s="1"/>
      <c r="W304" s="1"/>
      <c r="X304" s="1"/>
      <c r="Y304" s="1"/>
      <c r="Z304" s="1"/>
    </row>
    <row r="305" ht="14.25" customHeight="1">
      <c r="A305" s="1"/>
      <c r="B305" s="694"/>
      <c r="C305" s="694"/>
      <c r="D305" s="694"/>
      <c r="E305" s="694"/>
      <c r="F305" s="694"/>
      <c r="G305" s="692"/>
      <c r="H305" s="694"/>
      <c r="I305" s="694"/>
      <c r="J305" s="692"/>
      <c r="K305" s="692"/>
      <c r="L305" s="694"/>
      <c r="M305" s="694"/>
      <c r="N305" s="694"/>
      <c r="O305" s="694"/>
      <c r="P305" s="280"/>
      <c r="Q305" s="280"/>
      <c r="R305" s="280"/>
      <c r="S305" s="694"/>
      <c r="T305" s="694"/>
      <c r="U305" s="694"/>
      <c r="V305" s="1"/>
      <c r="W305" s="1"/>
      <c r="X305" s="1"/>
      <c r="Y305" s="1"/>
      <c r="Z305" s="1"/>
    </row>
    <row r="306" ht="14.25" customHeight="1">
      <c r="A306" s="1"/>
      <c r="B306" s="694"/>
      <c r="C306" s="694"/>
      <c r="D306" s="694"/>
      <c r="E306" s="694"/>
      <c r="F306" s="694"/>
      <c r="G306" s="692"/>
      <c r="H306" s="694"/>
      <c r="I306" s="694"/>
      <c r="J306" s="692"/>
      <c r="K306" s="692"/>
      <c r="L306" s="694"/>
      <c r="M306" s="694"/>
      <c r="N306" s="694"/>
      <c r="O306" s="694"/>
      <c r="P306" s="280"/>
      <c r="Q306" s="280"/>
      <c r="R306" s="280"/>
      <c r="S306" s="694"/>
      <c r="T306" s="694"/>
      <c r="U306" s="694"/>
      <c r="V306" s="1"/>
      <c r="W306" s="1"/>
      <c r="X306" s="1"/>
      <c r="Y306" s="1"/>
      <c r="Z306" s="1"/>
    </row>
    <row r="307" ht="14.25" customHeight="1">
      <c r="A307" s="1"/>
      <c r="B307" s="694"/>
      <c r="C307" s="694"/>
      <c r="D307" s="694"/>
      <c r="E307" s="694"/>
      <c r="F307" s="694"/>
      <c r="G307" s="692"/>
      <c r="H307" s="694"/>
      <c r="I307" s="694"/>
      <c r="J307" s="692"/>
      <c r="K307" s="692"/>
      <c r="L307" s="694"/>
      <c r="M307" s="694"/>
      <c r="N307" s="694"/>
      <c r="O307" s="694"/>
      <c r="P307" s="280"/>
      <c r="Q307" s="280"/>
      <c r="R307" s="280"/>
      <c r="S307" s="694"/>
      <c r="T307" s="694"/>
      <c r="U307" s="694"/>
      <c r="V307" s="1"/>
      <c r="W307" s="1"/>
      <c r="X307" s="1"/>
      <c r="Y307" s="1"/>
      <c r="Z307" s="1"/>
    </row>
    <row r="308" ht="14.25" customHeight="1">
      <c r="A308" s="1"/>
      <c r="B308" s="694"/>
      <c r="C308" s="694"/>
      <c r="D308" s="694"/>
      <c r="E308" s="694"/>
      <c r="F308" s="694"/>
      <c r="G308" s="692"/>
      <c r="H308" s="694"/>
      <c r="I308" s="694"/>
      <c r="J308" s="692"/>
      <c r="K308" s="692"/>
      <c r="L308" s="694"/>
      <c r="M308" s="694"/>
      <c r="N308" s="694"/>
      <c r="O308" s="694"/>
      <c r="P308" s="280"/>
      <c r="Q308" s="280"/>
      <c r="R308" s="280"/>
      <c r="S308" s="694"/>
      <c r="T308" s="694"/>
      <c r="U308" s="694"/>
      <c r="V308" s="1"/>
      <c r="W308" s="1"/>
      <c r="X308" s="1"/>
      <c r="Y308" s="1"/>
      <c r="Z308" s="1"/>
    </row>
    <row r="309" ht="14.25" customHeight="1">
      <c r="A309" s="1"/>
      <c r="B309" s="694"/>
      <c r="C309" s="694"/>
      <c r="D309" s="694"/>
      <c r="E309" s="694"/>
      <c r="F309" s="694"/>
      <c r="G309" s="692"/>
      <c r="H309" s="694"/>
      <c r="I309" s="694"/>
      <c r="J309" s="692"/>
      <c r="K309" s="692"/>
      <c r="L309" s="694"/>
      <c r="M309" s="694"/>
      <c r="N309" s="694"/>
      <c r="O309" s="694"/>
      <c r="P309" s="280"/>
      <c r="Q309" s="280"/>
      <c r="R309" s="280"/>
      <c r="S309" s="694"/>
      <c r="T309" s="694"/>
      <c r="U309" s="694"/>
      <c r="V309" s="1"/>
      <c r="W309" s="1"/>
      <c r="X309" s="1"/>
      <c r="Y309" s="1"/>
      <c r="Z309" s="1"/>
    </row>
    <row r="310" ht="14.25" customHeight="1">
      <c r="A310" s="1"/>
      <c r="B310" s="694"/>
      <c r="C310" s="694"/>
      <c r="D310" s="694"/>
      <c r="E310" s="694"/>
      <c r="F310" s="694"/>
      <c r="G310" s="692"/>
      <c r="H310" s="694"/>
      <c r="I310" s="694"/>
      <c r="J310" s="692"/>
      <c r="K310" s="692"/>
      <c r="L310" s="694"/>
      <c r="M310" s="694"/>
      <c r="N310" s="694"/>
      <c r="O310" s="694"/>
      <c r="P310" s="280"/>
      <c r="Q310" s="280"/>
      <c r="R310" s="280"/>
      <c r="S310" s="694"/>
      <c r="T310" s="694"/>
      <c r="U310" s="694"/>
      <c r="V310" s="1"/>
      <c r="W310" s="1"/>
      <c r="X310" s="1"/>
      <c r="Y310" s="1"/>
      <c r="Z310" s="1"/>
    </row>
    <row r="311" ht="14.25" customHeight="1">
      <c r="A311" s="1"/>
      <c r="B311" s="694"/>
      <c r="C311" s="694"/>
      <c r="D311" s="694"/>
      <c r="E311" s="694"/>
      <c r="F311" s="694"/>
      <c r="G311" s="692"/>
      <c r="H311" s="694"/>
      <c r="I311" s="694"/>
      <c r="J311" s="692"/>
      <c r="K311" s="692"/>
      <c r="L311" s="694"/>
      <c r="M311" s="694"/>
      <c r="N311" s="694"/>
      <c r="O311" s="694"/>
      <c r="P311" s="280"/>
      <c r="Q311" s="280"/>
      <c r="R311" s="280"/>
      <c r="S311" s="694"/>
      <c r="T311" s="694"/>
      <c r="U311" s="694"/>
      <c r="V311" s="1"/>
      <c r="W311" s="1"/>
      <c r="X311" s="1"/>
      <c r="Y311" s="1"/>
      <c r="Z311" s="1"/>
    </row>
    <row r="312" ht="14.25" customHeight="1">
      <c r="A312" s="1"/>
      <c r="B312" s="694"/>
      <c r="C312" s="694"/>
      <c r="D312" s="694"/>
      <c r="E312" s="694"/>
      <c r="F312" s="694"/>
      <c r="G312" s="692"/>
      <c r="H312" s="694"/>
      <c r="I312" s="694"/>
      <c r="J312" s="692"/>
      <c r="K312" s="692"/>
      <c r="L312" s="694"/>
      <c r="M312" s="694"/>
      <c r="N312" s="694"/>
      <c r="O312" s="694"/>
      <c r="P312" s="280"/>
      <c r="Q312" s="280"/>
      <c r="R312" s="280"/>
      <c r="S312" s="694"/>
      <c r="T312" s="694"/>
      <c r="U312" s="694"/>
      <c r="V312" s="1"/>
      <c r="W312" s="1"/>
      <c r="X312" s="1"/>
      <c r="Y312" s="1"/>
      <c r="Z312" s="1"/>
    </row>
    <row r="313" ht="14.25" customHeight="1">
      <c r="A313" s="1"/>
      <c r="B313" s="694"/>
      <c r="C313" s="694"/>
      <c r="D313" s="694"/>
      <c r="E313" s="694"/>
      <c r="F313" s="694"/>
      <c r="G313" s="692"/>
      <c r="H313" s="694"/>
      <c r="I313" s="694"/>
      <c r="J313" s="692"/>
      <c r="K313" s="692"/>
      <c r="L313" s="694"/>
      <c r="M313" s="694"/>
      <c r="N313" s="694"/>
      <c r="O313" s="694"/>
      <c r="P313" s="280"/>
      <c r="Q313" s="280"/>
      <c r="R313" s="280"/>
      <c r="S313" s="694"/>
      <c r="T313" s="694"/>
      <c r="U313" s="694"/>
      <c r="V313" s="1"/>
      <c r="W313" s="1"/>
      <c r="X313" s="1"/>
      <c r="Y313" s="1"/>
      <c r="Z313" s="1"/>
    </row>
    <row r="314" ht="14.25" customHeight="1">
      <c r="A314" s="1"/>
      <c r="B314" s="694"/>
      <c r="C314" s="694"/>
      <c r="D314" s="694"/>
      <c r="E314" s="694"/>
      <c r="F314" s="694"/>
      <c r="G314" s="692"/>
      <c r="H314" s="694"/>
      <c r="I314" s="694"/>
      <c r="J314" s="692"/>
      <c r="K314" s="692"/>
      <c r="L314" s="694"/>
      <c r="M314" s="694"/>
      <c r="N314" s="694"/>
      <c r="O314" s="694"/>
      <c r="P314" s="280"/>
      <c r="Q314" s="280"/>
      <c r="R314" s="280"/>
      <c r="S314" s="694"/>
      <c r="T314" s="694"/>
      <c r="U314" s="694"/>
      <c r="V314" s="1"/>
      <c r="W314" s="1"/>
      <c r="X314" s="1"/>
      <c r="Y314" s="1"/>
      <c r="Z314" s="1"/>
    </row>
    <row r="315" ht="14.25" customHeight="1">
      <c r="A315" s="1"/>
      <c r="B315" s="694"/>
      <c r="C315" s="694"/>
      <c r="D315" s="694"/>
      <c r="E315" s="694"/>
      <c r="F315" s="694"/>
      <c r="G315" s="692"/>
      <c r="H315" s="694"/>
      <c r="I315" s="694"/>
      <c r="J315" s="692"/>
      <c r="K315" s="692"/>
      <c r="L315" s="694"/>
      <c r="M315" s="694"/>
      <c r="N315" s="694"/>
      <c r="O315" s="694"/>
      <c r="P315" s="280"/>
      <c r="Q315" s="280"/>
      <c r="R315" s="280"/>
      <c r="S315" s="694"/>
      <c r="T315" s="694"/>
      <c r="U315" s="694"/>
      <c r="V315" s="1"/>
      <c r="W315" s="1"/>
      <c r="X315" s="1"/>
      <c r="Y315" s="1"/>
      <c r="Z315" s="1"/>
    </row>
    <row r="316" ht="14.25" customHeight="1">
      <c r="A316" s="1"/>
      <c r="B316" s="694"/>
      <c r="C316" s="694"/>
      <c r="D316" s="694"/>
      <c r="E316" s="694"/>
      <c r="F316" s="694"/>
      <c r="G316" s="692"/>
      <c r="H316" s="694"/>
      <c r="I316" s="694"/>
      <c r="J316" s="692"/>
      <c r="K316" s="692"/>
      <c r="L316" s="694"/>
      <c r="M316" s="694"/>
      <c r="N316" s="694"/>
      <c r="O316" s="694"/>
      <c r="P316" s="280"/>
      <c r="Q316" s="280"/>
      <c r="R316" s="280"/>
      <c r="S316" s="694"/>
      <c r="T316" s="694"/>
      <c r="U316" s="694"/>
      <c r="V316" s="1"/>
      <c r="W316" s="1"/>
      <c r="X316" s="1"/>
      <c r="Y316" s="1"/>
      <c r="Z316" s="1"/>
    </row>
    <row r="317" ht="14.25" customHeight="1">
      <c r="A317" s="1"/>
      <c r="B317" s="694"/>
      <c r="C317" s="694"/>
      <c r="D317" s="694"/>
      <c r="E317" s="694"/>
      <c r="F317" s="694"/>
      <c r="G317" s="692"/>
      <c r="H317" s="694"/>
      <c r="I317" s="694"/>
      <c r="J317" s="692"/>
      <c r="K317" s="692"/>
      <c r="L317" s="694"/>
      <c r="M317" s="694"/>
      <c r="N317" s="694"/>
      <c r="O317" s="694"/>
      <c r="P317" s="280"/>
      <c r="Q317" s="280"/>
      <c r="R317" s="280"/>
      <c r="S317" s="694"/>
      <c r="T317" s="694"/>
      <c r="U317" s="694"/>
      <c r="V317" s="1"/>
      <c r="W317" s="1"/>
      <c r="X317" s="1"/>
      <c r="Y317" s="1"/>
      <c r="Z317" s="1"/>
    </row>
    <row r="318" ht="14.25" customHeight="1">
      <c r="A318" s="1"/>
      <c r="B318" s="694"/>
      <c r="C318" s="694"/>
      <c r="D318" s="694"/>
      <c r="E318" s="694"/>
      <c r="F318" s="694"/>
      <c r="G318" s="692"/>
      <c r="H318" s="694"/>
      <c r="I318" s="694"/>
      <c r="J318" s="692"/>
      <c r="K318" s="692"/>
      <c r="L318" s="694"/>
      <c r="M318" s="694"/>
      <c r="N318" s="694"/>
      <c r="O318" s="694"/>
      <c r="P318" s="280"/>
      <c r="Q318" s="280"/>
      <c r="R318" s="280"/>
      <c r="S318" s="694"/>
      <c r="T318" s="694"/>
      <c r="U318" s="694"/>
      <c r="V318" s="1"/>
      <c r="W318" s="1"/>
      <c r="X318" s="1"/>
      <c r="Y318" s="1"/>
      <c r="Z318" s="1"/>
    </row>
    <row r="319" ht="14.25" customHeight="1">
      <c r="A319" s="1"/>
      <c r="B319" s="694"/>
      <c r="C319" s="694"/>
      <c r="D319" s="694"/>
      <c r="E319" s="694"/>
      <c r="F319" s="694"/>
      <c r="G319" s="692"/>
      <c r="H319" s="694"/>
      <c r="I319" s="694"/>
      <c r="J319" s="692"/>
      <c r="K319" s="692"/>
      <c r="L319" s="694"/>
      <c r="M319" s="694"/>
      <c r="N319" s="694"/>
      <c r="O319" s="694"/>
      <c r="P319" s="280"/>
      <c r="Q319" s="280"/>
      <c r="R319" s="280"/>
      <c r="S319" s="694"/>
      <c r="T319" s="694"/>
      <c r="U319" s="694"/>
      <c r="V319" s="1"/>
      <c r="W319" s="1"/>
      <c r="X319" s="1"/>
      <c r="Y319" s="1"/>
      <c r="Z319" s="1"/>
    </row>
    <row r="320" ht="14.25" customHeight="1">
      <c r="A320" s="1"/>
      <c r="B320" s="694"/>
      <c r="C320" s="694"/>
      <c r="D320" s="694"/>
      <c r="E320" s="694"/>
      <c r="F320" s="694"/>
      <c r="G320" s="692"/>
      <c r="H320" s="694"/>
      <c r="I320" s="694"/>
      <c r="J320" s="692"/>
      <c r="K320" s="692"/>
      <c r="L320" s="694"/>
      <c r="M320" s="694"/>
      <c r="N320" s="694"/>
      <c r="O320" s="694"/>
      <c r="P320" s="280"/>
      <c r="Q320" s="280"/>
      <c r="R320" s="280"/>
      <c r="S320" s="694"/>
      <c r="T320" s="694"/>
      <c r="U320" s="694"/>
      <c r="V320" s="1"/>
      <c r="W320" s="1"/>
      <c r="X320" s="1"/>
      <c r="Y320" s="1"/>
      <c r="Z320" s="1"/>
    </row>
    <row r="321" ht="14.25" customHeight="1">
      <c r="A321" s="1"/>
      <c r="B321" s="694"/>
      <c r="C321" s="694"/>
      <c r="D321" s="694"/>
      <c r="E321" s="694"/>
      <c r="F321" s="694"/>
      <c r="G321" s="692"/>
      <c r="H321" s="694"/>
      <c r="I321" s="694"/>
      <c r="J321" s="692"/>
      <c r="K321" s="692"/>
      <c r="L321" s="694"/>
      <c r="M321" s="694"/>
      <c r="N321" s="694"/>
      <c r="O321" s="694"/>
      <c r="P321" s="280"/>
      <c r="Q321" s="280"/>
      <c r="R321" s="280"/>
      <c r="S321" s="694"/>
      <c r="T321" s="694"/>
      <c r="U321" s="694"/>
      <c r="V321" s="1"/>
      <c r="W321" s="1"/>
      <c r="X321" s="1"/>
      <c r="Y321" s="1"/>
      <c r="Z321" s="1"/>
    </row>
    <row r="322" ht="14.25" customHeight="1">
      <c r="A322" s="1"/>
      <c r="B322" s="694"/>
      <c r="C322" s="694"/>
      <c r="D322" s="694"/>
      <c r="E322" s="694"/>
      <c r="F322" s="694"/>
      <c r="G322" s="692"/>
      <c r="H322" s="694"/>
      <c r="I322" s="694"/>
      <c r="J322" s="692"/>
      <c r="K322" s="692"/>
      <c r="L322" s="694"/>
      <c r="M322" s="694"/>
      <c r="N322" s="694"/>
      <c r="O322" s="694"/>
      <c r="P322" s="280"/>
      <c r="Q322" s="280"/>
      <c r="R322" s="280"/>
      <c r="S322" s="694"/>
      <c r="T322" s="694"/>
      <c r="U322" s="694"/>
      <c r="V322" s="1"/>
      <c r="W322" s="1"/>
      <c r="X322" s="1"/>
      <c r="Y322" s="1"/>
      <c r="Z322" s="1"/>
    </row>
    <row r="323" ht="14.25" customHeight="1">
      <c r="A323" s="1"/>
      <c r="B323" s="694"/>
      <c r="C323" s="694"/>
      <c r="D323" s="694"/>
      <c r="E323" s="694"/>
      <c r="F323" s="694"/>
      <c r="G323" s="692"/>
      <c r="H323" s="694"/>
      <c r="I323" s="694"/>
      <c r="J323" s="692"/>
      <c r="K323" s="692"/>
      <c r="L323" s="694"/>
      <c r="M323" s="694"/>
      <c r="N323" s="694"/>
      <c r="O323" s="694"/>
      <c r="P323" s="280"/>
      <c r="Q323" s="280"/>
      <c r="R323" s="280"/>
      <c r="S323" s="694"/>
      <c r="T323" s="694"/>
      <c r="U323" s="694"/>
      <c r="V323" s="1"/>
      <c r="W323" s="1"/>
      <c r="X323" s="1"/>
      <c r="Y323" s="1"/>
      <c r="Z323" s="1"/>
    </row>
    <row r="324" ht="14.25" customHeight="1">
      <c r="A324" s="1"/>
      <c r="B324" s="694"/>
      <c r="C324" s="694"/>
      <c r="D324" s="694"/>
      <c r="E324" s="694"/>
      <c r="F324" s="694"/>
      <c r="G324" s="692"/>
      <c r="H324" s="694"/>
      <c r="I324" s="694"/>
      <c r="J324" s="692"/>
      <c r="K324" s="692"/>
      <c r="L324" s="694"/>
      <c r="M324" s="694"/>
      <c r="N324" s="694"/>
      <c r="O324" s="694"/>
      <c r="P324" s="280"/>
      <c r="Q324" s="280"/>
      <c r="R324" s="280"/>
      <c r="S324" s="694"/>
      <c r="T324" s="694"/>
      <c r="U324" s="694"/>
      <c r="V324" s="1"/>
      <c r="W324" s="1"/>
      <c r="X324" s="1"/>
      <c r="Y324" s="1"/>
      <c r="Z324" s="1"/>
    </row>
    <row r="325" ht="14.25" customHeight="1">
      <c r="A325" s="1"/>
      <c r="B325" s="694"/>
      <c r="C325" s="694"/>
      <c r="D325" s="694"/>
      <c r="E325" s="694"/>
      <c r="F325" s="694"/>
      <c r="G325" s="692"/>
      <c r="H325" s="694"/>
      <c r="I325" s="694"/>
      <c r="J325" s="692"/>
      <c r="K325" s="692"/>
      <c r="L325" s="694"/>
      <c r="M325" s="694"/>
      <c r="N325" s="694"/>
      <c r="O325" s="694"/>
      <c r="P325" s="280"/>
      <c r="Q325" s="280"/>
      <c r="R325" s="280"/>
      <c r="S325" s="694"/>
      <c r="T325" s="694"/>
      <c r="U325" s="694"/>
      <c r="V325" s="1"/>
      <c r="W325" s="1"/>
      <c r="X325" s="1"/>
      <c r="Y325" s="1"/>
      <c r="Z325" s="1"/>
    </row>
    <row r="326" ht="14.25" customHeight="1">
      <c r="A326" s="1"/>
      <c r="B326" s="694"/>
      <c r="C326" s="694"/>
      <c r="D326" s="694"/>
      <c r="E326" s="694"/>
      <c r="F326" s="694"/>
      <c r="G326" s="692"/>
      <c r="H326" s="694"/>
      <c r="I326" s="694"/>
      <c r="J326" s="692"/>
      <c r="K326" s="692"/>
      <c r="L326" s="694"/>
      <c r="M326" s="694"/>
      <c r="N326" s="694"/>
      <c r="O326" s="694"/>
      <c r="P326" s="280"/>
      <c r="Q326" s="280"/>
      <c r="R326" s="280"/>
      <c r="S326" s="694"/>
      <c r="T326" s="694"/>
      <c r="U326" s="694"/>
      <c r="V326" s="1"/>
      <c r="W326" s="1"/>
      <c r="X326" s="1"/>
      <c r="Y326" s="1"/>
      <c r="Z326" s="1"/>
    </row>
    <row r="327" ht="14.25" customHeight="1">
      <c r="A327" s="1"/>
      <c r="B327" s="694"/>
      <c r="C327" s="694"/>
      <c r="D327" s="694"/>
      <c r="E327" s="694"/>
      <c r="F327" s="694"/>
      <c r="G327" s="692"/>
      <c r="H327" s="694"/>
      <c r="I327" s="694"/>
      <c r="J327" s="692"/>
      <c r="K327" s="692"/>
      <c r="L327" s="694"/>
      <c r="M327" s="694"/>
      <c r="N327" s="694"/>
      <c r="O327" s="694"/>
      <c r="P327" s="280"/>
      <c r="Q327" s="280"/>
      <c r="R327" s="280"/>
      <c r="S327" s="694"/>
      <c r="T327" s="694"/>
      <c r="U327" s="694"/>
      <c r="V327" s="1"/>
      <c r="W327" s="1"/>
      <c r="X327" s="1"/>
      <c r="Y327" s="1"/>
      <c r="Z327" s="1"/>
    </row>
    <row r="328" ht="14.25" customHeight="1">
      <c r="A328" s="1"/>
      <c r="B328" s="694"/>
      <c r="C328" s="694"/>
      <c r="D328" s="694"/>
      <c r="E328" s="694"/>
      <c r="F328" s="694"/>
      <c r="G328" s="692"/>
      <c r="H328" s="694"/>
      <c r="I328" s="694"/>
      <c r="J328" s="692"/>
      <c r="K328" s="692"/>
      <c r="L328" s="694"/>
      <c r="M328" s="694"/>
      <c r="N328" s="694"/>
      <c r="O328" s="694"/>
      <c r="P328" s="280"/>
      <c r="Q328" s="280"/>
      <c r="R328" s="280"/>
      <c r="S328" s="694"/>
      <c r="T328" s="694"/>
      <c r="U328" s="694"/>
      <c r="V328" s="1"/>
      <c r="W328" s="1"/>
      <c r="X328" s="1"/>
      <c r="Y328" s="1"/>
      <c r="Z328" s="1"/>
    </row>
    <row r="329" ht="14.25" customHeight="1">
      <c r="A329" s="1"/>
      <c r="B329" s="694"/>
      <c r="C329" s="694"/>
      <c r="D329" s="694"/>
      <c r="E329" s="694"/>
      <c r="F329" s="694"/>
      <c r="G329" s="692"/>
      <c r="H329" s="694"/>
      <c r="I329" s="694"/>
      <c r="J329" s="692"/>
      <c r="K329" s="692"/>
      <c r="L329" s="694"/>
      <c r="M329" s="694"/>
      <c r="N329" s="694"/>
      <c r="O329" s="694"/>
      <c r="P329" s="280"/>
      <c r="Q329" s="280"/>
      <c r="R329" s="280"/>
      <c r="S329" s="694"/>
      <c r="T329" s="694"/>
      <c r="U329" s="694"/>
      <c r="V329" s="1"/>
      <c r="W329" s="1"/>
      <c r="X329" s="1"/>
      <c r="Y329" s="1"/>
      <c r="Z329" s="1"/>
    </row>
    <row r="330" ht="14.25" customHeight="1">
      <c r="A330" s="1"/>
      <c r="B330" s="694"/>
      <c r="C330" s="694"/>
      <c r="D330" s="694"/>
      <c r="E330" s="694"/>
      <c r="F330" s="694"/>
      <c r="G330" s="692"/>
      <c r="H330" s="694"/>
      <c r="I330" s="694"/>
      <c r="J330" s="692"/>
      <c r="K330" s="692"/>
      <c r="L330" s="694"/>
      <c r="M330" s="694"/>
      <c r="N330" s="694"/>
      <c r="O330" s="694"/>
      <c r="P330" s="280"/>
      <c r="Q330" s="280"/>
      <c r="R330" s="280"/>
      <c r="S330" s="694"/>
      <c r="T330" s="694"/>
      <c r="U330" s="694"/>
      <c r="V330" s="1"/>
      <c r="W330" s="1"/>
      <c r="X330" s="1"/>
      <c r="Y330" s="1"/>
      <c r="Z330" s="1"/>
    </row>
    <row r="331" ht="14.25" customHeight="1">
      <c r="A331" s="1"/>
      <c r="B331" s="694"/>
      <c r="C331" s="694"/>
      <c r="D331" s="694"/>
      <c r="E331" s="694"/>
      <c r="F331" s="694"/>
      <c r="G331" s="692"/>
      <c r="H331" s="694"/>
      <c r="I331" s="694"/>
      <c r="J331" s="692"/>
      <c r="K331" s="692"/>
      <c r="L331" s="694"/>
      <c r="M331" s="694"/>
      <c r="N331" s="694"/>
      <c r="O331" s="694"/>
      <c r="P331" s="280"/>
      <c r="Q331" s="280"/>
      <c r="R331" s="280"/>
      <c r="S331" s="694"/>
      <c r="T331" s="694"/>
      <c r="U331" s="694"/>
      <c r="V331" s="1"/>
      <c r="W331" s="1"/>
      <c r="X331" s="1"/>
      <c r="Y331" s="1"/>
      <c r="Z331" s="1"/>
    </row>
    <row r="332" ht="14.25" customHeight="1">
      <c r="A332" s="1"/>
      <c r="B332" s="694"/>
      <c r="C332" s="694"/>
      <c r="D332" s="694"/>
      <c r="E332" s="694"/>
      <c r="F332" s="694"/>
      <c r="G332" s="692"/>
      <c r="H332" s="694"/>
      <c r="I332" s="694"/>
      <c r="J332" s="692"/>
      <c r="K332" s="692"/>
      <c r="L332" s="694"/>
      <c r="M332" s="694"/>
      <c r="N332" s="694"/>
      <c r="O332" s="694"/>
      <c r="P332" s="280"/>
      <c r="Q332" s="280"/>
      <c r="R332" s="280"/>
      <c r="S332" s="694"/>
      <c r="T332" s="694"/>
      <c r="U332" s="694"/>
      <c r="V332" s="1"/>
      <c r="W332" s="1"/>
      <c r="X332" s="1"/>
      <c r="Y332" s="1"/>
      <c r="Z332" s="1"/>
    </row>
    <row r="333" ht="14.25" customHeight="1">
      <c r="A333" s="1"/>
      <c r="B333" s="694"/>
      <c r="C333" s="694"/>
      <c r="D333" s="694"/>
      <c r="E333" s="694"/>
      <c r="F333" s="694"/>
      <c r="G333" s="692"/>
      <c r="H333" s="694"/>
      <c r="I333" s="694"/>
      <c r="J333" s="692"/>
      <c r="K333" s="692"/>
      <c r="L333" s="694"/>
      <c r="M333" s="694"/>
      <c r="N333" s="694"/>
      <c r="O333" s="694"/>
      <c r="P333" s="280"/>
      <c r="Q333" s="280"/>
      <c r="R333" s="280"/>
      <c r="S333" s="694"/>
      <c r="T333" s="694"/>
      <c r="U333" s="694"/>
      <c r="V333" s="1"/>
      <c r="W333" s="1"/>
      <c r="X333" s="1"/>
      <c r="Y333" s="1"/>
      <c r="Z333" s="1"/>
    </row>
    <row r="334" ht="14.25" customHeight="1">
      <c r="A334" s="1"/>
      <c r="B334" s="694"/>
      <c r="C334" s="694"/>
      <c r="D334" s="694"/>
      <c r="E334" s="694"/>
      <c r="F334" s="694"/>
      <c r="G334" s="692"/>
      <c r="H334" s="694"/>
      <c r="I334" s="694"/>
      <c r="J334" s="692"/>
      <c r="K334" s="692"/>
      <c r="L334" s="694"/>
      <c r="M334" s="694"/>
      <c r="N334" s="694"/>
      <c r="O334" s="694"/>
      <c r="P334" s="280"/>
      <c r="Q334" s="280"/>
      <c r="R334" s="280"/>
      <c r="S334" s="694"/>
      <c r="T334" s="694"/>
      <c r="U334" s="694"/>
      <c r="V334" s="1"/>
      <c r="W334" s="1"/>
      <c r="X334" s="1"/>
      <c r="Y334" s="1"/>
      <c r="Z334" s="1"/>
    </row>
    <row r="335" ht="14.25" customHeight="1">
      <c r="A335" s="1"/>
      <c r="B335" s="694"/>
      <c r="C335" s="694"/>
      <c r="D335" s="694"/>
      <c r="E335" s="694"/>
      <c r="F335" s="694"/>
      <c r="G335" s="692"/>
      <c r="H335" s="694"/>
      <c r="I335" s="694"/>
      <c r="J335" s="692"/>
      <c r="K335" s="692"/>
      <c r="L335" s="694"/>
      <c r="M335" s="694"/>
      <c r="N335" s="694"/>
      <c r="O335" s="694"/>
      <c r="P335" s="280"/>
      <c r="Q335" s="280"/>
      <c r="R335" s="280"/>
      <c r="S335" s="694"/>
      <c r="T335" s="694"/>
      <c r="U335" s="694"/>
      <c r="V335" s="1"/>
      <c r="W335" s="1"/>
      <c r="X335" s="1"/>
      <c r="Y335" s="1"/>
      <c r="Z335" s="1"/>
    </row>
    <row r="336" ht="14.25" customHeight="1">
      <c r="A336" s="1"/>
      <c r="B336" s="694"/>
      <c r="C336" s="694"/>
      <c r="D336" s="694"/>
      <c r="E336" s="694"/>
      <c r="F336" s="694"/>
      <c r="G336" s="692"/>
      <c r="H336" s="694"/>
      <c r="I336" s="694"/>
      <c r="J336" s="692"/>
      <c r="K336" s="692"/>
      <c r="L336" s="694"/>
      <c r="M336" s="694"/>
      <c r="N336" s="694"/>
      <c r="O336" s="694"/>
      <c r="P336" s="280"/>
      <c r="Q336" s="280"/>
      <c r="R336" s="280"/>
      <c r="S336" s="694"/>
      <c r="T336" s="694"/>
      <c r="U336" s="694"/>
      <c r="V336" s="1"/>
      <c r="W336" s="1"/>
      <c r="X336" s="1"/>
      <c r="Y336" s="1"/>
      <c r="Z336" s="1"/>
    </row>
    <row r="337" ht="14.25" customHeight="1">
      <c r="A337" s="1"/>
      <c r="B337" s="694"/>
      <c r="C337" s="694"/>
      <c r="D337" s="694"/>
      <c r="E337" s="694"/>
      <c r="F337" s="694"/>
      <c r="G337" s="692"/>
      <c r="H337" s="694"/>
      <c r="I337" s="694"/>
      <c r="J337" s="692"/>
      <c r="K337" s="692"/>
      <c r="L337" s="694"/>
      <c r="M337" s="694"/>
      <c r="N337" s="694"/>
      <c r="O337" s="694"/>
      <c r="P337" s="280"/>
      <c r="Q337" s="280"/>
      <c r="R337" s="280"/>
      <c r="S337" s="694"/>
      <c r="T337" s="694"/>
      <c r="U337" s="694"/>
      <c r="V337" s="1"/>
      <c r="W337" s="1"/>
      <c r="X337" s="1"/>
      <c r="Y337" s="1"/>
      <c r="Z337" s="1"/>
    </row>
    <row r="338" ht="14.25" customHeight="1">
      <c r="A338" s="1"/>
      <c r="B338" s="694"/>
      <c r="C338" s="694"/>
      <c r="D338" s="694"/>
      <c r="E338" s="694"/>
      <c r="F338" s="694"/>
      <c r="G338" s="692"/>
      <c r="H338" s="694"/>
      <c r="I338" s="694"/>
      <c r="J338" s="692"/>
      <c r="K338" s="692"/>
      <c r="L338" s="694"/>
      <c r="M338" s="694"/>
      <c r="N338" s="694"/>
      <c r="O338" s="694"/>
      <c r="P338" s="280"/>
      <c r="Q338" s="280"/>
      <c r="R338" s="280"/>
      <c r="S338" s="694"/>
      <c r="T338" s="694"/>
      <c r="U338" s="694"/>
      <c r="V338" s="1"/>
      <c r="W338" s="1"/>
      <c r="X338" s="1"/>
      <c r="Y338" s="1"/>
      <c r="Z338" s="1"/>
    </row>
    <row r="339" ht="14.25" customHeight="1">
      <c r="A339" s="1"/>
      <c r="B339" s="694"/>
      <c r="C339" s="694"/>
      <c r="D339" s="694"/>
      <c r="E339" s="694"/>
      <c r="F339" s="694"/>
      <c r="G339" s="692"/>
      <c r="H339" s="694"/>
      <c r="I339" s="694"/>
      <c r="J339" s="692"/>
      <c r="K339" s="692"/>
      <c r="L339" s="694"/>
      <c r="M339" s="694"/>
      <c r="N339" s="694"/>
      <c r="O339" s="694"/>
      <c r="P339" s="280"/>
      <c r="Q339" s="280"/>
      <c r="R339" s="280"/>
      <c r="S339" s="694"/>
      <c r="T339" s="694"/>
      <c r="U339" s="694"/>
      <c r="V339" s="1"/>
      <c r="W339" s="1"/>
      <c r="X339" s="1"/>
      <c r="Y339" s="1"/>
      <c r="Z339" s="1"/>
    </row>
    <row r="340" ht="14.25" customHeight="1">
      <c r="A340" s="1"/>
      <c r="B340" s="694"/>
      <c r="C340" s="694"/>
      <c r="D340" s="694"/>
      <c r="E340" s="694"/>
      <c r="F340" s="694"/>
      <c r="G340" s="692"/>
      <c r="H340" s="694"/>
      <c r="I340" s="694"/>
      <c r="J340" s="692"/>
      <c r="K340" s="692"/>
      <c r="L340" s="694"/>
      <c r="M340" s="694"/>
      <c r="N340" s="694"/>
      <c r="O340" s="694"/>
      <c r="P340" s="280"/>
      <c r="Q340" s="280"/>
      <c r="R340" s="280"/>
      <c r="S340" s="694"/>
      <c r="T340" s="694"/>
      <c r="U340" s="694"/>
      <c r="V340" s="1"/>
      <c r="W340" s="1"/>
      <c r="X340" s="1"/>
      <c r="Y340" s="1"/>
      <c r="Z340" s="1"/>
    </row>
    <row r="341" ht="14.25" customHeight="1">
      <c r="A341" s="1"/>
      <c r="B341" s="694"/>
      <c r="C341" s="694"/>
      <c r="D341" s="694"/>
      <c r="E341" s="694"/>
      <c r="F341" s="694"/>
      <c r="G341" s="692"/>
      <c r="H341" s="694"/>
      <c r="I341" s="694"/>
      <c r="J341" s="692"/>
      <c r="K341" s="692"/>
      <c r="L341" s="694"/>
      <c r="M341" s="694"/>
      <c r="N341" s="694"/>
      <c r="O341" s="694"/>
      <c r="P341" s="280"/>
      <c r="Q341" s="280"/>
      <c r="R341" s="280"/>
      <c r="S341" s="694"/>
      <c r="T341" s="694"/>
      <c r="U341" s="694"/>
      <c r="V341" s="1"/>
      <c r="W341" s="1"/>
      <c r="X341" s="1"/>
      <c r="Y341" s="1"/>
      <c r="Z341" s="1"/>
    </row>
    <row r="342" ht="14.25" customHeight="1">
      <c r="A342" s="1"/>
      <c r="B342" s="694"/>
      <c r="C342" s="694"/>
      <c r="D342" s="694"/>
      <c r="E342" s="694"/>
      <c r="F342" s="694"/>
      <c r="G342" s="692"/>
      <c r="H342" s="694"/>
      <c r="I342" s="694"/>
      <c r="J342" s="692"/>
      <c r="K342" s="692"/>
      <c r="L342" s="694"/>
      <c r="M342" s="694"/>
      <c r="N342" s="694"/>
      <c r="O342" s="694"/>
      <c r="P342" s="280"/>
      <c r="Q342" s="280"/>
      <c r="R342" s="280"/>
      <c r="S342" s="694"/>
      <c r="T342" s="694"/>
      <c r="U342" s="694"/>
      <c r="V342" s="1"/>
      <c r="W342" s="1"/>
      <c r="X342" s="1"/>
      <c r="Y342" s="1"/>
      <c r="Z342" s="1"/>
    </row>
    <row r="343" ht="14.25" customHeight="1">
      <c r="A343" s="1"/>
      <c r="B343" s="694"/>
      <c r="C343" s="694"/>
      <c r="D343" s="694"/>
      <c r="E343" s="694"/>
      <c r="F343" s="694"/>
      <c r="G343" s="692"/>
      <c r="H343" s="694"/>
      <c r="I343" s="694"/>
      <c r="J343" s="692"/>
      <c r="K343" s="692"/>
      <c r="L343" s="694"/>
      <c r="M343" s="694"/>
      <c r="N343" s="694"/>
      <c r="O343" s="694"/>
      <c r="P343" s="280"/>
      <c r="Q343" s="280"/>
      <c r="R343" s="280"/>
      <c r="S343" s="694"/>
      <c r="T343" s="694"/>
      <c r="U343" s="694"/>
      <c r="V343" s="1"/>
      <c r="W343" s="1"/>
      <c r="X343" s="1"/>
      <c r="Y343" s="1"/>
      <c r="Z343" s="1"/>
    </row>
    <row r="344" ht="14.25" customHeight="1">
      <c r="A344" s="1"/>
      <c r="B344" s="694"/>
      <c r="C344" s="694"/>
      <c r="D344" s="694"/>
      <c r="E344" s="694"/>
      <c r="F344" s="694"/>
      <c r="G344" s="692"/>
      <c r="H344" s="694"/>
      <c r="I344" s="694"/>
      <c r="J344" s="692"/>
      <c r="K344" s="692"/>
      <c r="L344" s="694"/>
      <c r="M344" s="694"/>
      <c r="N344" s="694"/>
      <c r="O344" s="694"/>
      <c r="P344" s="280"/>
      <c r="Q344" s="280"/>
      <c r="R344" s="280"/>
      <c r="S344" s="694"/>
      <c r="T344" s="694"/>
      <c r="U344" s="694"/>
      <c r="V344" s="1"/>
      <c r="W344" s="1"/>
      <c r="X344" s="1"/>
      <c r="Y344" s="1"/>
      <c r="Z344" s="1"/>
    </row>
    <row r="345" ht="14.25" customHeight="1">
      <c r="A345" s="1"/>
      <c r="B345" s="694"/>
      <c r="C345" s="694"/>
      <c r="D345" s="694"/>
      <c r="E345" s="694"/>
      <c r="F345" s="694"/>
      <c r="G345" s="692"/>
      <c r="H345" s="694"/>
      <c r="I345" s="694"/>
      <c r="J345" s="692"/>
      <c r="K345" s="692"/>
      <c r="L345" s="694"/>
      <c r="M345" s="694"/>
      <c r="N345" s="694"/>
      <c r="O345" s="694"/>
      <c r="P345" s="280"/>
      <c r="Q345" s="280"/>
      <c r="R345" s="280"/>
      <c r="S345" s="694"/>
      <c r="T345" s="694"/>
      <c r="U345" s="694"/>
      <c r="V345" s="1"/>
      <c r="W345" s="1"/>
      <c r="X345" s="1"/>
      <c r="Y345" s="1"/>
      <c r="Z345" s="1"/>
    </row>
    <row r="346" ht="14.25" customHeight="1">
      <c r="A346" s="1"/>
      <c r="B346" s="694"/>
      <c r="C346" s="694"/>
      <c r="D346" s="694"/>
      <c r="E346" s="694"/>
      <c r="F346" s="694"/>
      <c r="G346" s="692"/>
      <c r="H346" s="694"/>
      <c r="I346" s="694"/>
      <c r="J346" s="692"/>
      <c r="K346" s="692"/>
      <c r="L346" s="694"/>
      <c r="M346" s="694"/>
      <c r="N346" s="694"/>
      <c r="O346" s="694"/>
      <c r="P346" s="280"/>
      <c r="Q346" s="280"/>
      <c r="R346" s="280"/>
      <c r="S346" s="694"/>
      <c r="T346" s="694"/>
      <c r="U346" s="694"/>
      <c r="V346" s="1"/>
      <c r="W346" s="1"/>
      <c r="X346" s="1"/>
      <c r="Y346" s="1"/>
      <c r="Z346" s="1"/>
    </row>
    <row r="347" ht="14.25" customHeight="1">
      <c r="A347" s="1"/>
      <c r="B347" s="694"/>
      <c r="C347" s="694"/>
      <c r="D347" s="694"/>
      <c r="E347" s="694"/>
      <c r="F347" s="694"/>
      <c r="G347" s="692"/>
      <c r="H347" s="694"/>
      <c r="I347" s="694"/>
      <c r="J347" s="692"/>
      <c r="K347" s="692"/>
      <c r="L347" s="694"/>
      <c r="M347" s="694"/>
      <c r="N347" s="694"/>
      <c r="O347" s="694"/>
      <c r="P347" s="280"/>
      <c r="Q347" s="280"/>
      <c r="R347" s="280"/>
      <c r="S347" s="694"/>
      <c r="T347" s="694"/>
      <c r="U347" s="694"/>
      <c r="V347" s="1"/>
      <c r="W347" s="1"/>
      <c r="X347" s="1"/>
      <c r="Y347" s="1"/>
      <c r="Z347" s="1"/>
    </row>
    <row r="348" ht="14.25" customHeight="1">
      <c r="A348" s="1"/>
      <c r="B348" s="694"/>
      <c r="C348" s="694"/>
      <c r="D348" s="694"/>
      <c r="E348" s="694"/>
      <c r="F348" s="694"/>
      <c r="G348" s="692"/>
      <c r="H348" s="694"/>
      <c r="I348" s="694"/>
      <c r="J348" s="692"/>
      <c r="K348" s="692"/>
      <c r="L348" s="694"/>
      <c r="M348" s="694"/>
      <c r="N348" s="694"/>
      <c r="O348" s="694"/>
      <c r="P348" s="280"/>
      <c r="Q348" s="280"/>
      <c r="R348" s="280"/>
      <c r="S348" s="694"/>
      <c r="T348" s="694"/>
      <c r="U348" s="694"/>
      <c r="V348" s="1"/>
      <c r="W348" s="1"/>
      <c r="X348" s="1"/>
      <c r="Y348" s="1"/>
      <c r="Z348" s="1"/>
    </row>
    <row r="349" ht="14.25" customHeight="1">
      <c r="A349" s="1"/>
      <c r="B349" s="694"/>
      <c r="C349" s="694"/>
      <c r="D349" s="694"/>
      <c r="E349" s="694"/>
      <c r="F349" s="694"/>
      <c r="G349" s="692"/>
      <c r="H349" s="694"/>
      <c r="I349" s="694"/>
      <c r="J349" s="692"/>
      <c r="K349" s="692"/>
      <c r="L349" s="694"/>
      <c r="M349" s="694"/>
      <c r="N349" s="694"/>
      <c r="O349" s="694"/>
      <c r="P349" s="280"/>
      <c r="Q349" s="280"/>
      <c r="R349" s="280"/>
      <c r="S349" s="694"/>
      <c r="T349" s="694"/>
      <c r="U349" s="694"/>
      <c r="V349" s="1"/>
      <c r="W349" s="1"/>
      <c r="X349" s="1"/>
      <c r="Y349" s="1"/>
      <c r="Z349" s="1"/>
    </row>
    <row r="350" ht="14.25" customHeight="1">
      <c r="A350" s="1"/>
      <c r="B350" s="694"/>
      <c r="C350" s="694"/>
      <c r="D350" s="694"/>
      <c r="E350" s="694"/>
      <c r="F350" s="694"/>
      <c r="G350" s="692"/>
      <c r="H350" s="694"/>
      <c r="I350" s="694"/>
      <c r="J350" s="692"/>
      <c r="K350" s="692"/>
      <c r="L350" s="694"/>
      <c r="M350" s="694"/>
      <c r="N350" s="694"/>
      <c r="O350" s="694"/>
      <c r="P350" s="280"/>
      <c r="Q350" s="280"/>
      <c r="R350" s="280"/>
      <c r="S350" s="694"/>
      <c r="T350" s="694"/>
      <c r="U350" s="694"/>
      <c r="V350" s="1"/>
      <c r="W350" s="1"/>
      <c r="X350" s="1"/>
      <c r="Y350" s="1"/>
      <c r="Z350" s="1"/>
    </row>
    <row r="351" ht="14.25" customHeight="1">
      <c r="A351" s="1"/>
      <c r="B351" s="694"/>
      <c r="C351" s="694"/>
      <c r="D351" s="694"/>
      <c r="E351" s="694"/>
      <c r="F351" s="694"/>
      <c r="G351" s="692"/>
      <c r="H351" s="694"/>
      <c r="I351" s="694"/>
      <c r="J351" s="692"/>
      <c r="K351" s="692"/>
      <c r="L351" s="694"/>
      <c r="M351" s="694"/>
      <c r="N351" s="694"/>
      <c r="O351" s="694"/>
      <c r="P351" s="280"/>
      <c r="Q351" s="280"/>
      <c r="R351" s="280"/>
      <c r="S351" s="694"/>
      <c r="T351" s="694"/>
      <c r="U351" s="694"/>
      <c r="V351" s="1"/>
      <c r="W351" s="1"/>
      <c r="X351" s="1"/>
      <c r="Y351" s="1"/>
      <c r="Z351" s="1"/>
    </row>
    <row r="352" ht="14.25" customHeight="1">
      <c r="A352" s="1"/>
      <c r="B352" s="694"/>
      <c r="C352" s="694"/>
      <c r="D352" s="694"/>
      <c r="E352" s="694"/>
      <c r="F352" s="694"/>
      <c r="G352" s="692"/>
      <c r="H352" s="694"/>
      <c r="I352" s="694"/>
      <c r="J352" s="692"/>
      <c r="K352" s="692"/>
      <c r="L352" s="694"/>
      <c r="M352" s="694"/>
      <c r="N352" s="694"/>
      <c r="O352" s="694"/>
      <c r="P352" s="280"/>
      <c r="Q352" s="280"/>
      <c r="R352" s="280"/>
      <c r="S352" s="694"/>
      <c r="T352" s="694"/>
      <c r="U352" s="694"/>
      <c r="V352" s="1"/>
      <c r="W352" s="1"/>
      <c r="X352" s="1"/>
      <c r="Y352" s="1"/>
      <c r="Z352" s="1"/>
    </row>
    <row r="353" ht="14.25" customHeight="1">
      <c r="A353" s="1"/>
      <c r="B353" s="694"/>
      <c r="C353" s="694"/>
      <c r="D353" s="694"/>
      <c r="E353" s="694"/>
      <c r="F353" s="694"/>
      <c r="G353" s="692"/>
      <c r="H353" s="694"/>
      <c r="I353" s="694"/>
      <c r="J353" s="692"/>
      <c r="K353" s="692"/>
      <c r="L353" s="694"/>
      <c r="M353" s="694"/>
      <c r="N353" s="694"/>
      <c r="O353" s="694"/>
      <c r="P353" s="280"/>
      <c r="Q353" s="280"/>
      <c r="R353" s="280"/>
      <c r="S353" s="694"/>
      <c r="T353" s="694"/>
      <c r="U353" s="694"/>
      <c r="V353" s="1"/>
      <c r="W353" s="1"/>
      <c r="X353" s="1"/>
      <c r="Y353" s="1"/>
      <c r="Z353" s="1"/>
    </row>
    <row r="354" ht="14.25" customHeight="1">
      <c r="A354" s="1"/>
      <c r="B354" s="694"/>
      <c r="C354" s="694"/>
      <c r="D354" s="694"/>
      <c r="E354" s="694"/>
      <c r="F354" s="694"/>
      <c r="G354" s="692"/>
      <c r="H354" s="694"/>
      <c r="I354" s="694"/>
      <c r="J354" s="692"/>
      <c r="K354" s="692"/>
      <c r="L354" s="694"/>
      <c r="M354" s="694"/>
      <c r="N354" s="694"/>
      <c r="O354" s="694"/>
      <c r="P354" s="280"/>
      <c r="Q354" s="280"/>
      <c r="R354" s="280"/>
      <c r="S354" s="694"/>
      <c r="T354" s="694"/>
      <c r="U354" s="694"/>
      <c r="V354" s="1"/>
      <c r="W354" s="1"/>
      <c r="X354" s="1"/>
      <c r="Y354" s="1"/>
      <c r="Z354" s="1"/>
    </row>
    <row r="355" ht="14.25" customHeight="1">
      <c r="A355" s="1"/>
      <c r="B355" s="694"/>
      <c r="C355" s="694"/>
      <c r="D355" s="694"/>
      <c r="E355" s="694"/>
      <c r="F355" s="694"/>
      <c r="G355" s="692"/>
      <c r="H355" s="694"/>
      <c r="I355" s="694"/>
      <c r="J355" s="692"/>
      <c r="K355" s="692"/>
      <c r="L355" s="694"/>
      <c r="M355" s="694"/>
      <c r="N355" s="694"/>
      <c r="O355" s="694"/>
      <c r="P355" s="280"/>
      <c r="Q355" s="280"/>
      <c r="R355" s="280"/>
      <c r="S355" s="694"/>
      <c r="T355" s="694"/>
      <c r="U355" s="694"/>
      <c r="V355" s="1"/>
      <c r="W355" s="1"/>
      <c r="X355" s="1"/>
      <c r="Y355" s="1"/>
      <c r="Z355" s="1"/>
    </row>
    <row r="356" ht="14.25" customHeight="1">
      <c r="A356" s="1"/>
      <c r="B356" s="694"/>
      <c r="C356" s="694"/>
      <c r="D356" s="694"/>
      <c r="E356" s="694"/>
      <c r="F356" s="694"/>
      <c r="G356" s="692"/>
      <c r="H356" s="694"/>
      <c r="I356" s="694"/>
      <c r="J356" s="692"/>
      <c r="K356" s="692"/>
      <c r="L356" s="694"/>
      <c r="M356" s="694"/>
      <c r="N356" s="694"/>
      <c r="O356" s="694"/>
      <c r="P356" s="280"/>
      <c r="Q356" s="280"/>
      <c r="R356" s="280"/>
      <c r="S356" s="694"/>
      <c r="T356" s="694"/>
      <c r="U356" s="694"/>
      <c r="V356" s="1"/>
      <c r="W356" s="1"/>
      <c r="X356" s="1"/>
      <c r="Y356" s="1"/>
      <c r="Z356" s="1"/>
    </row>
    <row r="357" ht="14.25" customHeight="1">
      <c r="A357" s="1"/>
      <c r="B357" s="694"/>
      <c r="C357" s="694"/>
      <c r="D357" s="694"/>
      <c r="E357" s="694"/>
      <c r="F357" s="694"/>
      <c r="G357" s="692"/>
      <c r="H357" s="694"/>
      <c r="I357" s="694"/>
      <c r="J357" s="692"/>
      <c r="K357" s="692"/>
      <c r="L357" s="694"/>
      <c r="M357" s="694"/>
      <c r="N357" s="694"/>
      <c r="O357" s="694"/>
      <c r="P357" s="280"/>
      <c r="Q357" s="280"/>
      <c r="R357" s="280"/>
      <c r="S357" s="694"/>
      <c r="T357" s="694"/>
      <c r="U357" s="694"/>
      <c r="V357" s="1"/>
      <c r="W357" s="1"/>
      <c r="X357" s="1"/>
      <c r="Y357" s="1"/>
      <c r="Z357" s="1"/>
    </row>
    <row r="358" ht="14.25" customHeight="1">
      <c r="A358" s="1"/>
      <c r="B358" s="694"/>
      <c r="C358" s="694"/>
      <c r="D358" s="694"/>
      <c r="E358" s="694"/>
      <c r="F358" s="694"/>
      <c r="G358" s="692"/>
      <c r="H358" s="694"/>
      <c r="I358" s="694"/>
      <c r="J358" s="692"/>
      <c r="K358" s="692"/>
      <c r="L358" s="694"/>
      <c r="M358" s="694"/>
      <c r="N358" s="694"/>
      <c r="O358" s="694"/>
      <c r="P358" s="280"/>
      <c r="Q358" s="280"/>
      <c r="R358" s="280"/>
      <c r="S358" s="694"/>
      <c r="T358" s="694"/>
      <c r="U358" s="694"/>
      <c r="V358" s="1"/>
      <c r="W358" s="1"/>
      <c r="X358" s="1"/>
      <c r="Y358" s="1"/>
      <c r="Z358" s="1"/>
    </row>
    <row r="359" ht="14.25" customHeight="1">
      <c r="A359" s="1"/>
      <c r="B359" s="694"/>
      <c r="C359" s="694"/>
      <c r="D359" s="694"/>
      <c r="E359" s="694"/>
      <c r="F359" s="694"/>
      <c r="G359" s="692"/>
      <c r="H359" s="694"/>
      <c r="I359" s="694"/>
      <c r="J359" s="692"/>
      <c r="K359" s="692"/>
      <c r="L359" s="694"/>
      <c r="M359" s="694"/>
      <c r="N359" s="694"/>
      <c r="O359" s="694"/>
      <c r="P359" s="280"/>
      <c r="Q359" s="280"/>
      <c r="R359" s="280"/>
      <c r="S359" s="694"/>
      <c r="T359" s="694"/>
      <c r="U359" s="694"/>
      <c r="V359" s="1"/>
      <c r="W359" s="1"/>
      <c r="X359" s="1"/>
      <c r="Y359" s="1"/>
      <c r="Z359" s="1"/>
    </row>
    <row r="360" ht="14.25" customHeight="1">
      <c r="A360" s="1"/>
      <c r="B360" s="694"/>
      <c r="C360" s="694"/>
      <c r="D360" s="694"/>
      <c r="E360" s="694"/>
      <c r="F360" s="694"/>
      <c r="G360" s="692"/>
      <c r="H360" s="694"/>
      <c r="I360" s="694"/>
      <c r="J360" s="692"/>
      <c r="K360" s="692"/>
      <c r="L360" s="694"/>
      <c r="M360" s="694"/>
      <c r="N360" s="694"/>
      <c r="O360" s="694"/>
      <c r="P360" s="280"/>
      <c r="Q360" s="280"/>
      <c r="R360" s="280"/>
      <c r="S360" s="694"/>
      <c r="T360" s="694"/>
      <c r="U360" s="694"/>
      <c r="V360" s="1"/>
      <c r="W360" s="1"/>
      <c r="X360" s="1"/>
      <c r="Y360" s="1"/>
      <c r="Z360" s="1"/>
    </row>
    <row r="361" ht="14.25" customHeight="1">
      <c r="A361" s="1"/>
      <c r="B361" s="694"/>
      <c r="C361" s="694"/>
      <c r="D361" s="694"/>
      <c r="E361" s="694"/>
      <c r="F361" s="694"/>
      <c r="G361" s="692"/>
      <c r="H361" s="694"/>
      <c r="I361" s="694"/>
      <c r="J361" s="692"/>
      <c r="K361" s="692"/>
      <c r="L361" s="694"/>
      <c r="M361" s="694"/>
      <c r="N361" s="694"/>
      <c r="O361" s="694"/>
      <c r="P361" s="280"/>
      <c r="Q361" s="280"/>
      <c r="R361" s="280"/>
      <c r="S361" s="694"/>
      <c r="T361" s="694"/>
      <c r="U361" s="694"/>
      <c r="V361" s="1"/>
      <c r="W361" s="1"/>
      <c r="X361" s="1"/>
      <c r="Y361" s="1"/>
      <c r="Z361" s="1"/>
    </row>
    <row r="362" ht="14.25" customHeight="1">
      <c r="A362" s="1"/>
      <c r="B362" s="694"/>
      <c r="C362" s="694"/>
      <c r="D362" s="694"/>
      <c r="E362" s="694"/>
      <c r="F362" s="694"/>
      <c r="G362" s="692"/>
      <c r="H362" s="694"/>
      <c r="I362" s="694"/>
      <c r="J362" s="692"/>
      <c r="K362" s="692"/>
      <c r="L362" s="694"/>
      <c r="M362" s="694"/>
      <c r="N362" s="694"/>
      <c r="O362" s="694"/>
      <c r="P362" s="280"/>
      <c r="Q362" s="280"/>
      <c r="R362" s="280"/>
      <c r="S362" s="694"/>
      <c r="T362" s="694"/>
      <c r="U362" s="694"/>
      <c r="V362" s="1"/>
      <c r="W362" s="1"/>
      <c r="X362" s="1"/>
      <c r="Y362" s="1"/>
      <c r="Z362" s="1"/>
    </row>
    <row r="363" ht="14.25" customHeight="1">
      <c r="A363" s="1"/>
      <c r="B363" s="694"/>
      <c r="C363" s="694"/>
      <c r="D363" s="694"/>
      <c r="E363" s="694"/>
      <c r="F363" s="694"/>
      <c r="G363" s="692"/>
      <c r="H363" s="694"/>
      <c r="I363" s="694"/>
      <c r="J363" s="692"/>
      <c r="K363" s="692"/>
      <c r="L363" s="694"/>
      <c r="M363" s="694"/>
      <c r="N363" s="694"/>
      <c r="O363" s="694"/>
      <c r="P363" s="280"/>
      <c r="Q363" s="280"/>
      <c r="R363" s="280"/>
      <c r="S363" s="694"/>
      <c r="T363" s="694"/>
      <c r="U363" s="694"/>
      <c r="V363" s="1"/>
      <c r="W363" s="1"/>
      <c r="X363" s="1"/>
      <c r="Y363" s="1"/>
      <c r="Z363" s="1"/>
    </row>
    <row r="364" ht="14.25" customHeight="1">
      <c r="A364" s="1"/>
      <c r="B364" s="694"/>
      <c r="C364" s="694"/>
      <c r="D364" s="694"/>
      <c r="E364" s="694"/>
      <c r="F364" s="694"/>
      <c r="G364" s="692"/>
      <c r="H364" s="694"/>
      <c r="I364" s="694"/>
      <c r="J364" s="692"/>
      <c r="K364" s="692"/>
      <c r="L364" s="694"/>
      <c r="M364" s="694"/>
      <c r="N364" s="694"/>
      <c r="O364" s="694"/>
      <c r="P364" s="280"/>
      <c r="Q364" s="280"/>
      <c r="R364" s="280"/>
      <c r="S364" s="694"/>
      <c r="T364" s="694"/>
      <c r="U364" s="694"/>
      <c r="V364" s="1"/>
      <c r="W364" s="1"/>
      <c r="X364" s="1"/>
      <c r="Y364" s="1"/>
      <c r="Z364" s="1"/>
    </row>
    <row r="365" ht="14.25" customHeight="1">
      <c r="A365" s="1"/>
      <c r="B365" s="694"/>
      <c r="C365" s="694"/>
      <c r="D365" s="694"/>
      <c r="E365" s="694"/>
      <c r="F365" s="694"/>
      <c r="G365" s="692"/>
      <c r="H365" s="694"/>
      <c r="I365" s="694"/>
      <c r="J365" s="692"/>
      <c r="K365" s="692"/>
      <c r="L365" s="694"/>
      <c r="M365" s="694"/>
      <c r="N365" s="694"/>
      <c r="O365" s="694"/>
      <c r="P365" s="280"/>
      <c r="Q365" s="280"/>
      <c r="R365" s="280"/>
      <c r="S365" s="694"/>
      <c r="T365" s="694"/>
      <c r="U365" s="694"/>
      <c r="V365" s="1"/>
      <c r="W365" s="1"/>
      <c r="X365" s="1"/>
      <c r="Y365" s="1"/>
      <c r="Z365" s="1"/>
    </row>
    <row r="366" ht="14.25" customHeight="1">
      <c r="A366" s="1"/>
      <c r="B366" s="694"/>
      <c r="C366" s="694"/>
      <c r="D366" s="694"/>
      <c r="E366" s="694"/>
      <c r="F366" s="694"/>
      <c r="G366" s="692"/>
      <c r="H366" s="694"/>
      <c r="I366" s="694"/>
      <c r="J366" s="692"/>
      <c r="K366" s="692"/>
      <c r="L366" s="694"/>
      <c r="M366" s="694"/>
      <c r="N366" s="694"/>
      <c r="O366" s="694"/>
      <c r="P366" s="280"/>
      <c r="Q366" s="280"/>
      <c r="R366" s="280"/>
      <c r="S366" s="694"/>
      <c r="T366" s="694"/>
      <c r="U366" s="694"/>
      <c r="V366" s="1"/>
      <c r="W366" s="1"/>
      <c r="X366" s="1"/>
      <c r="Y366" s="1"/>
      <c r="Z366" s="1"/>
    </row>
    <row r="367" ht="14.25" customHeight="1">
      <c r="A367" s="1"/>
      <c r="B367" s="694"/>
      <c r="C367" s="694"/>
      <c r="D367" s="694"/>
      <c r="E367" s="694"/>
      <c r="F367" s="694"/>
      <c r="G367" s="692"/>
      <c r="H367" s="694"/>
      <c r="I367" s="694"/>
      <c r="J367" s="692"/>
      <c r="K367" s="692"/>
      <c r="L367" s="694"/>
      <c r="M367" s="694"/>
      <c r="N367" s="694"/>
      <c r="O367" s="694"/>
      <c r="P367" s="280"/>
      <c r="Q367" s="280"/>
      <c r="R367" s="280"/>
      <c r="S367" s="694"/>
      <c r="T367" s="694"/>
      <c r="U367" s="694"/>
      <c r="V367" s="1"/>
      <c r="W367" s="1"/>
      <c r="X367" s="1"/>
      <c r="Y367" s="1"/>
      <c r="Z367" s="1"/>
    </row>
    <row r="368" ht="14.25" customHeight="1">
      <c r="A368" s="1"/>
      <c r="B368" s="694"/>
      <c r="C368" s="694"/>
      <c r="D368" s="694"/>
      <c r="E368" s="694"/>
      <c r="F368" s="694"/>
      <c r="G368" s="692"/>
      <c r="H368" s="694"/>
      <c r="I368" s="694"/>
      <c r="J368" s="692"/>
      <c r="K368" s="692"/>
      <c r="L368" s="694"/>
      <c r="M368" s="694"/>
      <c r="N368" s="694"/>
      <c r="O368" s="694"/>
      <c r="P368" s="280"/>
      <c r="Q368" s="280"/>
      <c r="R368" s="280"/>
      <c r="S368" s="694"/>
      <c r="T368" s="694"/>
      <c r="U368" s="694"/>
      <c r="V368" s="1"/>
      <c r="W368" s="1"/>
      <c r="X368" s="1"/>
      <c r="Y368" s="1"/>
      <c r="Z368" s="1"/>
    </row>
    <row r="369" ht="14.25" customHeight="1">
      <c r="A369" s="1"/>
      <c r="B369" s="694"/>
      <c r="C369" s="694"/>
      <c r="D369" s="694"/>
      <c r="E369" s="694"/>
      <c r="F369" s="694"/>
      <c r="G369" s="692"/>
      <c r="H369" s="694"/>
      <c r="I369" s="694"/>
      <c r="J369" s="692"/>
      <c r="K369" s="692"/>
      <c r="L369" s="694"/>
      <c r="M369" s="694"/>
      <c r="N369" s="694"/>
      <c r="O369" s="694"/>
      <c r="P369" s="280"/>
      <c r="Q369" s="280"/>
      <c r="R369" s="280"/>
      <c r="S369" s="694"/>
      <c r="T369" s="694"/>
      <c r="U369" s="694"/>
      <c r="V369" s="1"/>
      <c r="W369" s="1"/>
      <c r="X369" s="1"/>
      <c r="Y369" s="1"/>
      <c r="Z369" s="1"/>
    </row>
    <row r="370" ht="14.25" customHeight="1">
      <c r="A370" s="1"/>
      <c r="B370" s="694"/>
      <c r="C370" s="694"/>
      <c r="D370" s="694"/>
      <c r="E370" s="694"/>
      <c r="F370" s="694"/>
      <c r="G370" s="692"/>
      <c r="H370" s="694"/>
      <c r="I370" s="694"/>
      <c r="J370" s="692"/>
      <c r="K370" s="692"/>
      <c r="L370" s="694"/>
      <c r="M370" s="694"/>
      <c r="N370" s="694"/>
      <c r="O370" s="694"/>
      <c r="P370" s="280"/>
      <c r="Q370" s="280"/>
      <c r="R370" s="280"/>
      <c r="S370" s="694"/>
      <c r="T370" s="694"/>
      <c r="U370" s="694"/>
      <c r="V370" s="1"/>
      <c r="W370" s="1"/>
      <c r="X370" s="1"/>
      <c r="Y370" s="1"/>
      <c r="Z370" s="1"/>
    </row>
    <row r="371" ht="14.25" customHeight="1">
      <c r="A371" s="1"/>
      <c r="B371" s="694"/>
      <c r="C371" s="694"/>
      <c r="D371" s="694"/>
      <c r="E371" s="694"/>
      <c r="F371" s="694"/>
      <c r="G371" s="692"/>
      <c r="H371" s="694"/>
      <c r="I371" s="694"/>
      <c r="J371" s="692"/>
      <c r="K371" s="692"/>
      <c r="L371" s="694"/>
      <c r="M371" s="694"/>
      <c r="N371" s="694"/>
      <c r="O371" s="694"/>
      <c r="P371" s="280"/>
      <c r="Q371" s="280"/>
      <c r="R371" s="280"/>
      <c r="S371" s="694"/>
      <c r="T371" s="694"/>
      <c r="U371" s="694"/>
      <c r="V371" s="1"/>
      <c r="W371" s="1"/>
      <c r="X371" s="1"/>
      <c r="Y371" s="1"/>
      <c r="Z371" s="1"/>
    </row>
    <row r="372" ht="14.25" customHeight="1">
      <c r="A372" s="1"/>
      <c r="B372" s="694"/>
      <c r="C372" s="694"/>
      <c r="D372" s="694"/>
      <c r="E372" s="694"/>
      <c r="F372" s="694"/>
      <c r="G372" s="692"/>
      <c r="H372" s="694"/>
      <c r="I372" s="694"/>
      <c r="J372" s="692"/>
      <c r="K372" s="692"/>
      <c r="L372" s="694"/>
      <c r="M372" s="694"/>
      <c r="N372" s="694"/>
      <c r="O372" s="694"/>
      <c r="P372" s="280"/>
      <c r="Q372" s="280"/>
      <c r="R372" s="280"/>
      <c r="S372" s="694"/>
      <c r="T372" s="694"/>
      <c r="U372" s="694"/>
      <c r="V372" s="1"/>
      <c r="W372" s="1"/>
      <c r="X372" s="1"/>
      <c r="Y372" s="1"/>
      <c r="Z372" s="1"/>
    </row>
    <row r="373" ht="14.25" customHeight="1">
      <c r="A373" s="1"/>
      <c r="B373" s="694"/>
      <c r="C373" s="694"/>
      <c r="D373" s="694"/>
      <c r="E373" s="694"/>
      <c r="F373" s="694"/>
      <c r="G373" s="692"/>
      <c r="H373" s="694"/>
      <c r="I373" s="694"/>
      <c r="J373" s="692"/>
      <c r="K373" s="692"/>
      <c r="L373" s="694"/>
      <c r="M373" s="694"/>
      <c r="N373" s="694"/>
      <c r="O373" s="694"/>
      <c r="P373" s="280"/>
      <c r="Q373" s="280"/>
      <c r="R373" s="280"/>
      <c r="S373" s="694"/>
      <c r="T373" s="694"/>
      <c r="U373" s="694"/>
      <c r="V373" s="1"/>
      <c r="W373" s="1"/>
      <c r="X373" s="1"/>
      <c r="Y373" s="1"/>
      <c r="Z373" s="1"/>
    </row>
    <row r="374" ht="14.25" customHeight="1">
      <c r="A374" s="1"/>
      <c r="B374" s="694"/>
      <c r="C374" s="694"/>
      <c r="D374" s="694"/>
      <c r="E374" s="694"/>
      <c r="F374" s="694"/>
      <c r="G374" s="692"/>
      <c r="H374" s="694"/>
      <c r="I374" s="694"/>
      <c r="J374" s="692"/>
      <c r="K374" s="692"/>
      <c r="L374" s="694"/>
      <c r="M374" s="694"/>
      <c r="N374" s="694"/>
      <c r="O374" s="694"/>
      <c r="P374" s="280"/>
      <c r="Q374" s="280"/>
      <c r="R374" s="280"/>
      <c r="S374" s="694"/>
      <c r="T374" s="694"/>
      <c r="U374" s="694"/>
      <c r="V374" s="1"/>
      <c r="W374" s="1"/>
      <c r="X374" s="1"/>
      <c r="Y374" s="1"/>
      <c r="Z374" s="1"/>
    </row>
    <row r="375" ht="14.25" customHeight="1">
      <c r="A375" s="1"/>
      <c r="B375" s="694"/>
      <c r="C375" s="694"/>
      <c r="D375" s="694"/>
      <c r="E375" s="694"/>
      <c r="F375" s="694"/>
      <c r="G375" s="692"/>
      <c r="H375" s="694"/>
      <c r="I375" s="694"/>
      <c r="J375" s="692"/>
      <c r="K375" s="692"/>
      <c r="L375" s="694"/>
      <c r="M375" s="694"/>
      <c r="N375" s="694"/>
      <c r="O375" s="694"/>
      <c r="P375" s="280"/>
      <c r="Q375" s="280"/>
      <c r="R375" s="280"/>
      <c r="S375" s="694"/>
      <c r="T375" s="694"/>
      <c r="U375" s="694"/>
      <c r="V375" s="1"/>
      <c r="W375" s="1"/>
      <c r="X375" s="1"/>
      <c r="Y375" s="1"/>
      <c r="Z375" s="1"/>
    </row>
    <row r="376" ht="14.25" customHeight="1">
      <c r="A376" s="1"/>
      <c r="B376" s="694"/>
      <c r="C376" s="694"/>
      <c r="D376" s="694"/>
      <c r="E376" s="694"/>
      <c r="F376" s="694"/>
      <c r="G376" s="692"/>
      <c r="H376" s="694"/>
      <c r="I376" s="694"/>
      <c r="J376" s="692"/>
      <c r="K376" s="692"/>
      <c r="L376" s="694"/>
      <c r="M376" s="694"/>
      <c r="N376" s="694"/>
      <c r="O376" s="694"/>
      <c r="P376" s="280"/>
      <c r="Q376" s="280"/>
      <c r="R376" s="280"/>
      <c r="S376" s="694"/>
      <c r="T376" s="694"/>
      <c r="U376" s="694"/>
      <c r="V376" s="1"/>
      <c r="W376" s="1"/>
      <c r="X376" s="1"/>
      <c r="Y376" s="1"/>
      <c r="Z376" s="1"/>
    </row>
    <row r="377" ht="14.25" customHeight="1">
      <c r="A377" s="1"/>
      <c r="B377" s="694"/>
      <c r="C377" s="694"/>
      <c r="D377" s="694"/>
      <c r="E377" s="694"/>
      <c r="F377" s="694"/>
      <c r="G377" s="692"/>
      <c r="H377" s="694"/>
      <c r="I377" s="694"/>
      <c r="J377" s="692"/>
      <c r="K377" s="692"/>
      <c r="L377" s="694"/>
      <c r="M377" s="694"/>
      <c r="N377" s="694"/>
      <c r="O377" s="694"/>
      <c r="P377" s="280"/>
      <c r="Q377" s="280"/>
      <c r="R377" s="280"/>
      <c r="S377" s="694"/>
      <c r="T377" s="694"/>
      <c r="U377" s="694"/>
      <c r="V377" s="1"/>
      <c r="W377" s="1"/>
      <c r="X377" s="1"/>
      <c r="Y377" s="1"/>
      <c r="Z377" s="1"/>
    </row>
    <row r="378" ht="14.25" customHeight="1">
      <c r="A378" s="1"/>
      <c r="B378" s="694"/>
      <c r="C378" s="694"/>
      <c r="D378" s="694"/>
      <c r="E378" s="694"/>
      <c r="F378" s="694"/>
      <c r="G378" s="692"/>
      <c r="H378" s="694"/>
      <c r="I378" s="694"/>
      <c r="J378" s="692"/>
      <c r="K378" s="692"/>
      <c r="L378" s="694"/>
      <c r="M378" s="694"/>
      <c r="N378" s="694"/>
      <c r="O378" s="694"/>
      <c r="P378" s="280"/>
      <c r="Q378" s="280"/>
      <c r="R378" s="280"/>
      <c r="S378" s="694"/>
      <c r="T378" s="694"/>
      <c r="U378" s="694"/>
      <c r="V378" s="1"/>
      <c r="W378" s="1"/>
      <c r="X378" s="1"/>
      <c r="Y378" s="1"/>
      <c r="Z378" s="1"/>
    </row>
    <row r="379" ht="14.25" customHeight="1">
      <c r="A379" s="1"/>
      <c r="B379" s="694"/>
      <c r="C379" s="694"/>
      <c r="D379" s="694"/>
      <c r="E379" s="694"/>
      <c r="F379" s="694"/>
      <c r="G379" s="692"/>
      <c r="H379" s="694"/>
      <c r="I379" s="694"/>
      <c r="J379" s="692"/>
      <c r="K379" s="692"/>
      <c r="L379" s="694"/>
      <c r="M379" s="694"/>
      <c r="N379" s="694"/>
      <c r="O379" s="694"/>
      <c r="P379" s="280"/>
      <c r="Q379" s="280"/>
      <c r="R379" s="280"/>
      <c r="S379" s="694"/>
      <c r="T379" s="694"/>
      <c r="U379" s="694"/>
      <c r="V379" s="1"/>
      <c r="W379" s="1"/>
      <c r="X379" s="1"/>
      <c r="Y379" s="1"/>
      <c r="Z379" s="1"/>
    </row>
    <row r="380" ht="14.25" customHeight="1">
      <c r="A380" s="1"/>
      <c r="B380" s="694"/>
      <c r="C380" s="694"/>
      <c r="D380" s="694"/>
      <c r="E380" s="694"/>
      <c r="F380" s="694"/>
      <c r="G380" s="692"/>
      <c r="H380" s="694"/>
      <c r="I380" s="694"/>
      <c r="J380" s="692"/>
      <c r="K380" s="692"/>
      <c r="L380" s="694"/>
      <c r="M380" s="694"/>
      <c r="N380" s="694"/>
      <c r="O380" s="694"/>
      <c r="P380" s="280"/>
      <c r="Q380" s="280"/>
      <c r="R380" s="280"/>
      <c r="S380" s="694"/>
      <c r="T380" s="694"/>
      <c r="U380" s="694"/>
      <c r="V380" s="1"/>
      <c r="W380" s="1"/>
      <c r="X380" s="1"/>
      <c r="Y380" s="1"/>
      <c r="Z380" s="1"/>
    </row>
    <row r="381" ht="14.25" customHeight="1">
      <c r="A381" s="1"/>
      <c r="B381" s="694"/>
      <c r="C381" s="694"/>
      <c r="D381" s="694"/>
      <c r="E381" s="694"/>
      <c r="F381" s="694"/>
      <c r="G381" s="692"/>
      <c r="H381" s="694"/>
      <c r="I381" s="694"/>
      <c r="J381" s="692"/>
      <c r="K381" s="692"/>
      <c r="L381" s="694"/>
      <c r="M381" s="694"/>
      <c r="N381" s="694"/>
      <c r="O381" s="694"/>
      <c r="P381" s="280"/>
      <c r="Q381" s="280"/>
      <c r="R381" s="280"/>
      <c r="S381" s="694"/>
      <c r="T381" s="694"/>
      <c r="U381" s="694"/>
      <c r="V381" s="1"/>
      <c r="W381" s="1"/>
      <c r="X381" s="1"/>
      <c r="Y381" s="1"/>
      <c r="Z381" s="1"/>
    </row>
    <row r="382" ht="14.25" customHeight="1">
      <c r="A382" s="1"/>
      <c r="B382" s="694"/>
      <c r="C382" s="694"/>
      <c r="D382" s="694"/>
      <c r="E382" s="694"/>
      <c r="F382" s="694"/>
      <c r="G382" s="692"/>
      <c r="H382" s="694"/>
      <c r="I382" s="694"/>
      <c r="J382" s="692"/>
      <c r="K382" s="692"/>
      <c r="L382" s="694"/>
      <c r="M382" s="694"/>
      <c r="N382" s="694"/>
      <c r="O382" s="694"/>
      <c r="P382" s="280"/>
      <c r="Q382" s="280"/>
      <c r="R382" s="280"/>
      <c r="S382" s="694"/>
      <c r="T382" s="694"/>
      <c r="U382" s="694"/>
      <c r="V382" s="1"/>
      <c r="W382" s="1"/>
      <c r="X382" s="1"/>
      <c r="Y382" s="1"/>
      <c r="Z382" s="1"/>
    </row>
    <row r="383" ht="14.25" customHeight="1">
      <c r="A383" s="1"/>
      <c r="B383" s="694"/>
      <c r="C383" s="694"/>
      <c r="D383" s="694"/>
      <c r="E383" s="694"/>
      <c r="F383" s="694"/>
      <c r="G383" s="692"/>
      <c r="H383" s="694"/>
      <c r="I383" s="694"/>
      <c r="J383" s="692"/>
      <c r="K383" s="692"/>
      <c r="L383" s="694"/>
      <c r="M383" s="694"/>
      <c r="N383" s="694"/>
      <c r="O383" s="694"/>
      <c r="P383" s="280"/>
      <c r="Q383" s="280"/>
      <c r="R383" s="280"/>
      <c r="S383" s="694"/>
      <c r="T383" s="694"/>
      <c r="U383" s="694"/>
      <c r="V383" s="1"/>
      <c r="W383" s="1"/>
      <c r="X383" s="1"/>
      <c r="Y383" s="1"/>
      <c r="Z383" s="1"/>
    </row>
    <row r="384" ht="14.25" customHeight="1">
      <c r="A384" s="1"/>
      <c r="B384" s="694"/>
      <c r="C384" s="694"/>
      <c r="D384" s="694"/>
      <c r="E384" s="694"/>
      <c r="F384" s="694"/>
      <c r="G384" s="692"/>
      <c r="H384" s="694"/>
      <c r="I384" s="694"/>
      <c r="J384" s="692"/>
      <c r="K384" s="692"/>
      <c r="L384" s="694"/>
      <c r="M384" s="694"/>
      <c r="N384" s="694"/>
      <c r="O384" s="694"/>
      <c r="P384" s="280"/>
      <c r="Q384" s="280"/>
      <c r="R384" s="280"/>
      <c r="S384" s="694"/>
      <c r="T384" s="694"/>
      <c r="U384" s="694"/>
      <c r="V384" s="1"/>
      <c r="W384" s="1"/>
      <c r="X384" s="1"/>
      <c r="Y384" s="1"/>
      <c r="Z384" s="1"/>
    </row>
    <row r="385" ht="14.25" customHeight="1">
      <c r="A385" s="1"/>
      <c r="B385" s="694"/>
      <c r="C385" s="694"/>
      <c r="D385" s="694"/>
      <c r="E385" s="694"/>
      <c r="F385" s="694"/>
      <c r="G385" s="692"/>
      <c r="H385" s="694"/>
      <c r="I385" s="694"/>
      <c r="J385" s="692"/>
      <c r="K385" s="692"/>
      <c r="L385" s="694"/>
      <c r="M385" s="694"/>
      <c r="N385" s="694"/>
      <c r="O385" s="694"/>
      <c r="P385" s="280"/>
      <c r="Q385" s="280"/>
      <c r="R385" s="280"/>
      <c r="S385" s="694"/>
      <c r="T385" s="694"/>
      <c r="U385" s="694"/>
      <c r="V385" s="1"/>
      <c r="W385" s="1"/>
      <c r="X385" s="1"/>
      <c r="Y385" s="1"/>
      <c r="Z385" s="1"/>
    </row>
    <row r="386" ht="14.25" customHeight="1">
      <c r="A386" s="1"/>
      <c r="B386" s="694"/>
      <c r="C386" s="694"/>
      <c r="D386" s="694"/>
      <c r="E386" s="694"/>
      <c r="F386" s="694"/>
      <c r="G386" s="692"/>
      <c r="H386" s="694"/>
      <c r="I386" s="694"/>
      <c r="J386" s="692"/>
      <c r="K386" s="692"/>
      <c r="L386" s="694"/>
      <c r="M386" s="694"/>
      <c r="N386" s="694"/>
      <c r="O386" s="694"/>
      <c r="P386" s="280"/>
      <c r="Q386" s="280"/>
      <c r="R386" s="280"/>
      <c r="S386" s="694"/>
      <c r="T386" s="694"/>
      <c r="U386" s="694"/>
      <c r="V386" s="1"/>
      <c r="W386" s="1"/>
      <c r="X386" s="1"/>
      <c r="Y386" s="1"/>
      <c r="Z386" s="1"/>
    </row>
    <row r="387" ht="14.25" customHeight="1">
      <c r="A387" s="1"/>
      <c r="B387" s="694"/>
      <c r="C387" s="694"/>
      <c r="D387" s="694"/>
      <c r="E387" s="694"/>
      <c r="F387" s="694"/>
      <c r="G387" s="692"/>
      <c r="H387" s="694"/>
      <c r="I387" s="694"/>
      <c r="J387" s="692"/>
      <c r="K387" s="692"/>
      <c r="L387" s="694"/>
      <c r="M387" s="694"/>
      <c r="N387" s="694"/>
      <c r="O387" s="694"/>
      <c r="P387" s="280"/>
      <c r="Q387" s="280"/>
      <c r="R387" s="280"/>
      <c r="S387" s="694"/>
      <c r="T387" s="694"/>
      <c r="U387" s="694"/>
      <c r="V387" s="1"/>
      <c r="W387" s="1"/>
      <c r="X387" s="1"/>
      <c r="Y387" s="1"/>
      <c r="Z387" s="1"/>
    </row>
    <row r="388" ht="14.25" customHeight="1">
      <c r="A388" s="1"/>
      <c r="B388" s="694"/>
      <c r="C388" s="694"/>
      <c r="D388" s="694"/>
      <c r="E388" s="694"/>
      <c r="F388" s="694"/>
      <c r="G388" s="692"/>
      <c r="H388" s="694"/>
      <c r="I388" s="694"/>
      <c r="J388" s="692"/>
      <c r="K388" s="692"/>
      <c r="L388" s="694"/>
      <c r="M388" s="694"/>
      <c r="N388" s="694"/>
      <c r="O388" s="694"/>
      <c r="P388" s="280"/>
      <c r="Q388" s="280"/>
      <c r="R388" s="280"/>
      <c r="S388" s="694"/>
      <c r="T388" s="694"/>
      <c r="U388" s="694"/>
      <c r="V388" s="1"/>
      <c r="W388" s="1"/>
      <c r="X388" s="1"/>
      <c r="Y388" s="1"/>
      <c r="Z388" s="1"/>
    </row>
    <row r="389" ht="14.25" customHeight="1">
      <c r="A389" s="1"/>
      <c r="B389" s="694"/>
      <c r="C389" s="694"/>
      <c r="D389" s="694"/>
      <c r="E389" s="694"/>
      <c r="F389" s="694"/>
      <c r="G389" s="692"/>
      <c r="H389" s="694"/>
      <c r="I389" s="694"/>
      <c r="J389" s="692"/>
      <c r="K389" s="692"/>
      <c r="L389" s="694"/>
      <c r="M389" s="694"/>
      <c r="N389" s="694"/>
      <c r="O389" s="694"/>
      <c r="P389" s="280"/>
      <c r="Q389" s="280"/>
      <c r="R389" s="280"/>
      <c r="S389" s="694"/>
      <c r="T389" s="694"/>
      <c r="U389" s="694"/>
      <c r="V389" s="1"/>
      <c r="W389" s="1"/>
      <c r="X389" s="1"/>
      <c r="Y389" s="1"/>
      <c r="Z389" s="1"/>
    </row>
    <row r="390" ht="14.25" customHeight="1">
      <c r="A390" s="1"/>
      <c r="B390" s="694"/>
      <c r="C390" s="694"/>
      <c r="D390" s="694"/>
      <c r="E390" s="694"/>
      <c r="F390" s="694"/>
      <c r="G390" s="692"/>
      <c r="H390" s="694"/>
      <c r="I390" s="694"/>
      <c r="J390" s="692"/>
      <c r="K390" s="692"/>
      <c r="L390" s="694"/>
      <c r="M390" s="694"/>
      <c r="N390" s="694"/>
      <c r="O390" s="694"/>
      <c r="P390" s="280"/>
      <c r="Q390" s="280"/>
      <c r="R390" s="280"/>
      <c r="S390" s="694"/>
      <c r="T390" s="694"/>
      <c r="U390" s="694"/>
      <c r="V390" s="1"/>
      <c r="W390" s="1"/>
      <c r="X390" s="1"/>
      <c r="Y390" s="1"/>
      <c r="Z390" s="1"/>
    </row>
    <row r="391" ht="14.25" customHeight="1">
      <c r="A391" s="1"/>
      <c r="B391" s="694"/>
      <c r="C391" s="694"/>
      <c r="D391" s="694"/>
      <c r="E391" s="694"/>
      <c r="F391" s="694"/>
      <c r="G391" s="692"/>
      <c r="H391" s="694"/>
      <c r="I391" s="694"/>
      <c r="J391" s="692"/>
      <c r="K391" s="692"/>
      <c r="L391" s="694"/>
      <c r="M391" s="694"/>
      <c r="N391" s="694"/>
      <c r="O391" s="694"/>
      <c r="P391" s="280"/>
      <c r="Q391" s="280"/>
      <c r="R391" s="280"/>
      <c r="S391" s="694"/>
      <c r="T391" s="694"/>
      <c r="U391" s="694"/>
      <c r="V391" s="1"/>
      <c r="W391" s="1"/>
      <c r="X391" s="1"/>
      <c r="Y391" s="1"/>
      <c r="Z391" s="1"/>
    </row>
    <row r="392" ht="14.25" customHeight="1">
      <c r="A392" s="1"/>
      <c r="B392" s="694"/>
      <c r="C392" s="694"/>
      <c r="D392" s="694"/>
      <c r="E392" s="694"/>
      <c r="F392" s="694"/>
      <c r="G392" s="692"/>
      <c r="H392" s="694"/>
      <c r="I392" s="694"/>
      <c r="J392" s="692"/>
      <c r="K392" s="692"/>
      <c r="L392" s="694"/>
      <c r="M392" s="694"/>
      <c r="N392" s="694"/>
      <c r="O392" s="694"/>
      <c r="P392" s="280"/>
      <c r="Q392" s="280"/>
      <c r="R392" s="280"/>
      <c r="S392" s="694"/>
      <c r="T392" s="694"/>
      <c r="U392" s="694"/>
      <c r="V392" s="1"/>
      <c r="W392" s="1"/>
      <c r="X392" s="1"/>
      <c r="Y392" s="1"/>
      <c r="Z392" s="1"/>
    </row>
    <row r="393" ht="14.25" customHeight="1">
      <c r="A393" s="1"/>
      <c r="B393" s="694"/>
      <c r="C393" s="694"/>
      <c r="D393" s="694"/>
      <c r="E393" s="694"/>
      <c r="F393" s="694"/>
      <c r="G393" s="692"/>
      <c r="H393" s="694"/>
      <c r="I393" s="694"/>
      <c r="J393" s="692"/>
      <c r="K393" s="692"/>
      <c r="L393" s="694"/>
      <c r="M393" s="694"/>
      <c r="N393" s="694"/>
      <c r="O393" s="694"/>
      <c r="P393" s="280"/>
      <c r="Q393" s="280"/>
      <c r="R393" s="280"/>
      <c r="S393" s="694"/>
      <c r="T393" s="694"/>
      <c r="U393" s="694"/>
      <c r="V393" s="1"/>
      <c r="W393" s="1"/>
      <c r="X393" s="1"/>
      <c r="Y393" s="1"/>
      <c r="Z393" s="1"/>
    </row>
    <row r="394" ht="14.25" customHeight="1">
      <c r="A394" s="1"/>
      <c r="B394" s="694"/>
      <c r="C394" s="694"/>
      <c r="D394" s="694"/>
      <c r="E394" s="694"/>
      <c r="F394" s="694"/>
      <c r="G394" s="692"/>
      <c r="H394" s="694"/>
      <c r="I394" s="694"/>
      <c r="J394" s="692"/>
      <c r="K394" s="692"/>
      <c r="L394" s="694"/>
      <c r="M394" s="694"/>
      <c r="N394" s="694"/>
      <c r="O394" s="694"/>
      <c r="P394" s="280"/>
      <c r="Q394" s="280"/>
      <c r="R394" s="280"/>
      <c r="S394" s="694"/>
      <c r="T394" s="694"/>
      <c r="U394" s="694"/>
      <c r="V394" s="1"/>
      <c r="W394" s="1"/>
      <c r="X394" s="1"/>
      <c r="Y394" s="1"/>
      <c r="Z394" s="1"/>
    </row>
    <row r="395" ht="14.25" customHeight="1">
      <c r="A395" s="1"/>
      <c r="B395" s="694"/>
      <c r="C395" s="694"/>
      <c r="D395" s="694"/>
      <c r="E395" s="694"/>
      <c r="F395" s="694"/>
      <c r="G395" s="692"/>
      <c r="H395" s="694"/>
      <c r="I395" s="694"/>
      <c r="J395" s="692"/>
      <c r="K395" s="692"/>
      <c r="L395" s="694"/>
      <c r="M395" s="694"/>
      <c r="N395" s="694"/>
      <c r="O395" s="694"/>
      <c r="P395" s="280"/>
      <c r="Q395" s="280"/>
      <c r="R395" s="280"/>
      <c r="S395" s="694"/>
      <c r="T395" s="694"/>
      <c r="U395" s="694"/>
      <c r="V395" s="1"/>
      <c r="W395" s="1"/>
      <c r="X395" s="1"/>
      <c r="Y395" s="1"/>
      <c r="Z395" s="1"/>
    </row>
    <row r="396" ht="14.25" customHeight="1">
      <c r="A396" s="1"/>
      <c r="B396" s="694"/>
      <c r="C396" s="694"/>
      <c r="D396" s="694"/>
      <c r="E396" s="694"/>
      <c r="F396" s="694"/>
      <c r="G396" s="692"/>
      <c r="H396" s="694"/>
      <c r="I396" s="694"/>
      <c r="J396" s="692"/>
      <c r="K396" s="692"/>
      <c r="L396" s="694"/>
      <c r="M396" s="694"/>
      <c r="N396" s="694"/>
      <c r="O396" s="694"/>
      <c r="P396" s="280"/>
      <c r="Q396" s="280"/>
      <c r="R396" s="280"/>
      <c r="S396" s="694"/>
      <c r="T396" s="694"/>
      <c r="U396" s="694"/>
      <c r="V396" s="1"/>
      <c r="W396" s="1"/>
      <c r="X396" s="1"/>
      <c r="Y396" s="1"/>
      <c r="Z396" s="1"/>
    </row>
    <row r="397" ht="14.25" customHeight="1">
      <c r="A397" s="1"/>
      <c r="B397" s="694"/>
      <c r="C397" s="694"/>
      <c r="D397" s="694"/>
      <c r="E397" s="694"/>
      <c r="F397" s="694"/>
      <c r="G397" s="692"/>
      <c r="H397" s="694"/>
      <c r="I397" s="694"/>
      <c r="J397" s="692"/>
      <c r="K397" s="692"/>
      <c r="L397" s="694"/>
      <c r="M397" s="694"/>
      <c r="N397" s="694"/>
      <c r="O397" s="694"/>
      <c r="P397" s="280"/>
      <c r="Q397" s="280"/>
      <c r="R397" s="280"/>
      <c r="S397" s="694"/>
      <c r="T397" s="694"/>
      <c r="U397" s="694"/>
      <c r="V397" s="1"/>
      <c r="W397" s="1"/>
      <c r="X397" s="1"/>
      <c r="Y397" s="1"/>
      <c r="Z397" s="1"/>
    </row>
    <row r="398" ht="14.25" customHeight="1">
      <c r="A398" s="1"/>
      <c r="B398" s="694"/>
      <c r="C398" s="694"/>
      <c r="D398" s="694"/>
      <c r="E398" s="694"/>
      <c r="F398" s="694"/>
      <c r="G398" s="692"/>
      <c r="H398" s="694"/>
      <c r="I398" s="694"/>
      <c r="J398" s="692"/>
      <c r="K398" s="692"/>
      <c r="L398" s="694"/>
      <c r="M398" s="694"/>
      <c r="N398" s="694"/>
      <c r="O398" s="694"/>
      <c r="P398" s="280"/>
      <c r="Q398" s="280"/>
      <c r="R398" s="280"/>
      <c r="S398" s="694"/>
      <c r="T398" s="694"/>
      <c r="U398" s="694"/>
      <c r="V398" s="1"/>
      <c r="W398" s="1"/>
      <c r="X398" s="1"/>
      <c r="Y398" s="1"/>
      <c r="Z398" s="1"/>
    </row>
    <row r="399" ht="14.25" customHeight="1">
      <c r="A399" s="1"/>
      <c r="B399" s="694"/>
      <c r="C399" s="694"/>
      <c r="D399" s="694"/>
      <c r="E399" s="694"/>
      <c r="F399" s="694"/>
      <c r="G399" s="692"/>
      <c r="H399" s="694"/>
      <c r="I399" s="694"/>
      <c r="J399" s="692"/>
      <c r="K399" s="692"/>
      <c r="L399" s="694"/>
      <c r="M399" s="694"/>
      <c r="N399" s="694"/>
      <c r="O399" s="694"/>
      <c r="P399" s="280"/>
      <c r="Q399" s="280"/>
      <c r="R399" s="280"/>
      <c r="S399" s="694"/>
      <c r="T399" s="694"/>
      <c r="U399" s="694"/>
      <c r="V399" s="1"/>
      <c r="W399" s="1"/>
      <c r="X399" s="1"/>
      <c r="Y399" s="1"/>
      <c r="Z399" s="1"/>
    </row>
    <row r="400" ht="14.25" customHeight="1">
      <c r="A400" s="1"/>
      <c r="B400" s="694"/>
      <c r="C400" s="694"/>
      <c r="D400" s="694"/>
      <c r="E400" s="694"/>
      <c r="F400" s="694"/>
      <c r="G400" s="692"/>
      <c r="H400" s="694"/>
      <c r="I400" s="694"/>
      <c r="J400" s="692"/>
      <c r="K400" s="692"/>
      <c r="L400" s="694"/>
      <c r="M400" s="694"/>
      <c r="N400" s="694"/>
      <c r="O400" s="694"/>
      <c r="P400" s="280"/>
      <c r="Q400" s="280"/>
      <c r="R400" s="280"/>
      <c r="S400" s="694"/>
      <c r="T400" s="694"/>
      <c r="U400" s="694"/>
      <c r="V400" s="1"/>
      <c r="W400" s="1"/>
      <c r="X400" s="1"/>
      <c r="Y400" s="1"/>
      <c r="Z400" s="1"/>
    </row>
    <row r="401" ht="14.25" customHeight="1">
      <c r="A401" s="1"/>
      <c r="B401" s="694"/>
      <c r="C401" s="694"/>
      <c r="D401" s="694"/>
      <c r="E401" s="694"/>
      <c r="F401" s="694"/>
      <c r="G401" s="692"/>
      <c r="H401" s="694"/>
      <c r="I401" s="694"/>
      <c r="J401" s="692"/>
      <c r="K401" s="692"/>
      <c r="L401" s="694"/>
      <c r="M401" s="694"/>
      <c r="N401" s="694"/>
      <c r="O401" s="694"/>
      <c r="P401" s="280"/>
      <c r="Q401" s="280"/>
      <c r="R401" s="280"/>
      <c r="S401" s="694"/>
      <c r="T401" s="694"/>
      <c r="U401" s="694"/>
      <c r="V401" s="1"/>
      <c r="W401" s="1"/>
      <c r="X401" s="1"/>
      <c r="Y401" s="1"/>
      <c r="Z401" s="1"/>
    </row>
    <row r="402" ht="14.25" customHeight="1">
      <c r="A402" s="1"/>
      <c r="B402" s="694"/>
      <c r="C402" s="694"/>
      <c r="D402" s="694"/>
      <c r="E402" s="694"/>
      <c r="F402" s="694"/>
      <c r="G402" s="692"/>
      <c r="H402" s="694"/>
      <c r="I402" s="694"/>
      <c r="J402" s="692"/>
      <c r="K402" s="692"/>
      <c r="L402" s="694"/>
      <c r="M402" s="694"/>
      <c r="N402" s="694"/>
      <c r="O402" s="694"/>
      <c r="P402" s="280"/>
      <c r="Q402" s="280"/>
      <c r="R402" s="280"/>
      <c r="S402" s="694"/>
      <c r="T402" s="694"/>
      <c r="U402" s="694"/>
      <c r="V402" s="1"/>
      <c r="W402" s="1"/>
      <c r="X402" s="1"/>
      <c r="Y402" s="1"/>
      <c r="Z402" s="1"/>
    </row>
    <row r="403" ht="14.25" customHeight="1">
      <c r="A403" s="1"/>
      <c r="B403" s="694"/>
      <c r="C403" s="694"/>
      <c r="D403" s="694"/>
      <c r="E403" s="694"/>
      <c r="F403" s="694"/>
      <c r="G403" s="692"/>
      <c r="H403" s="694"/>
      <c r="I403" s="694"/>
      <c r="J403" s="692"/>
      <c r="K403" s="692"/>
      <c r="L403" s="694"/>
      <c r="M403" s="694"/>
      <c r="N403" s="694"/>
      <c r="O403" s="694"/>
      <c r="P403" s="280"/>
      <c r="Q403" s="280"/>
      <c r="R403" s="280"/>
      <c r="S403" s="694"/>
      <c r="T403" s="694"/>
      <c r="U403" s="694"/>
      <c r="V403" s="1"/>
      <c r="W403" s="1"/>
      <c r="X403" s="1"/>
      <c r="Y403" s="1"/>
      <c r="Z403" s="1"/>
    </row>
    <row r="404" ht="14.25" customHeight="1">
      <c r="A404" s="1"/>
      <c r="B404" s="694"/>
      <c r="C404" s="694"/>
      <c r="D404" s="694"/>
      <c r="E404" s="694"/>
      <c r="F404" s="694"/>
      <c r="G404" s="692"/>
      <c r="H404" s="694"/>
      <c r="I404" s="694"/>
      <c r="J404" s="692"/>
      <c r="K404" s="692"/>
      <c r="L404" s="694"/>
      <c r="M404" s="694"/>
      <c r="N404" s="694"/>
      <c r="O404" s="694"/>
      <c r="P404" s="280"/>
      <c r="Q404" s="280"/>
      <c r="R404" s="280"/>
      <c r="S404" s="694"/>
      <c r="T404" s="694"/>
      <c r="U404" s="694"/>
      <c r="V404" s="1"/>
      <c r="W404" s="1"/>
      <c r="X404" s="1"/>
      <c r="Y404" s="1"/>
      <c r="Z404" s="1"/>
    </row>
    <row r="405" ht="14.25" customHeight="1">
      <c r="A405" s="1"/>
      <c r="B405" s="694"/>
      <c r="C405" s="694"/>
      <c r="D405" s="694"/>
      <c r="E405" s="694"/>
      <c r="F405" s="694"/>
      <c r="G405" s="692"/>
      <c r="H405" s="694"/>
      <c r="I405" s="694"/>
      <c r="J405" s="692"/>
      <c r="K405" s="692"/>
      <c r="L405" s="694"/>
      <c r="M405" s="694"/>
      <c r="N405" s="694"/>
      <c r="O405" s="694"/>
      <c r="P405" s="280"/>
      <c r="Q405" s="280"/>
      <c r="R405" s="280"/>
      <c r="S405" s="694"/>
      <c r="T405" s="694"/>
      <c r="U405" s="694"/>
      <c r="V405" s="1"/>
      <c r="W405" s="1"/>
      <c r="X405" s="1"/>
      <c r="Y405" s="1"/>
      <c r="Z405" s="1"/>
    </row>
    <row r="406" ht="14.25" customHeight="1">
      <c r="A406" s="1"/>
      <c r="B406" s="694"/>
      <c r="C406" s="694"/>
      <c r="D406" s="694"/>
      <c r="E406" s="694"/>
      <c r="F406" s="694"/>
      <c r="G406" s="692"/>
      <c r="H406" s="694"/>
      <c r="I406" s="694"/>
      <c r="J406" s="692"/>
      <c r="K406" s="692"/>
      <c r="L406" s="694"/>
      <c r="M406" s="694"/>
      <c r="N406" s="694"/>
      <c r="O406" s="694"/>
      <c r="P406" s="280"/>
      <c r="Q406" s="280"/>
      <c r="R406" s="280"/>
      <c r="S406" s="694"/>
      <c r="T406" s="694"/>
      <c r="U406" s="694"/>
      <c r="V406" s="1"/>
      <c r="W406" s="1"/>
      <c r="X406" s="1"/>
      <c r="Y406" s="1"/>
      <c r="Z406" s="1"/>
    </row>
    <row r="407" ht="14.25" customHeight="1">
      <c r="A407" s="1"/>
      <c r="B407" s="694"/>
      <c r="C407" s="694"/>
      <c r="D407" s="694"/>
      <c r="E407" s="694"/>
      <c r="F407" s="694"/>
      <c r="G407" s="692"/>
      <c r="H407" s="694"/>
      <c r="I407" s="694"/>
      <c r="J407" s="692"/>
      <c r="K407" s="692"/>
      <c r="L407" s="694"/>
      <c r="M407" s="694"/>
      <c r="N407" s="694"/>
      <c r="O407" s="694"/>
      <c r="P407" s="280"/>
      <c r="Q407" s="280"/>
      <c r="R407" s="280"/>
      <c r="S407" s="694"/>
      <c r="T407" s="694"/>
      <c r="U407" s="694"/>
      <c r="V407" s="1"/>
      <c r="W407" s="1"/>
      <c r="X407" s="1"/>
      <c r="Y407" s="1"/>
      <c r="Z407" s="1"/>
    </row>
    <row r="408" ht="14.25" customHeight="1">
      <c r="A408" s="1"/>
      <c r="B408" s="694"/>
      <c r="C408" s="694"/>
      <c r="D408" s="694"/>
      <c r="E408" s="694"/>
      <c r="F408" s="694"/>
      <c r="G408" s="692"/>
      <c r="H408" s="694"/>
      <c r="I408" s="694"/>
      <c r="J408" s="692"/>
      <c r="K408" s="692"/>
      <c r="L408" s="694"/>
      <c r="M408" s="694"/>
      <c r="N408" s="694"/>
      <c r="O408" s="694"/>
      <c r="P408" s="280"/>
      <c r="Q408" s="280"/>
      <c r="R408" s="280"/>
      <c r="S408" s="694"/>
      <c r="T408" s="694"/>
      <c r="U408" s="694"/>
      <c r="V408" s="1"/>
      <c r="W408" s="1"/>
      <c r="X408" s="1"/>
      <c r="Y408" s="1"/>
      <c r="Z408" s="1"/>
    </row>
    <row r="409" ht="14.25" customHeight="1">
      <c r="A409" s="1"/>
      <c r="B409" s="694"/>
      <c r="C409" s="694"/>
      <c r="D409" s="694"/>
      <c r="E409" s="694"/>
      <c r="F409" s="694"/>
      <c r="G409" s="692"/>
      <c r="H409" s="694"/>
      <c r="I409" s="694"/>
      <c r="J409" s="692"/>
      <c r="K409" s="692"/>
      <c r="L409" s="694"/>
      <c r="M409" s="694"/>
      <c r="N409" s="694"/>
      <c r="O409" s="694"/>
      <c r="P409" s="280"/>
      <c r="Q409" s="280"/>
      <c r="R409" s="280"/>
      <c r="S409" s="694"/>
      <c r="T409" s="694"/>
      <c r="U409" s="694"/>
      <c r="V409" s="1"/>
      <c r="W409" s="1"/>
      <c r="X409" s="1"/>
      <c r="Y409" s="1"/>
      <c r="Z409" s="1"/>
    </row>
    <row r="410" ht="14.25" customHeight="1">
      <c r="A410" s="1"/>
      <c r="B410" s="694"/>
      <c r="C410" s="694"/>
      <c r="D410" s="694"/>
      <c r="E410" s="694"/>
      <c r="F410" s="694"/>
      <c r="G410" s="692"/>
      <c r="H410" s="694"/>
      <c r="I410" s="694"/>
      <c r="J410" s="692"/>
      <c r="K410" s="692"/>
      <c r="L410" s="694"/>
      <c r="M410" s="694"/>
      <c r="N410" s="694"/>
      <c r="O410" s="694"/>
      <c r="P410" s="280"/>
      <c r="Q410" s="280"/>
      <c r="R410" s="280"/>
      <c r="S410" s="694"/>
      <c r="T410" s="694"/>
      <c r="U410" s="694"/>
      <c r="V410" s="1"/>
      <c r="W410" s="1"/>
      <c r="X410" s="1"/>
      <c r="Y410" s="1"/>
      <c r="Z410" s="1"/>
    </row>
    <row r="411" ht="14.25" customHeight="1">
      <c r="A411" s="1"/>
      <c r="B411" s="694"/>
      <c r="C411" s="694"/>
      <c r="D411" s="694"/>
      <c r="E411" s="694"/>
      <c r="F411" s="694"/>
      <c r="G411" s="692"/>
      <c r="H411" s="694"/>
      <c r="I411" s="694"/>
      <c r="J411" s="692"/>
      <c r="K411" s="692"/>
      <c r="L411" s="694"/>
      <c r="M411" s="694"/>
      <c r="N411" s="694"/>
      <c r="O411" s="694"/>
      <c r="P411" s="280"/>
      <c r="Q411" s="280"/>
      <c r="R411" s="280"/>
      <c r="S411" s="694"/>
      <c r="T411" s="694"/>
      <c r="U411" s="694"/>
      <c r="V411" s="1"/>
      <c r="W411" s="1"/>
      <c r="X411" s="1"/>
      <c r="Y411" s="1"/>
      <c r="Z411" s="1"/>
    </row>
    <row r="412" ht="14.25" customHeight="1">
      <c r="A412" s="1"/>
      <c r="B412" s="694"/>
      <c r="C412" s="694"/>
      <c r="D412" s="694"/>
      <c r="E412" s="694"/>
      <c r="F412" s="694"/>
      <c r="G412" s="692"/>
      <c r="H412" s="694"/>
      <c r="I412" s="694"/>
      <c r="J412" s="692"/>
      <c r="K412" s="692"/>
      <c r="L412" s="694"/>
      <c r="M412" s="694"/>
      <c r="N412" s="694"/>
      <c r="O412" s="694"/>
      <c r="P412" s="280"/>
      <c r="Q412" s="280"/>
      <c r="R412" s="280"/>
      <c r="S412" s="694"/>
      <c r="T412" s="694"/>
      <c r="U412" s="694"/>
      <c r="V412" s="1"/>
      <c r="W412" s="1"/>
      <c r="X412" s="1"/>
      <c r="Y412" s="1"/>
      <c r="Z412" s="1"/>
    </row>
    <row r="413" ht="14.25" customHeight="1">
      <c r="A413" s="1"/>
      <c r="B413" s="694"/>
      <c r="C413" s="694"/>
      <c r="D413" s="694"/>
      <c r="E413" s="694"/>
      <c r="F413" s="694"/>
      <c r="G413" s="692"/>
      <c r="H413" s="694"/>
      <c r="I413" s="694"/>
      <c r="J413" s="692"/>
      <c r="K413" s="692"/>
      <c r="L413" s="694"/>
      <c r="M413" s="694"/>
      <c r="N413" s="694"/>
      <c r="O413" s="694"/>
      <c r="P413" s="280"/>
      <c r="Q413" s="280"/>
      <c r="R413" s="280"/>
      <c r="S413" s="694"/>
      <c r="T413" s="694"/>
      <c r="U413" s="694"/>
      <c r="V413" s="1"/>
      <c r="W413" s="1"/>
      <c r="X413" s="1"/>
      <c r="Y413" s="1"/>
      <c r="Z413" s="1"/>
    </row>
    <row r="414" ht="14.25" customHeight="1">
      <c r="A414" s="1"/>
      <c r="B414" s="694"/>
      <c r="C414" s="694"/>
      <c r="D414" s="694"/>
      <c r="E414" s="694"/>
      <c r="F414" s="694"/>
      <c r="G414" s="692"/>
      <c r="H414" s="694"/>
      <c r="I414" s="694"/>
      <c r="J414" s="692"/>
      <c r="K414" s="692"/>
      <c r="L414" s="694"/>
      <c r="M414" s="694"/>
      <c r="N414" s="694"/>
      <c r="O414" s="694"/>
      <c r="P414" s="280"/>
      <c r="Q414" s="280"/>
      <c r="R414" s="280"/>
      <c r="S414" s="694"/>
      <c r="T414" s="694"/>
      <c r="U414" s="694"/>
      <c r="V414" s="1"/>
      <c r="W414" s="1"/>
      <c r="X414" s="1"/>
      <c r="Y414" s="1"/>
      <c r="Z414" s="1"/>
    </row>
    <row r="415" ht="14.25" customHeight="1">
      <c r="A415" s="1"/>
      <c r="B415" s="694"/>
      <c r="C415" s="694"/>
      <c r="D415" s="694"/>
      <c r="E415" s="694"/>
      <c r="F415" s="694"/>
      <c r="G415" s="692"/>
      <c r="H415" s="694"/>
      <c r="I415" s="694"/>
      <c r="J415" s="692"/>
      <c r="K415" s="692"/>
      <c r="L415" s="694"/>
      <c r="M415" s="694"/>
      <c r="N415" s="694"/>
      <c r="O415" s="694"/>
      <c r="P415" s="280"/>
      <c r="Q415" s="280"/>
      <c r="R415" s="280"/>
      <c r="S415" s="694"/>
      <c r="T415" s="694"/>
      <c r="U415" s="694"/>
      <c r="V415" s="1"/>
      <c r="W415" s="1"/>
      <c r="X415" s="1"/>
      <c r="Y415" s="1"/>
      <c r="Z415" s="1"/>
    </row>
    <row r="416" ht="14.25" customHeight="1">
      <c r="A416" s="1"/>
      <c r="B416" s="694"/>
      <c r="C416" s="694"/>
      <c r="D416" s="694"/>
      <c r="E416" s="694"/>
      <c r="F416" s="694"/>
      <c r="G416" s="692"/>
      <c r="H416" s="694"/>
      <c r="I416" s="694"/>
      <c r="J416" s="692"/>
      <c r="K416" s="692"/>
      <c r="L416" s="694"/>
      <c r="M416" s="694"/>
      <c r="N416" s="694"/>
      <c r="O416" s="694"/>
      <c r="P416" s="280"/>
      <c r="Q416" s="280"/>
      <c r="R416" s="280"/>
      <c r="S416" s="694"/>
      <c r="T416" s="694"/>
      <c r="U416" s="694"/>
      <c r="V416" s="1"/>
      <c r="W416" s="1"/>
      <c r="X416" s="1"/>
      <c r="Y416" s="1"/>
      <c r="Z416" s="1"/>
    </row>
    <row r="417" ht="14.25" customHeight="1">
      <c r="A417" s="1"/>
      <c r="B417" s="694"/>
      <c r="C417" s="694"/>
      <c r="D417" s="694"/>
      <c r="E417" s="694"/>
      <c r="F417" s="694"/>
      <c r="G417" s="692"/>
      <c r="H417" s="694"/>
      <c r="I417" s="694"/>
      <c r="J417" s="692"/>
      <c r="K417" s="692"/>
      <c r="L417" s="694"/>
      <c r="M417" s="694"/>
      <c r="N417" s="694"/>
      <c r="O417" s="694"/>
      <c r="P417" s="280"/>
      <c r="Q417" s="280"/>
      <c r="R417" s="280"/>
      <c r="S417" s="694"/>
      <c r="T417" s="694"/>
      <c r="U417" s="694"/>
      <c r="V417" s="1"/>
      <c r="W417" s="1"/>
      <c r="X417" s="1"/>
      <c r="Y417" s="1"/>
      <c r="Z417" s="1"/>
    </row>
    <row r="418" ht="14.25" customHeight="1">
      <c r="A418" s="1"/>
      <c r="B418" s="694"/>
      <c r="C418" s="694"/>
      <c r="D418" s="694"/>
      <c r="E418" s="694"/>
      <c r="F418" s="694"/>
      <c r="G418" s="692"/>
      <c r="H418" s="694"/>
      <c r="I418" s="694"/>
      <c r="J418" s="692"/>
      <c r="K418" s="692"/>
      <c r="L418" s="694"/>
      <c r="M418" s="694"/>
      <c r="N418" s="694"/>
      <c r="O418" s="694"/>
      <c r="P418" s="280"/>
      <c r="Q418" s="280"/>
      <c r="R418" s="280"/>
      <c r="S418" s="694"/>
      <c r="T418" s="694"/>
      <c r="U418" s="694"/>
      <c r="V418" s="1"/>
      <c r="W418" s="1"/>
      <c r="X418" s="1"/>
      <c r="Y418" s="1"/>
      <c r="Z418" s="1"/>
    </row>
    <row r="419" ht="14.25" customHeight="1">
      <c r="A419" s="1"/>
      <c r="B419" s="694"/>
      <c r="C419" s="694"/>
      <c r="D419" s="694"/>
      <c r="E419" s="694"/>
      <c r="F419" s="694"/>
      <c r="G419" s="692"/>
      <c r="H419" s="694"/>
      <c r="I419" s="694"/>
      <c r="J419" s="692"/>
      <c r="K419" s="692"/>
      <c r="L419" s="694"/>
      <c r="M419" s="694"/>
      <c r="N419" s="694"/>
      <c r="O419" s="694"/>
      <c r="P419" s="280"/>
      <c r="Q419" s="280"/>
      <c r="R419" s="280"/>
      <c r="S419" s="694"/>
      <c r="T419" s="694"/>
      <c r="U419" s="694"/>
      <c r="V419" s="1"/>
      <c r="W419" s="1"/>
      <c r="X419" s="1"/>
      <c r="Y419" s="1"/>
      <c r="Z419" s="1"/>
    </row>
    <row r="420" ht="14.25" customHeight="1">
      <c r="A420" s="1"/>
      <c r="B420" s="694"/>
      <c r="C420" s="694"/>
      <c r="D420" s="694"/>
      <c r="E420" s="694"/>
      <c r="F420" s="694"/>
      <c r="G420" s="692"/>
      <c r="H420" s="694"/>
      <c r="I420" s="694"/>
      <c r="J420" s="692"/>
      <c r="K420" s="692"/>
      <c r="L420" s="694"/>
      <c r="M420" s="694"/>
      <c r="N420" s="694"/>
      <c r="O420" s="694"/>
      <c r="P420" s="280"/>
      <c r="Q420" s="280"/>
      <c r="R420" s="280"/>
      <c r="S420" s="694"/>
      <c r="T420" s="694"/>
      <c r="U420" s="694"/>
      <c r="V420" s="1"/>
      <c r="W420" s="1"/>
      <c r="X420" s="1"/>
      <c r="Y420" s="1"/>
      <c r="Z420" s="1"/>
    </row>
    <row r="421" ht="14.25" customHeight="1">
      <c r="A421" s="1"/>
      <c r="B421" s="694"/>
      <c r="C421" s="694"/>
      <c r="D421" s="694"/>
      <c r="E421" s="694"/>
      <c r="F421" s="694"/>
      <c r="G421" s="692"/>
      <c r="H421" s="694"/>
      <c r="I421" s="694"/>
      <c r="J421" s="692"/>
      <c r="K421" s="692"/>
      <c r="L421" s="694"/>
      <c r="M421" s="694"/>
      <c r="N421" s="694"/>
      <c r="O421" s="694"/>
      <c r="P421" s="280"/>
      <c r="Q421" s="280"/>
      <c r="R421" s="280"/>
      <c r="S421" s="694"/>
      <c r="T421" s="694"/>
      <c r="U421" s="694"/>
      <c r="V421" s="1"/>
      <c r="W421" s="1"/>
      <c r="X421" s="1"/>
      <c r="Y421" s="1"/>
      <c r="Z421" s="1"/>
    </row>
    <row r="422" ht="14.25" customHeight="1">
      <c r="A422" s="1"/>
      <c r="B422" s="694"/>
      <c r="C422" s="694"/>
      <c r="D422" s="694"/>
      <c r="E422" s="694"/>
      <c r="F422" s="694"/>
      <c r="G422" s="692"/>
      <c r="H422" s="694"/>
      <c r="I422" s="694"/>
      <c r="J422" s="692"/>
      <c r="K422" s="692"/>
      <c r="L422" s="694"/>
      <c r="M422" s="694"/>
      <c r="N422" s="694"/>
      <c r="O422" s="694"/>
      <c r="P422" s="280"/>
      <c r="Q422" s="280"/>
      <c r="R422" s="280"/>
      <c r="S422" s="694"/>
      <c r="T422" s="694"/>
      <c r="U422" s="694"/>
      <c r="V422" s="1"/>
      <c r="W422" s="1"/>
      <c r="X422" s="1"/>
      <c r="Y422" s="1"/>
      <c r="Z422" s="1"/>
    </row>
    <row r="423" ht="14.25" customHeight="1">
      <c r="A423" s="1"/>
      <c r="B423" s="694"/>
      <c r="C423" s="694"/>
      <c r="D423" s="694"/>
      <c r="E423" s="694"/>
      <c r="F423" s="694"/>
      <c r="G423" s="692"/>
      <c r="H423" s="694"/>
      <c r="I423" s="694"/>
      <c r="J423" s="692"/>
      <c r="K423" s="692"/>
      <c r="L423" s="694"/>
      <c r="M423" s="694"/>
      <c r="N423" s="694"/>
      <c r="O423" s="694"/>
      <c r="P423" s="280"/>
      <c r="Q423" s="280"/>
      <c r="R423" s="280"/>
      <c r="S423" s="694"/>
      <c r="T423" s="694"/>
      <c r="U423" s="694"/>
      <c r="V423" s="1"/>
      <c r="W423" s="1"/>
      <c r="X423" s="1"/>
      <c r="Y423" s="1"/>
      <c r="Z423" s="1"/>
    </row>
    <row r="424" ht="14.25" customHeight="1">
      <c r="A424" s="1"/>
      <c r="B424" s="694"/>
      <c r="C424" s="694"/>
      <c r="D424" s="694"/>
      <c r="E424" s="694"/>
      <c r="F424" s="694"/>
      <c r="G424" s="692"/>
      <c r="H424" s="694"/>
      <c r="I424" s="694"/>
      <c r="J424" s="692"/>
      <c r="K424" s="692"/>
      <c r="L424" s="694"/>
      <c r="M424" s="694"/>
      <c r="N424" s="694"/>
      <c r="O424" s="694"/>
      <c r="P424" s="280"/>
      <c r="Q424" s="280"/>
      <c r="R424" s="280"/>
      <c r="S424" s="694"/>
      <c r="T424" s="694"/>
      <c r="U424" s="694"/>
      <c r="V424" s="1"/>
      <c r="W424" s="1"/>
      <c r="X424" s="1"/>
      <c r="Y424" s="1"/>
      <c r="Z424" s="1"/>
    </row>
    <row r="425" ht="14.25" customHeight="1">
      <c r="A425" s="1"/>
      <c r="B425" s="694"/>
      <c r="C425" s="694"/>
      <c r="D425" s="694"/>
      <c r="E425" s="694"/>
      <c r="F425" s="694"/>
      <c r="G425" s="692"/>
      <c r="H425" s="694"/>
      <c r="I425" s="694"/>
      <c r="J425" s="692"/>
      <c r="K425" s="692"/>
      <c r="L425" s="694"/>
      <c r="M425" s="694"/>
      <c r="N425" s="694"/>
      <c r="O425" s="694"/>
      <c r="P425" s="280"/>
      <c r="Q425" s="280"/>
      <c r="R425" s="280"/>
      <c r="S425" s="694"/>
      <c r="T425" s="694"/>
      <c r="U425" s="694"/>
      <c r="V425" s="1"/>
      <c r="W425" s="1"/>
      <c r="X425" s="1"/>
      <c r="Y425" s="1"/>
      <c r="Z425" s="1"/>
    </row>
    <row r="426" ht="14.25" customHeight="1">
      <c r="A426" s="1"/>
      <c r="B426" s="694"/>
      <c r="C426" s="694"/>
      <c r="D426" s="694"/>
      <c r="E426" s="694"/>
      <c r="F426" s="694"/>
      <c r="G426" s="692"/>
      <c r="H426" s="694"/>
      <c r="I426" s="694"/>
      <c r="J426" s="692"/>
      <c r="K426" s="692"/>
      <c r="L426" s="694"/>
      <c r="M426" s="694"/>
      <c r="N426" s="694"/>
      <c r="O426" s="694"/>
      <c r="P426" s="280"/>
      <c r="Q426" s="280"/>
      <c r="R426" s="280"/>
      <c r="S426" s="694"/>
      <c r="T426" s="694"/>
      <c r="U426" s="694"/>
      <c r="V426" s="1"/>
      <c r="W426" s="1"/>
      <c r="X426" s="1"/>
      <c r="Y426" s="1"/>
      <c r="Z426" s="1"/>
    </row>
    <row r="427" ht="14.25" customHeight="1">
      <c r="A427" s="1"/>
      <c r="B427" s="694"/>
      <c r="C427" s="694"/>
      <c r="D427" s="694"/>
      <c r="E427" s="694"/>
      <c r="F427" s="694"/>
      <c r="G427" s="692"/>
      <c r="H427" s="694"/>
      <c r="I427" s="694"/>
      <c r="J427" s="692"/>
      <c r="K427" s="692"/>
      <c r="L427" s="694"/>
      <c r="M427" s="694"/>
      <c r="N427" s="694"/>
      <c r="O427" s="694"/>
      <c r="P427" s="280"/>
      <c r="Q427" s="280"/>
      <c r="R427" s="280"/>
      <c r="S427" s="694"/>
      <c r="T427" s="694"/>
      <c r="U427" s="694"/>
      <c r="V427" s="1"/>
      <c r="W427" s="1"/>
      <c r="X427" s="1"/>
      <c r="Y427" s="1"/>
      <c r="Z427" s="1"/>
    </row>
    <row r="428" ht="14.25" customHeight="1">
      <c r="A428" s="1"/>
      <c r="B428" s="694"/>
      <c r="C428" s="694"/>
      <c r="D428" s="694"/>
      <c r="E428" s="694"/>
      <c r="F428" s="694"/>
      <c r="G428" s="692"/>
      <c r="H428" s="694"/>
      <c r="I428" s="694"/>
      <c r="J428" s="692"/>
      <c r="K428" s="692"/>
      <c r="L428" s="694"/>
      <c r="M428" s="694"/>
      <c r="N428" s="694"/>
      <c r="O428" s="694"/>
      <c r="P428" s="280"/>
      <c r="Q428" s="280"/>
      <c r="R428" s="280"/>
      <c r="S428" s="694"/>
      <c r="T428" s="694"/>
      <c r="U428" s="694"/>
      <c r="V428" s="1"/>
      <c r="W428" s="1"/>
      <c r="X428" s="1"/>
      <c r="Y428" s="1"/>
      <c r="Z428" s="1"/>
    </row>
    <row r="429" ht="14.25" customHeight="1">
      <c r="A429" s="1"/>
      <c r="B429" s="694"/>
      <c r="C429" s="694"/>
      <c r="D429" s="694"/>
      <c r="E429" s="694"/>
      <c r="F429" s="694"/>
      <c r="G429" s="692"/>
      <c r="H429" s="694"/>
      <c r="I429" s="694"/>
      <c r="J429" s="692"/>
      <c r="K429" s="692"/>
      <c r="L429" s="694"/>
      <c r="M429" s="694"/>
      <c r="N429" s="694"/>
      <c r="O429" s="694"/>
      <c r="P429" s="280"/>
      <c r="Q429" s="280"/>
      <c r="R429" s="280"/>
      <c r="S429" s="694"/>
      <c r="T429" s="694"/>
      <c r="U429" s="694"/>
      <c r="V429" s="1"/>
      <c r="W429" s="1"/>
      <c r="X429" s="1"/>
      <c r="Y429" s="1"/>
      <c r="Z429" s="1"/>
    </row>
    <row r="430" ht="14.25" customHeight="1">
      <c r="A430" s="1"/>
      <c r="B430" s="694"/>
      <c r="C430" s="694"/>
      <c r="D430" s="694"/>
      <c r="E430" s="694"/>
      <c r="F430" s="694"/>
      <c r="G430" s="692"/>
      <c r="H430" s="694"/>
      <c r="I430" s="694"/>
      <c r="J430" s="692"/>
      <c r="K430" s="692"/>
      <c r="L430" s="694"/>
      <c r="M430" s="694"/>
      <c r="N430" s="694"/>
      <c r="O430" s="694"/>
      <c r="P430" s="280"/>
      <c r="Q430" s="280"/>
      <c r="R430" s="280"/>
      <c r="S430" s="694"/>
      <c r="T430" s="694"/>
      <c r="U430" s="694"/>
      <c r="V430" s="1"/>
      <c r="W430" s="1"/>
      <c r="X430" s="1"/>
      <c r="Y430" s="1"/>
      <c r="Z430" s="1"/>
    </row>
    <row r="431" ht="14.25" customHeight="1">
      <c r="A431" s="1"/>
      <c r="B431" s="694"/>
      <c r="C431" s="694"/>
      <c r="D431" s="694"/>
      <c r="E431" s="694"/>
      <c r="F431" s="694"/>
      <c r="G431" s="692"/>
      <c r="H431" s="694"/>
      <c r="I431" s="694"/>
      <c r="J431" s="692"/>
      <c r="K431" s="692"/>
      <c r="L431" s="694"/>
      <c r="M431" s="694"/>
      <c r="N431" s="694"/>
      <c r="O431" s="694"/>
      <c r="P431" s="280"/>
      <c r="Q431" s="280"/>
      <c r="R431" s="280"/>
      <c r="S431" s="694"/>
      <c r="T431" s="694"/>
      <c r="U431" s="694"/>
      <c r="V431" s="1"/>
      <c r="W431" s="1"/>
      <c r="X431" s="1"/>
      <c r="Y431" s="1"/>
      <c r="Z431" s="1"/>
    </row>
    <row r="432" ht="14.25" customHeight="1">
      <c r="A432" s="1"/>
      <c r="B432" s="694"/>
      <c r="C432" s="694"/>
      <c r="D432" s="694"/>
      <c r="E432" s="694"/>
      <c r="F432" s="694"/>
      <c r="G432" s="692"/>
      <c r="H432" s="694"/>
      <c r="I432" s="694"/>
      <c r="J432" s="692"/>
      <c r="K432" s="692"/>
      <c r="L432" s="694"/>
      <c r="M432" s="694"/>
      <c r="N432" s="694"/>
      <c r="O432" s="694"/>
      <c r="P432" s="280"/>
      <c r="Q432" s="280"/>
      <c r="R432" s="280"/>
      <c r="S432" s="694"/>
      <c r="T432" s="694"/>
      <c r="U432" s="694"/>
      <c r="V432" s="1"/>
      <c r="W432" s="1"/>
      <c r="X432" s="1"/>
      <c r="Y432" s="1"/>
      <c r="Z432" s="1"/>
    </row>
    <row r="433" ht="14.25" customHeight="1">
      <c r="A433" s="1"/>
      <c r="B433" s="694"/>
      <c r="C433" s="694"/>
      <c r="D433" s="694"/>
      <c r="E433" s="694"/>
      <c r="F433" s="694"/>
      <c r="G433" s="692"/>
      <c r="H433" s="694"/>
      <c r="I433" s="694"/>
      <c r="J433" s="692"/>
      <c r="K433" s="692"/>
      <c r="L433" s="694"/>
      <c r="M433" s="694"/>
      <c r="N433" s="694"/>
      <c r="O433" s="694"/>
      <c r="P433" s="280"/>
      <c r="Q433" s="280"/>
      <c r="R433" s="280"/>
      <c r="S433" s="694"/>
      <c r="T433" s="694"/>
      <c r="U433" s="694"/>
      <c r="V433" s="1"/>
      <c r="W433" s="1"/>
      <c r="X433" s="1"/>
      <c r="Y433" s="1"/>
      <c r="Z433" s="1"/>
    </row>
    <row r="434" ht="14.25" customHeight="1">
      <c r="A434" s="1"/>
      <c r="B434" s="694"/>
      <c r="C434" s="694"/>
      <c r="D434" s="694"/>
      <c r="E434" s="694"/>
      <c r="F434" s="694"/>
      <c r="G434" s="692"/>
      <c r="H434" s="694"/>
      <c r="I434" s="694"/>
      <c r="J434" s="692"/>
      <c r="K434" s="692"/>
      <c r="L434" s="694"/>
      <c r="M434" s="694"/>
      <c r="N434" s="694"/>
      <c r="O434" s="694"/>
      <c r="P434" s="280"/>
      <c r="Q434" s="280"/>
      <c r="R434" s="280"/>
      <c r="S434" s="694"/>
      <c r="T434" s="694"/>
      <c r="U434" s="694"/>
      <c r="V434" s="1"/>
      <c r="W434" s="1"/>
      <c r="X434" s="1"/>
      <c r="Y434" s="1"/>
      <c r="Z434" s="1"/>
    </row>
    <row r="435" ht="14.25" customHeight="1">
      <c r="A435" s="1"/>
      <c r="B435" s="694"/>
      <c r="C435" s="694"/>
      <c r="D435" s="694"/>
      <c r="E435" s="694"/>
      <c r="F435" s="694"/>
      <c r="G435" s="692"/>
      <c r="H435" s="694"/>
      <c r="I435" s="694"/>
      <c r="J435" s="692"/>
      <c r="K435" s="692"/>
      <c r="L435" s="694"/>
      <c r="M435" s="694"/>
      <c r="N435" s="694"/>
      <c r="O435" s="694"/>
      <c r="P435" s="280"/>
      <c r="Q435" s="280"/>
      <c r="R435" s="280"/>
      <c r="S435" s="694"/>
      <c r="T435" s="694"/>
      <c r="U435" s="694"/>
      <c r="V435" s="1"/>
      <c r="W435" s="1"/>
      <c r="X435" s="1"/>
      <c r="Y435" s="1"/>
      <c r="Z435" s="1"/>
    </row>
    <row r="436" ht="14.25" customHeight="1">
      <c r="A436" s="1"/>
      <c r="B436" s="694"/>
      <c r="C436" s="694"/>
      <c r="D436" s="694"/>
      <c r="E436" s="694"/>
      <c r="F436" s="694"/>
      <c r="G436" s="692"/>
      <c r="H436" s="694"/>
      <c r="I436" s="694"/>
      <c r="J436" s="692"/>
      <c r="K436" s="692"/>
      <c r="L436" s="694"/>
      <c r="M436" s="694"/>
      <c r="N436" s="694"/>
      <c r="O436" s="694"/>
      <c r="P436" s="280"/>
      <c r="Q436" s="280"/>
      <c r="R436" s="280"/>
      <c r="S436" s="694"/>
      <c r="T436" s="694"/>
      <c r="U436" s="694"/>
      <c r="V436" s="1"/>
      <c r="W436" s="1"/>
      <c r="X436" s="1"/>
      <c r="Y436" s="1"/>
      <c r="Z436" s="1"/>
    </row>
    <row r="437" ht="14.25" customHeight="1">
      <c r="A437" s="1"/>
      <c r="B437" s="694"/>
      <c r="C437" s="694"/>
      <c r="D437" s="694"/>
      <c r="E437" s="694"/>
      <c r="F437" s="694"/>
      <c r="G437" s="692"/>
      <c r="H437" s="694"/>
      <c r="I437" s="694"/>
      <c r="J437" s="692"/>
      <c r="K437" s="692"/>
      <c r="L437" s="694"/>
      <c r="M437" s="694"/>
      <c r="N437" s="694"/>
      <c r="O437" s="694"/>
      <c r="P437" s="280"/>
      <c r="Q437" s="280"/>
      <c r="R437" s="280"/>
      <c r="S437" s="694"/>
      <c r="T437" s="694"/>
      <c r="U437" s="694"/>
      <c r="V437" s="1"/>
      <c r="W437" s="1"/>
      <c r="X437" s="1"/>
      <c r="Y437" s="1"/>
      <c r="Z437" s="1"/>
    </row>
    <row r="438" ht="14.25" customHeight="1">
      <c r="A438" s="1"/>
      <c r="B438" s="694"/>
      <c r="C438" s="694"/>
      <c r="D438" s="694"/>
      <c r="E438" s="694"/>
      <c r="F438" s="694"/>
      <c r="G438" s="692"/>
      <c r="H438" s="694"/>
      <c r="I438" s="694"/>
      <c r="J438" s="692"/>
      <c r="K438" s="692"/>
      <c r="L438" s="694"/>
      <c r="M438" s="694"/>
      <c r="N438" s="694"/>
      <c r="O438" s="694"/>
      <c r="P438" s="280"/>
      <c r="Q438" s="280"/>
      <c r="R438" s="280"/>
      <c r="S438" s="694"/>
      <c r="T438" s="694"/>
      <c r="U438" s="694"/>
      <c r="V438" s="1"/>
      <c r="W438" s="1"/>
      <c r="X438" s="1"/>
      <c r="Y438" s="1"/>
      <c r="Z438" s="1"/>
    </row>
    <row r="439" ht="14.25" customHeight="1">
      <c r="A439" s="1"/>
      <c r="B439" s="694"/>
      <c r="C439" s="694"/>
      <c r="D439" s="694"/>
      <c r="E439" s="694"/>
      <c r="F439" s="694"/>
      <c r="G439" s="692"/>
      <c r="H439" s="694"/>
      <c r="I439" s="694"/>
      <c r="J439" s="692"/>
      <c r="K439" s="692"/>
      <c r="L439" s="694"/>
      <c r="M439" s="694"/>
      <c r="N439" s="694"/>
      <c r="O439" s="694"/>
      <c r="P439" s="280"/>
      <c r="Q439" s="280"/>
      <c r="R439" s="280"/>
      <c r="S439" s="694"/>
      <c r="T439" s="694"/>
      <c r="U439" s="694"/>
      <c r="V439" s="1"/>
      <c r="W439" s="1"/>
      <c r="X439" s="1"/>
      <c r="Y439" s="1"/>
      <c r="Z439" s="1"/>
    </row>
    <row r="440" ht="14.25" customHeight="1">
      <c r="A440" s="1"/>
      <c r="B440" s="694"/>
      <c r="C440" s="694"/>
      <c r="D440" s="694"/>
      <c r="E440" s="694"/>
      <c r="F440" s="694"/>
      <c r="G440" s="692"/>
      <c r="H440" s="694"/>
      <c r="I440" s="694"/>
      <c r="J440" s="692"/>
      <c r="K440" s="692"/>
      <c r="L440" s="694"/>
      <c r="M440" s="694"/>
      <c r="N440" s="694"/>
      <c r="O440" s="694"/>
      <c r="P440" s="280"/>
      <c r="Q440" s="280"/>
      <c r="R440" s="280"/>
      <c r="S440" s="694"/>
      <c r="T440" s="694"/>
      <c r="U440" s="694"/>
      <c r="V440" s="1"/>
      <c r="W440" s="1"/>
      <c r="X440" s="1"/>
      <c r="Y440" s="1"/>
      <c r="Z440" s="1"/>
    </row>
    <row r="441" ht="14.25" customHeight="1">
      <c r="A441" s="1"/>
      <c r="B441" s="694"/>
      <c r="C441" s="694"/>
      <c r="D441" s="694"/>
      <c r="E441" s="694"/>
      <c r="F441" s="694"/>
      <c r="G441" s="692"/>
      <c r="H441" s="694"/>
      <c r="I441" s="694"/>
      <c r="J441" s="692"/>
      <c r="K441" s="692"/>
      <c r="L441" s="694"/>
      <c r="M441" s="694"/>
      <c r="N441" s="694"/>
      <c r="O441" s="694"/>
      <c r="P441" s="280"/>
      <c r="Q441" s="280"/>
      <c r="R441" s="280"/>
      <c r="S441" s="694"/>
      <c r="T441" s="694"/>
      <c r="U441" s="694"/>
      <c r="V441" s="1"/>
      <c r="W441" s="1"/>
      <c r="X441" s="1"/>
      <c r="Y441" s="1"/>
      <c r="Z441" s="1"/>
    </row>
    <row r="442" ht="14.25" customHeight="1">
      <c r="A442" s="1"/>
      <c r="B442" s="694"/>
      <c r="C442" s="694"/>
      <c r="D442" s="694"/>
      <c r="E442" s="694"/>
      <c r="F442" s="694"/>
      <c r="G442" s="692"/>
      <c r="H442" s="694"/>
      <c r="I442" s="694"/>
      <c r="J442" s="692"/>
      <c r="K442" s="692"/>
      <c r="L442" s="694"/>
      <c r="M442" s="694"/>
      <c r="N442" s="694"/>
      <c r="O442" s="694"/>
      <c r="P442" s="280"/>
      <c r="Q442" s="280"/>
      <c r="R442" s="280"/>
      <c r="S442" s="694"/>
      <c r="T442" s="694"/>
      <c r="U442" s="694"/>
      <c r="V442" s="1"/>
      <c r="W442" s="1"/>
      <c r="X442" s="1"/>
      <c r="Y442" s="1"/>
      <c r="Z442" s="1"/>
    </row>
    <row r="443" ht="14.25" customHeight="1">
      <c r="A443" s="1"/>
      <c r="B443" s="694"/>
      <c r="C443" s="694"/>
      <c r="D443" s="694"/>
      <c r="E443" s="694"/>
      <c r="F443" s="694"/>
      <c r="G443" s="692"/>
      <c r="H443" s="694"/>
      <c r="I443" s="694"/>
      <c r="J443" s="692"/>
      <c r="K443" s="692"/>
      <c r="L443" s="694"/>
      <c r="M443" s="694"/>
      <c r="N443" s="694"/>
      <c r="O443" s="694"/>
      <c r="P443" s="280"/>
      <c r="Q443" s="280"/>
      <c r="R443" s="280"/>
      <c r="S443" s="694"/>
      <c r="T443" s="694"/>
      <c r="U443" s="694"/>
      <c r="V443" s="1"/>
      <c r="W443" s="1"/>
      <c r="X443" s="1"/>
      <c r="Y443" s="1"/>
      <c r="Z443" s="1"/>
    </row>
    <row r="444" ht="14.25" customHeight="1">
      <c r="A444" s="1"/>
      <c r="B444" s="694"/>
      <c r="C444" s="694"/>
      <c r="D444" s="694"/>
      <c r="E444" s="694"/>
      <c r="F444" s="694"/>
      <c r="G444" s="692"/>
      <c r="H444" s="694"/>
      <c r="I444" s="694"/>
      <c r="J444" s="692"/>
      <c r="K444" s="692"/>
      <c r="L444" s="694"/>
      <c r="M444" s="694"/>
      <c r="N444" s="694"/>
      <c r="O444" s="694"/>
      <c r="P444" s="280"/>
      <c r="Q444" s="280"/>
      <c r="R444" s="280"/>
      <c r="S444" s="694"/>
      <c r="T444" s="694"/>
      <c r="U444" s="694"/>
      <c r="V444" s="1"/>
      <c r="W444" s="1"/>
      <c r="X444" s="1"/>
      <c r="Y444" s="1"/>
      <c r="Z444" s="1"/>
    </row>
    <row r="445" ht="14.25" customHeight="1">
      <c r="A445" s="1"/>
      <c r="B445" s="694"/>
      <c r="C445" s="694"/>
      <c r="D445" s="694"/>
      <c r="E445" s="694"/>
      <c r="F445" s="694"/>
      <c r="G445" s="692"/>
      <c r="H445" s="694"/>
      <c r="I445" s="694"/>
      <c r="J445" s="692"/>
      <c r="K445" s="692"/>
      <c r="L445" s="694"/>
      <c r="M445" s="694"/>
      <c r="N445" s="694"/>
      <c r="O445" s="694"/>
      <c r="P445" s="280"/>
      <c r="Q445" s="280"/>
      <c r="R445" s="280"/>
      <c r="S445" s="694"/>
      <c r="T445" s="694"/>
      <c r="U445" s="694"/>
      <c r="V445" s="1"/>
      <c r="W445" s="1"/>
      <c r="X445" s="1"/>
      <c r="Y445" s="1"/>
      <c r="Z445" s="1"/>
    </row>
    <row r="446" ht="14.25" customHeight="1">
      <c r="A446" s="1"/>
      <c r="B446" s="694"/>
      <c r="C446" s="694"/>
      <c r="D446" s="694"/>
      <c r="E446" s="694"/>
      <c r="F446" s="694"/>
      <c r="G446" s="692"/>
      <c r="H446" s="694"/>
      <c r="I446" s="694"/>
      <c r="J446" s="692"/>
      <c r="K446" s="692"/>
      <c r="L446" s="694"/>
      <c r="M446" s="694"/>
      <c r="N446" s="694"/>
      <c r="O446" s="694"/>
      <c r="P446" s="280"/>
      <c r="Q446" s="280"/>
      <c r="R446" s="280"/>
      <c r="S446" s="694"/>
      <c r="T446" s="694"/>
      <c r="U446" s="694"/>
      <c r="V446" s="1"/>
      <c r="W446" s="1"/>
      <c r="X446" s="1"/>
      <c r="Y446" s="1"/>
      <c r="Z446" s="1"/>
    </row>
    <row r="447" ht="14.25" customHeight="1">
      <c r="A447" s="1"/>
      <c r="B447" s="694"/>
      <c r="C447" s="694"/>
      <c r="D447" s="694"/>
      <c r="E447" s="694"/>
      <c r="F447" s="694"/>
      <c r="G447" s="692"/>
      <c r="H447" s="694"/>
      <c r="I447" s="694"/>
      <c r="J447" s="692"/>
      <c r="K447" s="692"/>
      <c r="L447" s="694"/>
      <c r="M447" s="694"/>
      <c r="N447" s="694"/>
      <c r="O447" s="694"/>
      <c r="P447" s="280"/>
      <c r="Q447" s="280"/>
      <c r="R447" s="280"/>
      <c r="S447" s="694"/>
      <c r="T447" s="694"/>
      <c r="U447" s="694"/>
      <c r="V447" s="1"/>
      <c r="W447" s="1"/>
      <c r="X447" s="1"/>
      <c r="Y447" s="1"/>
      <c r="Z447" s="1"/>
    </row>
    <row r="448" ht="14.25" customHeight="1">
      <c r="A448" s="1"/>
      <c r="B448" s="694"/>
      <c r="C448" s="694"/>
      <c r="D448" s="694"/>
      <c r="E448" s="694"/>
      <c r="F448" s="694"/>
      <c r="G448" s="692"/>
      <c r="H448" s="694"/>
      <c r="I448" s="694"/>
      <c r="J448" s="692"/>
      <c r="K448" s="692"/>
      <c r="L448" s="694"/>
      <c r="M448" s="694"/>
      <c r="N448" s="694"/>
      <c r="O448" s="694"/>
      <c r="P448" s="280"/>
      <c r="Q448" s="280"/>
      <c r="R448" s="280"/>
      <c r="S448" s="694"/>
      <c r="T448" s="694"/>
      <c r="U448" s="694"/>
      <c r="V448" s="1"/>
      <c r="W448" s="1"/>
      <c r="X448" s="1"/>
      <c r="Y448" s="1"/>
      <c r="Z448" s="1"/>
    </row>
    <row r="449" ht="14.25" customHeight="1">
      <c r="A449" s="1"/>
      <c r="B449" s="694"/>
      <c r="C449" s="694"/>
      <c r="D449" s="694"/>
      <c r="E449" s="694"/>
      <c r="F449" s="694"/>
      <c r="G449" s="692"/>
      <c r="H449" s="694"/>
      <c r="I449" s="694"/>
      <c r="J449" s="692"/>
      <c r="K449" s="692"/>
      <c r="L449" s="694"/>
      <c r="M449" s="694"/>
      <c r="N449" s="694"/>
      <c r="O449" s="694"/>
      <c r="P449" s="280"/>
      <c r="Q449" s="280"/>
      <c r="R449" s="280"/>
      <c r="S449" s="694"/>
      <c r="T449" s="694"/>
      <c r="U449" s="694"/>
      <c r="V449" s="1"/>
      <c r="W449" s="1"/>
      <c r="X449" s="1"/>
      <c r="Y449" s="1"/>
      <c r="Z449" s="1"/>
    </row>
    <row r="450" ht="14.25" customHeight="1">
      <c r="A450" s="1"/>
      <c r="B450" s="694"/>
      <c r="C450" s="694"/>
      <c r="D450" s="694"/>
      <c r="E450" s="694"/>
      <c r="F450" s="694"/>
      <c r="G450" s="692"/>
      <c r="H450" s="694"/>
      <c r="I450" s="694"/>
      <c r="J450" s="692"/>
      <c r="K450" s="692"/>
      <c r="L450" s="694"/>
      <c r="M450" s="694"/>
      <c r="N450" s="694"/>
      <c r="O450" s="694"/>
      <c r="P450" s="280"/>
      <c r="Q450" s="280"/>
      <c r="R450" s="280"/>
      <c r="S450" s="694"/>
      <c r="T450" s="694"/>
      <c r="U450" s="694"/>
      <c r="V450" s="1"/>
      <c r="W450" s="1"/>
      <c r="X450" s="1"/>
      <c r="Y450" s="1"/>
      <c r="Z450" s="1"/>
    </row>
    <row r="451" ht="14.25" customHeight="1">
      <c r="A451" s="1"/>
      <c r="B451" s="694"/>
      <c r="C451" s="694"/>
      <c r="D451" s="694"/>
      <c r="E451" s="694"/>
      <c r="F451" s="694"/>
      <c r="G451" s="692"/>
      <c r="H451" s="694"/>
      <c r="I451" s="694"/>
      <c r="J451" s="692"/>
      <c r="K451" s="692"/>
      <c r="L451" s="694"/>
      <c r="M451" s="694"/>
      <c r="N451" s="694"/>
      <c r="O451" s="694"/>
      <c r="P451" s="280"/>
      <c r="Q451" s="280"/>
      <c r="R451" s="280"/>
      <c r="S451" s="694"/>
      <c r="T451" s="694"/>
      <c r="U451" s="694"/>
      <c r="V451" s="1"/>
      <c r="W451" s="1"/>
      <c r="X451" s="1"/>
      <c r="Y451" s="1"/>
      <c r="Z451" s="1"/>
    </row>
    <row r="452" ht="14.25" customHeight="1">
      <c r="A452" s="1"/>
      <c r="B452" s="694"/>
      <c r="C452" s="694"/>
      <c r="D452" s="694"/>
      <c r="E452" s="694"/>
      <c r="F452" s="694"/>
      <c r="G452" s="692"/>
      <c r="H452" s="694"/>
      <c r="I452" s="694"/>
      <c r="J452" s="692"/>
      <c r="K452" s="692"/>
      <c r="L452" s="694"/>
      <c r="M452" s="694"/>
      <c r="N452" s="694"/>
      <c r="O452" s="694"/>
      <c r="P452" s="280"/>
      <c r="Q452" s="280"/>
      <c r="R452" s="280"/>
      <c r="S452" s="694"/>
      <c r="T452" s="694"/>
      <c r="U452" s="694"/>
      <c r="V452" s="1"/>
      <c r="W452" s="1"/>
      <c r="X452" s="1"/>
      <c r="Y452" s="1"/>
      <c r="Z452" s="1"/>
    </row>
    <row r="453" ht="14.25" customHeight="1">
      <c r="A453" s="1"/>
      <c r="B453" s="694"/>
      <c r="C453" s="694"/>
      <c r="D453" s="694"/>
      <c r="E453" s="694"/>
      <c r="F453" s="694"/>
      <c r="G453" s="692"/>
      <c r="H453" s="694"/>
      <c r="I453" s="694"/>
      <c r="J453" s="692"/>
      <c r="K453" s="692"/>
      <c r="L453" s="694"/>
      <c r="M453" s="694"/>
      <c r="N453" s="694"/>
      <c r="O453" s="694"/>
      <c r="P453" s="280"/>
      <c r="Q453" s="280"/>
      <c r="R453" s="280"/>
      <c r="S453" s="694"/>
      <c r="T453" s="694"/>
      <c r="U453" s="694"/>
      <c r="V453" s="1"/>
      <c r="W453" s="1"/>
      <c r="X453" s="1"/>
      <c r="Y453" s="1"/>
      <c r="Z453" s="1"/>
    </row>
    <row r="454" ht="14.25" customHeight="1">
      <c r="A454" s="1"/>
      <c r="B454" s="694"/>
      <c r="C454" s="694"/>
      <c r="D454" s="694"/>
      <c r="E454" s="694"/>
      <c r="F454" s="694"/>
      <c r="G454" s="692"/>
      <c r="H454" s="694"/>
      <c r="I454" s="694"/>
      <c r="J454" s="692"/>
      <c r="K454" s="692"/>
      <c r="L454" s="694"/>
      <c r="M454" s="694"/>
      <c r="N454" s="694"/>
      <c r="O454" s="694"/>
      <c r="P454" s="280"/>
      <c r="Q454" s="280"/>
      <c r="R454" s="280"/>
      <c r="S454" s="694"/>
      <c r="T454" s="694"/>
      <c r="U454" s="694"/>
      <c r="V454" s="1"/>
      <c r="W454" s="1"/>
      <c r="X454" s="1"/>
      <c r="Y454" s="1"/>
      <c r="Z454" s="1"/>
    </row>
    <row r="455" ht="14.25" customHeight="1">
      <c r="A455" s="1"/>
      <c r="B455" s="694"/>
      <c r="C455" s="694"/>
      <c r="D455" s="694"/>
      <c r="E455" s="694"/>
      <c r="F455" s="694"/>
      <c r="G455" s="692"/>
      <c r="H455" s="694"/>
      <c r="I455" s="694"/>
      <c r="J455" s="692"/>
      <c r="K455" s="692"/>
      <c r="L455" s="694"/>
      <c r="M455" s="694"/>
      <c r="N455" s="694"/>
      <c r="O455" s="694"/>
      <c r="P455" s="280"/>
      <c r="Q455" s="280"/>
      <c r="R455" s="280"/>
      <c r="S455" s="694"/>
      <c r="T455" s="694"/>
      <c r="U455" s="694"/>
      <c r="V455" s="1"/>
      <c r="W455" s="1"/>
      <c r="X455" s="1"/>
      <c r="Y455" s="1"/>
      <c r="Z455" s="1"/>
    </row>
    <row r="456" ht="14.25" customHeight="1">
      <c r="A456" s="1"/>
      <c r="B456" s="694"/>
      <c r="C456" s="694"/>
      <c r="D456" s="694"/>
      <c r="E456" s="694"/>
      <c r="F456" s="694"/>
      <c r="G456" s="692"/>
      <c r="H456" s="694"/>
      <c r="I456" s="694"/>
      <c r="J456" s="692"/>
      <c r="K456" s="692"/>
      <c r="L456" s="694"/>
      <c r="M456" s="694"/>
      <c r="N456" s="694"/>
      <c r="O456" s="694"/>
      <c r="P456" s="280"/>
      <c r="Q456" s="280"/>
      <c r="R456" s="280"/>
      <c r="S456" s="694"/>
      <c r="T456" s="694"/>
      <c r="U456" s="694"/>
      <c r="V456" s="1"/>
      <c r="W456" s="1"/>
      <c r="X456" s="1"/>
      <c r="Y456" s="1"/>
      <c r="Z456" s="1"/>
    </row>
    <row r="457" ht="14.25" customHeight="1">
      <c r="A457" s="1"/>
      <c r="B457" s="694"/>
      <c r="C457" s="694"/>
      <c r="D457" s="694"/>
      <c r="E457" s="694"/>
      <c r="F457" s="694"/>
      <c r="G457" s="692"/>
      <c r="H457" s="694"/>
      <c r="I457" s="694"/>
      <c r="J457" s="692"/>
      <c r="K457" s="692"/>
      <c r="L457" s="694"/>
      <c r="M457" s="694"/>
      <c r="N457" s="694"/>
      <c r="O457" s="694"/>
      <c r="P457" s="280"/>
      <c r="Q457" s="280"/>
      <c r="R457" s="280"/>
      <c r="S457" s="694"/>
      <c r="T457" s="694"/>
      <c r="U457" s="694"/>
      <c r="V457" s="1"/>
      <c r="W457" s="1"/>
      <c r="X457" s="1"/>
      <c r="Y457" s="1"/>
      <c r="Z457" s="1"/>
    </row>
    <row r="458" ht="14.25" customHeight="1">
      <c r="A458" s="1"/>
      <c r="B458" s="694"/>
      <c r="C458" s="694"/>
      <c r="D458" s="694"/>
      <c r="E458" s="694"/>
      <c r="F458" s="694"/>
      <c r="G458" s="692"/>
      <c r="H458" s="694"/>
      <c r="I458" s="694"/>
      <c r="J458" s="692"/>
      <c r="K458" s="692"/>
      <c r="L458" s="694"/>
      <c r="M458" s="694"/>
      <c r="N458" s="694"/>
      <c r="O458" s="694"/>
      <c r="P458" s="280"/>
      <c r="Q458" s="280"/>
      <c r="R458" s="280"/>
      <c r="S458" s="694"/>
      <c r="T458" s="694"/>
      <c r="U458" s="694"/>
      <c r="V458" s="1"/>
      <c r="W458" s="1"/>
      <c r="X458" s="1"/>
      <c r="Y458" s="1"/>
      <c r="Z458" s="1"/>
    </row>
    <row r="459" ht="14.25" customHeight="1">
      <c r="A459" s="1"/>
      <c r="B459" s="694"/>
      <c r="C459" s="694"/>
      <c r="D459" s="694"/>
      <c r="E459" s="694"/>
      <c r="F459" s="694"/>
      <c r="G459" s="692"/>
      <c r="H459" s="694"/>
      <c r="I459" s="694"/>
      <c r="J459" s="692"/>
      <c r="K459" s="692"/>
      <c r="L459" s="694"/>
      <c r="M459" s="694"/>
      <c r="N459" s="694"/>
      <c r="O459" s="694"/>
      <c r="P459" s="280"/>
      <c r="Q459" s="280"/>
      <c r="R459" s="280"/>
      <c r="S459" s="694"/>
      <c r="T459" s="694"/>
      <c r="U459" s="694"/>
      <c r="V459" s="1"/>
      <c r="W459" s="1"/>
      <c r="X459" s="1"/>
      <c r="Y459" s="1"/>
      <c r="Z459" s="1"/>
    </row>
    <row r="460" ht="14.25" customHeight="1">
      <c r="A460" s="1"/>
      <c r="B460" s="694"/>
      <c r="C460" s="694"/>
      <c r="D460" s="694"/>
      <c r="E460" s="694"/>
      <c r="F460" s="694"/>
      <c r="G460" s="692"/>
      <c r="H460" s="694"/>
      <c r="I460" s="694"/>
      <c r="J460" s="692"/>
      <c r="K460" s="692"/>
      <c r="L460" s="694"/>
      <c r="M460" s="694"/>
      <c r="N460" s="694"/>
      <c r="O460" s="694"/>
      <c r="P460" s="280"/>
      <c r="Q460" s="280"/>
      <c r="R460" s="280"/>
      <c r="S460" s="694"/>
      <c r="T460" s="694"/>
      <c r="U460" s="694"/>
      <c r="V460" s="1"/>
      <c r="W460" s="1"/>
      <c r="X460" s="1"/>
      <c r="Y460" s="1"/>
      <c r="Z460" s="1"/>
    </row>
    <row r="461" ht="14.25" customHeight="1">
      <c r="A461" s="1"/>
      <c r="B461" s="694"/>
      <c r="C461" s="694"/>
      <c r="D461" s="694"/>
      <c r="E461" s="694"/>
      <c r="F461" s="694"/>
      <c r="G461" s="692"/>
      <c r="H461" s="694"/>
      <c r="I461" s="694"/>
      <c r="J461" s="692"/>
      <c r="K461" s="692"/>
      <c r="L461" s="694"/>
      <c r="M461" s="694"/>
      <c r="N461" s="694"/>
      <c r="O461" s="694"/>
      <c r="P461" s="280"/>
      <c r="Q461" s="280"/>
      <c r="R461" s="280"/>
      <c r="S461" s="694"/>
      <c r="T461" s="694"/>
      <c r="U461" s="694"/>
      <c r="V461" s="1"/>
      <c r="W461" s="1"/>
      <c r="X461" s="1"/>
      <c r="Y461" s="1"/>
      <c r="Z461" s="1"/>
    </row>
    <row r="462" ht="14.25" customHeight="1">
      <c r="A462" s="1"/>
      <c r="B462" s="694"/>
      <c r="C462" s="694"/>
      <c r="D462" s="694"/>
      <c r="E462" s="694"/>
      <c r="F462" s="694"/>
      <c r="G462" s="692"/>
      <c r="H462" s="694"/>
      <c r="I462" s="694"/>
      <c r="J462" s="692"/>
      <c r="K462" s="692"/>
      <c r="L462" s="694"/>
      <c r="M462" s="694"/>
      <c r="N462" s="694"/>
      <c r="O462" s="694"/>
      <c r="P462" s="280"/>
      <c r="Q462" s="280"/>
      <c r="R462" s="280"/>
      <c r="S462" s="694"/>
      <c r="T462" s="694"/>
      <c r="U462" s="694"/>
      <c r="V462" s="1"/>
      <c r="W462" s="1"/>
      <c r="X462" s="1"/>
      <c r="Y462" s="1"/>
      <c r="Z462" s="1"/>
    </row>
    <row r="463" ht="14.25" customHeight="1">
      <c r="A463" s="1"/>
      <c r="B463" s="694"/>
      <c r="C463" s="694"/>
      <c r="D463" s="694"/>
      <c r="E463" s="694"/>
      <c r="F463" s="694"/>
      <c r="G463" s="692"/>
      <c r="H463" s="694"/>
      <c r="I463" s="694"/>
      <c r="J463" s="692"/>
      <c r="K463" s="692"/>
      <c r="L463" s="694"/>
      <c r="M463" s="694"/>
      <c r="N463" s="694"/>
      <c r="O463" s="694"/>
      <c r="P463" s="280"/>
      <c r="Q463" s="280"/>
      <c r="R463" s="280"/>
      <c r="S463" s="694"/>
      <c r="T463" s="694"/>
      <c r="U463" s="694"/>
      <c r="V463" s="1"/>
      <c r="W463" s="1"/>
      <c r="X463" s="1"/>
      <c r="Y463" s="1"/>
      <c r="Z463" s="1"/>
    </row>
    <row r="464" ht="14.25" customHeight="1">
      <c r="A464" s="1"/>
      <c r="B464" s="694"/>
      <c r="C464" s="694"/>
      <c r="D464" s="694"/>
      <c r="E464" s="694"/>
      <c r="F464" s="694"/>
      <c r="G464" s="692"/>
      <c r="H464" s="694"/>
      <c r="I464" s="694"/>
      <c r="J464" s="692"/>
      <c r="K464" s="692"/>
      <c r="L464" s="694"/>
      <c r="M464" s="694"/>
      <c r="N464" s="694"/>
      <c r="O464" s="694"/>
      <c r="P464" s="280"/>
      <c r="Q464" s="280"/>
      <c r="R464" s="280"/>
      <c r="S464" s="694"/>
      <c r="T464" s="694"/>
      <c r="U464" s="694"/>
      <c r="V464" s="1"/>
      <c r="W464" s="1"/>
      <c r="X464" s="1"/>
      <c r="Y464" s="1"/>
      <c r="Z464" s="1"/>
    </row>
    <row r="465" ht="14.25" customHeight="1">
      <c r="A465" s="1"/>
      <c r="B465" s="694"/>
      <c r="C465" s="694"/>
      <c r="D465" s="694"/>
      <c r="E465" s="694"/>
      <c r="F465" s="694"/>
      <c r="G465" s="692"/>
      <c r="H465" s="694"/>
      <c r="I465" s="694"/>
      <c r="J465" s="692"/>
      <c r="K465" s="692"/>
      <c r="L465" s="694"/>
      <c r="M465" s="694"/>
      <c r="N465" s="694"/>
      <c r="O465" s="694"/>
      <c r="P465" s="280"/>
      <c r="Q465" s="280"/>
      <c r="R465" s="280"/>
      <c r="S465" s="694"/>
      <c r="T465" s="694"/>
      <c r="U465" s="694"/>
      <c r="V465" s="1"/>
      <c r="W465" s="1"/>
      <c r="X465" s="1"/>
      <c r="Y465" s="1"/>
      <c r="Z465" s="1"/>
    </row>
    <row r="466" ht="14.25" customHeight="1">
      <c r="A466" s="1"/>
      <c r="B466" s="694"/>
      <c r="C466" s="694"/>
      <c r="D466" s="694"/>
      <c r="E466" s="694"/>
      <c r="F466" s="694"/>
      <c r="G466" s="692"/>
      <c r="H466" s="694"/>
      <c r="I466" s="694"/>
      <c r="J466" s="692"/>
      <c r="K466" s="692"/>
      <c r="L466" s="694"/>
      <c r="M466" s="694"/>
      <c r="N466" s="694"/>
      <c r="O466" s="694"/>
      <c r="P466" s="280"/>
      <c r="Q466" s="280"/>
      <c r="R466" s="280"/>
      <c r="S466" s="694"/>
      <c r="T466" s="694"/>
      <c r="U466" s="694"/>
      <c r="V466" s="1"/>
      <c r="W466" s="1"/>
      <c r="X466" s="1"/>
      <c r="Y466" s="1"/>
      <c r="Z466" s="1"/>
    </row>
    <row r="467" ht="14.25" customHeight="1">
      <c r="A467" s="1"/>
      <c r="B467" s="694"/>
      <c r="C467" s="694"/>
      <c r="D467" s="694"/>
      <c r="E467" s="694"/>
      <c r="F467" s="694"/>
      <c r="G467" s="692"/>
      <c r="H467" s="694"/>
      <c r="I467" s="694"/>
      <c r="J467" s="692"/>
      <c r="K467" s="692"/>
      <c r="L467" s="694"/>
      <c r="M467" s="694"/>
      <c r="N467" s="694"/>
      <c r="O467" s="694"/>
      <c r="P467" s="280"/>
      <c r="Q467" s="280"/>
      <c r="R467" s="280"/>
      <c r="S467" s="694"/>
      <c r="T467" s="694"/>
      <c r="U467" s="694"/>
      <c r="V467" s="1"/>
      <c r="W467" s="1"/>
      <c r="X467" s="1"/>
      <c r="Y467" s="1"/>
      <c r="Z467" s="1"/>
    </row>
    <row r="468" ht="14.25" customHeight="1">
      <c r="A468" s="1"/>
      <c r="B468" s="694"/>
      <c r="C468" s="694"/>
      <c r="D468" s="694"/>
      <c r="E468" s="694"/>
      <c r="F468" s="694"/>
      <c r="G468" s="692"/>
      <c r="H468" s="694"/>
      <c r="I468" s="694"/>
      <c r="J468" s="692"/>
      <c r="K468" s="692"/>
      <c r="L468" s="694"/>
      <c r="M468" s="694"/>
      <c r="N468" s="694"/>
      <c r="O468" s="694"/>
      <c r="P468" s="280"/>
      <c r="Q468" s="280"/>
      <c r="R468" s="280"/>
      <c r="S468" s="694"/>
      <c r="T468" s="694"/>
      <c r="U468" s="694"/>
      <c r="V468" s="1"/>
      <c r="W468" s="1"/>
      <c r="X468" s="1"/>
      <c r="Y468" s="1"/>
      <c r="Z468" s="1"/>
    </row>
    <row r="469" ht="14.25" customHeight="1">
      <c r="A469" s="1"/>
      <c r="B469" s="694"/>
      <c r="C469" s="694"/>
      <c r="D469" s="694"/>
      <c r="E469" s="694"/>
      <c r="F469" s="694"/>
      <c r="G469" s="692"/>
      <c r="H469" s="694"/>
      <c r="I469" s="694"/>
      <c r="J469" s="692"/>
      <c r="K469" s="692"/>
      <c r="L469" s="694"/>
      <c r="M469" s="694"/>
      <c r="N469" s="694"/>
      <c r="O469" s="694"/>
      <c r="P469" s="280"/>
      <c r="Q469" s="280"/>
      <c r="R469" s="280"/>
      <c r="S469" s="694"/>
      <c r="T469" s="694"/>
      <c r="U469" s="694"/>
      <c r="V469" s="1"/>
      <c r="W469" s="1"/>
      <c r="X469" s="1"/>
      <c r="Y469" s="1"/>
      <c r="Z469" s="1"/>
    </row>
    <row r="470" ht="14.25" customHeight="1">
      <c r="A470" s="1"/>
      <c r="B470" s="694"/>
      <c r="C470" s="694"/>
      <c r="D470" s="694"/>
      <c r="E470" s="694"/>
      <c r="F470" s="694"/>
      <c r="G470" s="692"/>
      <c r="H470" s="694"/>
      <c r="I470" s="694"/>
      <c r="J470" s="692"/>
      <c r="K470" s="692"/>
      <c r="L470" s="694"/>
      <c r="M470" s="694"/>
      <c r="N470" s="694"/>
      <c r="O470" s="694"/>
      <c r="P470" s="280"/>
      <c r="Q470" s="280"/>
      <c r="R470" s="280"/>
      <c r="S470" s="694"/>
      <c r="T470" s="694"/>
      <c r="U470" s="694"/>
      <c r="V470" s="1"/>
      <c r="W470" s="1"/>
      <c r="X470" s="1"/>
      <c r="Y470" s="1"/>
      <c r="Z470" s="1"/>
    </row>
    <row r="471" ht="14.25" customHeight="1">
      <c r="A471" s="1"/>
      <c r="B471" s="694"/>
      <c r="C471" s="694"/>
      <c r="D471" s="694"/>
      <c r="E471" s="694"/>
      <c r="F471" s="694"/>
      <c r="G471" s="692"/>
      <c r="H471" s="694"/>
      <c r="I471" s="694"/>
      <c r="J471" s="692"/>
      <c r="K471" s="692"/>
      <c r="L471" s="694"/>
      <c r="M471" s="694"/>
      <c r="N471" s="694"/>
      <c r="O471" s="694"/>
      <c r="P471" s="280"/>
      <c r="Q471" s="280"/>
      <c r="R471" s="280"/>
      <c r="S471" s="694"/>
      <c r="T471" s="694"/>
      <c r="U471" s="694"/>
      <c r="V471" s="1"/>
      <c r="W471" s="1"/>
      <c r="X471" s="1"/>
      <c r="Y471" s="1"/>
      <c r="Z471" s="1"/>
    </row>
    <row r="472" ht="14.25" customHeight="1">
      <c r="A472" s="1"/>
      <c r="B472" s="694"/>
      <c r="C472" s="694"/>
      <c r="D472" s="694"/>
      <c r="E472" s="694"/>
      <c r="F472" s="694"/>
      <c r="G472" s="692"/>
      <c r="H472" s="694"/>
      <c r="I472" s="694"/>
      <c r="J472" s="692"/>
      <c r="K472" s="692"/>
      <c r="L472" s="694"/>
      <c r="M472" s="694"/>
      <c r="N472" s="694"/>
      <c r="O472" s="694"/>
      <c r="P472" s="280"/>
      <c r="Q472" s="280"/>
      <c r="R472" s="280"/>
      <c r="S472" s="694"/>
      <c r="T472" s="694"/>
      <c r="U472" s="694"/>
      <c r="V472" s="1"/>
      <c r="W472" s="1"/>
      <c r="X472" s="1"/>
      <c r="Y472" s="1"/>
      <c r="Z472" s="1"/>
    </row>
    <row r="473" ht="14.25" customHeight="1">
      <c r="A473" s="1"/>
      <c r="B473" s="694"/>
      <c r="C473" s="694"/>
      <c r="D473" s="694"/>
      <c r="E473" s="694"/>
      <c r="F473" s="694"/>
      <c r="G473" s="692"/>
      <c r="H473" s="694"/>
      <c r="I473" s="694"/>
      <c r="J473" s="692"/>
      <c r="K473" s="692"/>
      <c r="L473" s="694"/>
      <c r="M473" s="694"/>
      <c r="N473" s="694"/>
      <c r="O473" s="694"/>
      <c r="P473" s="280"/>
      <c r="Q473" s="280"/>
      <c r="R473" s="280"/>
      <c r="S473" s="694"/>
      <c r="T473" s="694"/>
      <c r="U473" s="694"/>
      <c r="V473" s="1"/>
      <c r="W473" s="1"/>
      <c r="X473" s="1"/>
      <c r="Y473" s="1"/>
      <c r="Z473" s="1"/>
    </row>
    <row r="474" ht="14.25" customHeight="1">
      <c r="A474" s="1"/>
      <c r="B474" s="694"/>
      <c r="C474" s="694"/>
      <c r="D474" s="694"/>
      <c r="E474" s="694"/>
      <c r="F474" s="694"/>
      <c r="G474" s="692"/>
      <c r="H474" s="694"/>
      <c r="I474" s="694"/>
      <c r="J474" s="692"/>
      <c r="K474" s="692"/>
      <c r="L474" s="694"/>
      <c r="M474" s="694"/>
      <c r="N474" s="694"/>
      <c r="O474" s="694"/>
      <c r="P474" s="280"/>
      <c r="Q474" s="280"/>
      <c r="R474" s="280"/>
      <c r="S474" s="694"/>
      <c r="T474" s="694"/>
      <c r="U474" s="694"/>
      <c r="V474" s="1"/>
      <c r="W474" s="1"/>
      <c r="X474" s="1"/>
      <c r="Y474" s="1"/>
      <c r="Z474" s="1"/>
    </row>
    <row r="475" ht="14.25" customHeight="1">
      <c r="A475" s="1"/>
      <c r="B475" s="694"/>
      <c r="C475" s="694"/>
      <c r="D475" s="694"/>
      <c r="E475" s="694"/>
      <c r="F475" s="694"/>
      <c r="G475" s="692"/>
      <c r="H475" s="694"/>
      <c r="I475" s="694"/>
      <c r="J475" s="692"/>
      <c r="K475" s="692"/>
      <c r="L475" s="694"/>
      <c r="M475" s="694"/>
      <c r="N475" s="694"/>
      <c r="O475" s="694"/>
      <c r="P475" s="280"/>
      <c r="Q475" s="280"/>
      <c r="R475" s="280"/>
      <c r="S475" s="694"/>
      <c r="T475" s="694"/>
      <c r="U475" s="694"/>
      <c r="V475" s="1"/>
      <c r="W475" s="1"/>
      <c r="X475" s="1"/>
      <c r="Y475" s="1"/>
      <c r="Z475" s="1"/>
    </row>
    <row r="476" ht="14.25" customHeight="1">
      <c r="A476" s="1"/>
      <c r="B476" s="694"/>
      <c r="C476" s="694"/>
      <c r="D476" s="694"/>
      <c r="E476" s="694"/>
      <c r="F476" s="694"/>
      <c r="G476" s="692"/>
      <c r="H476" s="694"/>
      <c r="I476" s="694"/>
      <c r="J476" s="692"/>
      <c r="K476" s="692"/>
      <c r="L476" s="694"/>
      <c r="M476" s="694"/>
      <c r="N476" s="694"/>
      <c r="O476" s="694"/>
      <c r="P476" s="280"/>
      <c r="Q476" s="280"/>
      <c r="R476" s="280"/>
      <c r="S476" s="694"/>
      <c r="T476" s="694"/>
      <c r="U476" s="694"/>
      <c r="V476" s="1"/>
      <c r="W476" s="1"/>
      <c r="X476" s="1"/>
      <c r="Y476" s="1"/>
      <c r="Z476" s="1"/>
    </row>
    <row r="477" ht="14.25" customHeight="1">
      <c r="A477" s="1"/>
      <c r="B477" s="694"/>
      <c r="C477" s="694"/>
      <c r="D477" s="694"/>
      <c r="E477" s="694"/>
      <c r="F477" s="694"/>
      <c r="G477" s="692"/>
      <c r="H477" s="694"/>
      <c r="I477" s="694"/>
      <c r="J477" s="692"/>
      <c r="K477" s="692"/>
      <c r="L477" s="694"/>
      <c r="M477" s="694"/>
      <c r="N477" s="694"/>
      <c r="O477" s="694"/>
      <c r="P477" s="280"/>
      <c r="Q477" s="280"/>
      <c r="R477" s="280"/>
      <c r="S477" s="694"/>
      <c r="T477" s="694"/>
      <c r="U477" s="694"/>
      <c r="V477" s="1"/>
      <c r="W477" s="1"/>
      <c r="X477" s="1"/>
      <c r="Y477" s="1"/>
      <c r="Z477" s="1"/>
    </row>
    <row r="478" ht="14.25" customHeight="1">
      <c r="A478" s="1"/>
      <c r="B478" s="694"/>
      <c r="C478" s="694"/>
      <c r="D478" s="694"/>
      <c r="E478" s="694"/>
      <c r="F478" s="694"/>
      <c r="G478" s="692"/>
      <c r="H478" s="694"/>
      <c r="I478" s="694"/>
      <c r="J478" s="692"/>
      <c r="K478" s="692"/>
      <c r="L478" s="694"/>
      <c r="M478" s="694"/>
      <c r="N478" s="694"/>
      <c r="O478" s="694"/>
      <c r="P478" s="280"/>
      <c r="Q478" s="280"/>
      <c r="R478" s="280"/>
      <c r="S478" s="694"/>
      <c r="T478" s="694"/>
      <c r="U478" s="694"/>
      <c r="V478" s="1"/>
      <c r="W478" s="1"/>
      <c r="X478" s="1"/>
      <c r="Y478" s="1"/>
      <c r="Z478" s="1"/>
    </row>
    <row r="479" ht="14.25" customHeight="1">
      <c r="A479" s="1"/>
      <c r="B479" s="694"/>
      <c r="C479" s="694"/>
      <c r="D479" s="694"/>
      <c r="E479" s="694"/>
      <c r="F479" s="694"/>
      <c r="G479" s="692"/>
      <c r="H479" s="694"/>
      <c r="I479" s="694"/>
      <c r="J479" s="692"/>
      <c r="K479" s="692"/>
      <c r="L479" s="694"/>
      <c r="M479" s="694"/>
      <c r="N479" s="694"/>
      <c r="O479" s="694"/>
      <c r="P479" s="280"/>
      <c r="Q479" s="280"/>
      <c r="R479" s="280"/>
      <c r="S479" s="694"/>
      <c r="T479" s="694"/>
      <c r="U479" s="694"/>
      <c r="V479" s="1"/>
      <c r="W479" s="1"/>
      <c r="X479" s="1"/>
      <c r="Y479" s="1"/>
      <c r="Z479" s="1"/>
    </row>
    <row r="480" ht="14.25" customHeight="1">
      <c r="A480" s="1"/>
      <c r="B480" s="694"/>
      <c r="C480" s="694"/>
      <c r="D480" s="694"/>
      <c r="E480" s="694"/>
      <c r="F480" s="694"/>
      <c r="G480" s="692"/>
      <c r="H480" s="694"/>
      <c r="I480" s="694"/>
      <c r="J480" s="692"/>
      <c r="K480" s="692"/>
      <c r="L480" s="694"/>
      <c r="M480" s="694"/>
      <c r="N480" s="694"/>
      <c r="O480" s="694"/>
      <c r="P480" s="280"/>
      <c r="Q480" s="280"/>
      <c r="R480" s="280"/>
      <c r="S480" s="694"/>
      <c r="T480" s="694"/>
      <c r="U480" s="694"/>
      <c r="V480" s="1"/>
      <c r="W480" s="1"/>
      <c r="X480" s="1"/>
      <c r="Y480" s="1"/>
      <c r="Z480" s="1"/>
    </row>
    <row r="481" ht="14.25" customHeight="1">
      <c r="A481" s="1"/>
      <c r="B481" s="694"/>
      <c r="C481" s="694"/>
      <c r="D481" s="694"/>
      <c r="E481" s="694"/>
      <c r="F481" s="694"/>
      <c r="G481" s="692"/>
      <c r="H481" s="694"/>
      <c r="I481" s="694"/>
      <c r="J481" s="692"/>
      <c r="K481" s="692"/>
      <c r="L481" s="694"/>
      <c r="M481" s="694"/>
      <c r="N481" s="694"/>
      <c r="O481" s="694"/>
      <c r="P481" s="280"/>
      <c r="Q481" s="280"/>
      <c r="R481" s="280"/>
      <c r="S481" s="694"/>
      <c r="T481" s="694"/>
      <c r="U481" s="694"/>
      <c r="V481" s="1"/>
      <c r="W481" s="1"/>
      <c r="X481" s="1"/>
      <c r="Y481" s="1"/>
      <c r="Z481" s="1"/>
    </row>
    <row r="482" ht="14.25" customHeight="1">
      <c r="A482" s="1"/>
      <c r="B482" s="694"/>
      <c r="C482" s="694"/>
      <c r="D482" s="694"/>
      <c r="E482" s="694"/>
      <c r="F482" s="694"/>
      <c r="G482" s="692"/>
      <c r="H482" s="694"/>
      <c r="I482" s="694"/>
      <c r="J482" s="692"/>
      <c r="K482" s="692"/>
      <c r="L482" s="694"/>
      <c r="M482" s="694"/>
      <c r="N482" s="694"/>
      <c r="O482" s="694"/>
      <c r="P482" s="280"/>
      <c r="Q482" s="280"/>
      <c r="R482" s="280"/>
      <c r="S482" s="694"/>
      <c r="T482" s="694"/>
      <c r="U482" s="694"/>
      <c r="V482" s="1"/>
      <c r="W482" s="1"/>
      <c r="X482" s="1"/>
      <c r="Y482" s="1"/>
      <c r="Z482" s="1"/>
    </row>
    <row r="483" ht="14.25" customHeight="1">
      <c r="A483" s="1"/>
      <c r="B483" s="694"/>
      <c r="C483" s="694"/>
      <c r="D483" s="694"/>
      <c r="E483" s="694"/>
      <c r="F483" s="694"/>
      <c r="G483" s="692"/>
      <c r="H483" s="694"/>
      <c r="I483" s="694"/>
      <c r="J483" s="692"/>
      <c r="K483" s="692"/>
      <c r="L483" s="694"/>
      <c r="M483" s="694"/>
      <c r="N483" s="694"/>
      <c r="O483" s="694"/>
      <c r="P483" s="280"/>
      <c r="Q483" s="280"/>
      <c r="R483" s="280"/>
      <c r="S483" s="694"/>
      <c r="T483" s="694"/>
      <c r="U483" s="694"/>
      <c r="V483" s="1"/>
      <c r="W483" s="1"/>
      <c r="X483" s="1"/>
      <c r="Y483" s="1"/>
      <c r="Z483" s="1"/>
    </row>
    <row r="484" ht="14.25" customHeight="1">
      <c r="A484" s="1"/>
      <c r="B484" s="694"/>
      <c r="C484" s="694"/>
      <c r="D484" s="694"/>
      <c r="E484" s="694"/>
      <c r="F484" s="694"/>
      <c r="G484" s="692"/>
      <c r="H484" s="694"/>
      <c r="I484" s="694"/>
      <c r="J484" s="692"/>
      <c r="K484" s="692"/>
      <c r="L484" s="694"/>
      <c r="M484" s="694"/>
      <c r="N484" s="694"/>
      <c r="O484" s="694"/>
      <c r="P484" s="280"/>
      <c r="Q484" s="280"/>
      <c r="R484" s="280"/>
      <c r="S484" s="694"/>
      <c r="T484" s="694"/>
      <c r="U484" s="694"/>
      <c r="V484" s="1"/>
      <c r="W484" s="1"/>
      <c r="X484" s="1"/>
      <c r="Y484" s="1"/>
      <c r="Z484" s="1"/>
    </row>
    <row r="485" ht="14.25" customHeight="1">
      <c r="A485" s="1"/>
      <c r="B485" s="694"/>
      <c r="C485" s="694"/>
      <c r="D485" s="694"/>
      <c r="E485" s="694"/>
      <c r="F485" s="694"/>
      <c r="G485" s="692"/>
      <c r="H485" s="694"/>
      <c r="I485" s="694"/>
      <c r="J485" s="692"/>
      <c r="K485" s="692"/>
      <c r="L485" s="694"/>
      <c r="M485" s="694"/>
      <c r="N485" s="694"/>
      <c r="O485" s="694"/>
      <c r="P485" s="280"/>
      <c r="Q485" s="280"/>
      <c r="R485" s="280"/>
      <c r="S485" s="694"/>
      <c r="T485" s="694"/>
      <c r="U485" s="694"/>
      <c r="V485" s="1"/>
      <c r="W485" s="1"/>
      <c r="X485" s="1"/>
      <c r="Y485" s="1"/>
      <c r="Z485" s="1"/>
    </row>
    <row r="486" ht="14.25" customHeight="1">
      <c r="A486" s="1"/>
      <c r="B486" s="694"/>
      <c r="C486" s="694"/>
      <c r="D486" s="694"/>
      <c r="E486" s="694"/>
      <c r="F486" s="694"/>
      <c r="G486" s="692"/>
      <c r="H486" s="694"/>
      <c r="I486" s="694"/>
      <c r="J486" s="692"/>
      <c r="K486" s="692"/>
      <c r="L486" s="694"/>
      <c r="M486" s="694"/>
      <c r="N486" s="694"/>
      <c r="O486" s="694"/>
      <c r="P486" s="280"/>
      <c r="Q486" s="280"/>
      <c r="R486" s="280"/>
      <c r="S486" s="694"/>
      <c r="T486" s="694"/>
      <c r="U486" s="694"/>
      <c r="V486" s="1"/>
      <c r="W486" s="1"/>
      <c r="X486" s="1"/>
      <c r="Y486" s="1"/>
      <c r="Z486" s="1"/>
    </row>
    <row r="487" ht="14.25" customHeight="1">
      <c r="A487" s="1"/>
      <c r="B487" s="694"/>
      <c r="C487" s="694"/>
      <c r="D487" s="694"/>
      <c r="E487" s="694"/>
      <c r="F487" s="694"/>
      <c r="G487" s="692"/>
      <c r="H487" s="694"/>
      <c r="I487" s="694"/>
      <c r="J487" s="692"/>
      <c r="K487" s="692"/>
      <c r="L487" s="694"/>
      <c r="M487" s="694"/>
      <c r="N487" s="694"/>
      <c r="O487" s="694"/>
      <c r="P487" s="280"/>
      <c r="Q487" s="280"/>
      <c r="R487" s="280"/>
      <c r="S487" s="694"/>
      <c r="T487" s="694"/>
      <c r="U487" s="694"/>
      <c r="V487" s="1"/>
      <c r="W487" s="1"/>
      <c r="X487" s="1"/>
      <c r="Y487" s="1"/>
      <c r="Z487" s="1"/>
    </row>
    <row r="488" ht="14.25" customHeight="1">
      <c r="A488" s="1"/>
      <c r="B488" s="694"/>
      <c r="C488" s="694"/>
      <c r="D488" s="694"/>
      <c r="E488" s="694"/>
      <c r="F488" s="694"/>
      <c r="G488" s="692"/>
      <c r="H488" s="694"/>
      <c r="I488" s="694"/>
      <c r="J488" s="692"/>
      <c r="K488" s="692"/>
      <c r="L488" s="694"/>
      <c r="M488" s="694"/>
      <c r="N488" s="694"/>
      <c r="O488" s="694"/>
      <c r="P488" s="280"/>
      <c r="Q488" s="280"/>
      <c r="R488" s="280"/>
      <c r="S488" s="694"/>
      <c r="T488" s="694"/>
      <c r="U488" s="694"/>
      <c r="V488" s="1"/>
      <c r="W488" s="1"/>
      <c r="X488" s="1"/>
      <c r="Y488" s="1"/>
      <c r="Z488" s="1"/>
    </row>
    <row r="489" ht="14.25" customHeight="1">
      <c r="A489" s="1"/>
      <c r="B489" s="694"/>
      <c r="C489" s="694"/>
      <c r="D489" s="694"/>
      <c r="E489" s="694"/>
      <c r="F489" s="694"/>
      <c r="G489" s="692"/>
      <c r="H489" s="694"/>
      <c r="I489" s="694"/>
      <c r="J489" s="692"/>
      <c r="K489" s="692"/>
      <c r="L489" s="694"/>
      <c r="M489" s="694"/>
      <c r="N489" s="694"/>
      <c r="O489" s="694"/>
      <c r="P489" s="280"/>
      <c r="Q489" s="280"/>
      <c r="R489" s="280"/>
      <c r="S489" s="694"/>
      <c r="T489" s="694"/>
      <c r="U489" s="694"/>
      <c r="V489" s="1"/>
      <c r="W489" s="1"/>
      <c r="X489" s="1"/>
      <c r="Y489" s="1"/>
      <c r="Z489" s="1"/>
    </row>
    <row r="490" ht="14.25" customHeight="1">
      <c r="A490" s="1"/>
      <c r="B490" s="694"/>
      <c r="C490" s="694"/>
      <c r="D490" s="694"/>
      <c r="E490" s="694"/>
      <c r="F490" s="694"/>
      <c r="G490" s="692"/>
      <c r="H490" s="694"/>
      <c r="I490" s="694"/>
      <c r="J490" s="692"/>
      <c r="K490" s="692"/>
      <c r="L490" s="694"/>
      <c r="M490" s="694"/>
      <c r="N490" s="694"/>
      <c r="O490" s="694"/>
      <c r="P490" s="280"/>
      <c r="Q490" s="280"/>
      <c r="R490" s="280"/>
      <c r="S490" s="694"/>
      <c r="T490" s="694"/>
      <c r="U490" s="694"/>
      <c r="V490" s="1"/>
      <c r="W490" s="1"/>
      <c r="X490" s="1"/>
      <c r="Y490" s="1"/>
      <c r="Z490" s="1"/>
    </row>
    <row r="491" ht="14.25" customHeight="1">
      <c r="A491" s="1"/>
      <c r="B491" s="694"/>
      <c r="C491" s="694"/>
      <c r="D491" s="694"/>
      <c r="E491" s="694"/>
      <c r="F491" s="694"/>
      <c r="G491" s="692"/>
      <c r="H491" s="694"/>
      <c r="I491" s="694"/>
      <c r="J491" s="692"/>
      <c r="K491" s="692"/>
      <c r="L491" s="694"/>
      <c r="M491" s="694"/>
      <c r="N491" s="694"/>
      <c r="O491" s="694"/>
      <c r="P491" s="280"/>
      <c r="Q491" s="280"/>
      <c r="R491" s="280"/>
      <c r="S491" s="694"/>
      <c r="T491" s="694"/>
      <c r="U491" s="694"/>
      <c r="V491" s="1"/>
      <c r="W491" s="1"/>
      <c r="X491" s="1"/>
      <c r="Y491" s="1"/>
      <c r="Z491" s="1"/>
    </row>
    <row r="492" ht="14.25" customHeight="1">
      <c r="A492" s="1"/>
      <c r="B492" s="694"/>
      <c r="C492" s="694"/>
      <c r="D492" s="694"/>
      <c r="E492" s="694"/>
      <c r="F492" s="694"/>
      <c r="G492" s="692"/>
      <c r="H492" s="694"/>
      <c r="I492" s="694"/>
      <c r="J492" s="692"/>
      <c r="K492" s="692"/>
      <c r="L492" s="694"/>
      <c r="M492" s="694"/>
      <c r="N492" s="694"/>
      <c r="O492" s="694"/>
      <c r="P492" s="280"/>
      <c r="Q492" s="280"/>
      <c r="R492" s="280"/>
      <c r="S492" s="694"/>
      <c r="T492" s="694"/>
      <c r="U492" s="694"/>
      <c r="V492" s="1"/>
      <c r="W492" s="1"/>
      <c r="X492" s="1"/>
      <c r="Y492" s="1"/>
      <c r="Z492" s="1"/>
    </row>
    <row r="493" ht="14.25" customHeight="1">
      <c r="A493" s="1"/>
      <c r="B493" s="694"/>
      <c r="C493" s="694"/>
      <c r="D493" s="694"/>
      <c r="E493" s="694"/>
      <c r="F493" s="694"/>
      <c r="G493" s="692"/>
      <c r="H493" s="694"/>
      <c r="I493" s="694"/>
      <c r="J493" s="692"/>
      <c r="K493" s="692"/>
      <c r="L493" s="694"/>
      <c r="M493" s="694"/>
      <c r="N493" s="694"/>
      <c r="O493" s="694"/>
      <c r="P493" s="280"/>
      <c r="Q493" s="280"/>
      <c r="R493" s="280"/>
      <c r="S493" s="694"/>
      <c r="T493" s="694"/>
      <c r="U493" s="694"/>
      <c r="V493" s="1"/>
      <c r="W493" s="1"/>
      <c r="X493" s="1"/>
      <c r="Y493" s="1"/>
      <c r="Z493" s="1"/>
    </row>
    <row r="494" ht="14.25" customHeight="1">
      <c r="A494" s="1"/>
      <c r="B494" s="694"/>
      <c r="C494" s="694"/>
      <c r="D494" s="694"/>
      <c r="E494" s="694"/>
      <c r="F494" s="694"/>
      <c r="G494" s="692"/>
      <c r="H494" s="694"/>
      <c r="I494" s="694"/>
      <c r="J494" s="692"/>
      <c r="K494" s="692"/>
      <c r="L494" s="694"/>
      <c r="M494" s="694"/>
      <c r="N494" s="694"/>
      <c r="O494" s="694"/>
      <c r="P494" s="280"/>
      <c r="Q494" s="280"/>
      <c r="R494" s="280"/>
      <c r="S494" s="694"/>
      <c r="T494" s="694"/>
      <c r="U494" s="694"/>
      <c r="V494" s="1"/>
      <c r="W494" s="1"/>
      <c r="X494" s="1"/>
      <c r="Y494" s="1"/>
      <c r="Z494" s="1"/>
    </row>
    <row r="495" ht="14.25" customHeight="1">
      <c r="A495" s="1"/>
      <c r="B495" s="694"/>
      <c r="C495" s="694"/>
      <c r="D495" s="694"/>
      <c r="E495" s="694"/>
      <c r="F495" s="694"/>
      <c r="G495" s="692"/>
      <c r="H495" s="694"/>
      <c r="I495" s="694"/>
      <c r="J495" s="692"/>
      <c r="K495" s="692"/>
      <c r="L495" s="694"/>
      <c r="M495" s="694"/>
      <c r="N495" s="694"/>
      <c r="O495" s="694"/>
      <c r="P495" s="280"/>
      <c r="Q495" s="280"/>
      <c r="R495" s="280"/>
      <c r="S495" s="694"/>
      <c r="T495" s="694"/>
      <c r="U495" s="694"/>
      <c r="V495" s="1"/>
      <c r="W495" s="1"/>
      <c r="X495" s="1"/>
      <c r="Y495" s="1"/>
      <c r="Z495" s="1"/>
    </row>
    <row r="496" ht="14.25" customHeight="1">
      <c r="A496" s="1"/>
      <c r="B496" s="694"/>
      <c r="C496" s="694"/>
      <c r="D496" s="694"/>
      <c r="E496" s="694"/>
      <c r="F496" s="694"/>
      <c r="G496" s="692"/>
      <c r="H496" s="694"/>
      <c r="I496" s="694"/>
      <c r="J496" s="692"/>
      <c r="K496" s="692"/>
      <c r="L496" s="694"/>
      <c r="M496" s="694"/>
      <c r="N496" s="694"/>
      <c r="O496" s="694"/>
      <c r="P496" s="280"/>
      <c r="Q496" s="280"/>
      <c r="R496" s="280"/>
      <c r="S496" s="694"/>
      <c r="T496" s="694"/>
      <c r="U496" s="694"/>
      <c r="V496" s="1"/>
      <c r="W496" s="1"/>
      <c r="X496" s="1"/>
      <c r="Y496" s="1"/>
      <c r="Z496" s="1"/>
    </row>
    <row r="497" ht="14.25" customHeight="1">
      <c r="A497" s="1"/>
      <c r="B497" s="694"/>
      <c r="C497" s="694"/>
      <c r="D497" s="694"/>
      <c r="E497" s="694"/>
      <c r="F497" s="694"/>
      <c r="G497" s="692"/>
      <c r="H497" s="694"/>
      <c r="I497" s="694"/>
      <c r="J497" s="692"/>
      <c r="K497" s="692"/>
      <c r="L497" s="694"/>
      <c r="M497" s="694"/>
      <c r="N497" s="694"/>
      <c r="O497" s="694"/>
      <c r="P497" s="280"/>
      <c r="Q497" s="280"/>
      <c r="R497" s="280"/>
      <c r="S497" s="694"/>
      <c r="T497" s="694"/>
      <c r="U497" s="694"/>
      <c r="V497" s="1"/>
      <c r="W497" s="1"/>
      <c r="X497" s="1"/>
      <c r="Y497" s="1"/>
      <c r="Z497" s="1"/>
    </row>
    <row r="498" ht="14.25" customHeight="1">
      <c r="A498" s="1"/>
      <c r="B498" s="694"/>
      <c r="C498" s="694"/>
      <c r="D498" s="694"/>
      <c r="E498" s="694"/>
      <c r="F498" s="694"/>
      <c r="G498" s="692"/>
      <c r="H498" s="694"/>
      <c r="I498" s="694"/>
      <c r="J498" s="692"/>
      <c r="K498" s="692"/>
      <c r="L498" s="694"/>
      <c r="M498" s="694"/>
      <c r="N498" s="694"/>
      <c r="O498" s="694"/>
      <c r="P498" s="280"/>
      <c r="Q498" s="280"/>
      <c r="R498" s="280"/>
      <c r="S498" s="694"/>
      <c r="T498" s="694"/>
      <c r="U498" s="694"/>
      <c r="V498" s="1"/>
      <c r="W498" s="1"/>
      <c r="X498" s="1"/>
      <c r="Y498" s="1"/>
      <c r="Z498" s="1"/>
    </row>
    <row r="499" ht="14.25" customHeight="1">
      <c r="A499" s="1"/>
      <c r="B499" s="694"/>
      <c r="C499" s="694"/>
      <c r="D499" s="694"/>
      <c r="E499" s="694"/>
      <c r="F499" s="694"/>
      <c r="G499" s="692"/>
      <c r="H499" s="694"/>
      <c r="I499" s="694"/>
      <c r="J499" s="692"/>
      <c r="K499" s="692"/>
      <c r="L499" s="694"/>
      <c r="M499" s="694"/>
      <c r="N499" s="694"/>
      <c r="O499" s="694"/>
      <c r="P499" s="280"/>
      <c r="Q499" s="280"/>
      <c r="R499" s="280"/>
      <c r="S499" s="694"/>
      <c r="T499" s="694"/>
      <c r="U499" s="694"/>
      <c r="V499" s="1"/>
      <c r="W499" s="1"/>
      <c r="X499" s="1"/>
      <c r="Y499" s="1"/>
      <c r="Z499" s="1"/>
    </row>
    <row r="500" ht="14.25" customHeight="1">
      <c r="A500" s="1"/>
      <c r="B500" s="694"/>
      <c r="C500" s="694"/>
      <c r="D500" s="694"/>
      <c r="E500" s="694"/>
      <c r="F500" s="694"/>
      <c r="G500" s="692"/>
      <c r="H500" s="694"/>
      <c r="I500" s="694"/>
      <c r="J500" s="692"/>
      <c r="K500" s="692"/>
      <c r="L500" s="694"/>
      <c r="M500" s="694"/>
      <c r="N500" s="694"/>
      <c r="O500" s="694"/>
      <c r="P500" s="280"/>
      <c r="Q500" s="280"/>
      <c r="R500" s="280"/>
      <c r="S500" s="694"/>
      <c r="T500" s="694"/>
      <c r="U500" s="694"/>
      <c r="V500" s="1"/>
      <c r="W500" s="1"/>
      <c r="X500" s="1"/>
      <c r="Y500" s="1"/>
      <c r="Z500" s="1"/>
    </row>
    <row r="501" ht="14.25" customHeight="1">
      <c r="A501" s="1"/>
      <c r="B501" s="694"/>
      <c r="C501" s="694"/>
      <c r="D501" s="694"/>
      <c r="E501" s="694"/>
      <c r="F501" s="694"/>
      <c r="G501" s="692"/>
      <c r="H501" s="694"/>
      <c r="I501" s="694"/>
      <c r="J501" s="692"/>
      <c r="K501" s="692"/>
      <c r="L501" s="694"/>
      <c r="M501" s="694"/>
      <c r="N501" s="694"/>
      <c r="O501" s="694"/>
      <c r="P501" s="280"/>
      <c r="Q501" s="280"/>
      <c r="R501" s="280"/>
      <c r="S501" s="694"/>
      <c r="T501" s="694"/>
      <c r="U501" s="694"/>
      <c r="V501" s="1"/>
      <c r="W501" s="1"/>
      <c r="X501" s="1"/>
      <c r="Y501" s="1"/>
      <c r="Z501" s="1"/>
    </row>
    <row r="502" ht="14.25" customHeight="1">
      <c r="A502" s="1"/>
      <c r="B502" s="694"/>
      <c r="C502" s="694"/>
      <c r="D502" s="694"/>
      <c r="E502" s="694"/>
      <c r="F502" s="694"/>
      <c r="G502" s="692"/>
      <c r="H502" s="694"/>
      <c r="I502" s="694"/>
      <c r="J502" s="692"/>
      <c r="K502" s="692"/>
      <c r="L502" s="694"/>
      <c r="M502" s="694"/>
      <c r="N502" s="694"/>
      <c r="O502" s="694"/>
      <c r="P502" s="280"/>
      <c r="Q502" s="280"/>
      <c r="R502" s="280"/>
      <c r="S502" s="694"/>
      <c r="T502" s="694"/>
      <c r="U502" s="694"/>
      <c r="V502" s="1"/>
      <c r="W502" s="1"/>
      <c r="X502" s="1"/>
      <c r="Y502" s="1"/>
      <c r="Z502" s="1"/>
    </row>
    <row r="503" ht="14.25" customHeight="1">
      <c r="A503" s="1"/>
      <c r="B503" s="694"/>
      <c r="C503" s="694"/>
      <c r="D503" s="694"/>
      <c r="E503" s="694"/>
      <c r="F503" s="694"/>
      <c r="G503" s="692"/>
      <c r="H503" s="694"/>
      <c r="I503" s="694"/>
      <c r="J503" s="692"/>
      <c r="K503" s="692"/>
      <c r="L503" s="694"/>
      <c r="M503" s="694"/>
      <c r="N503" s="694"/>
      <c r="O503" s="694"/>
      <c r="P503" s="280"/>
      <c r="Q503" s="280"/>
      <c r="R503" s="280"/>
      <c r="S503" s="694"/>
      <c r="T503" s="694"/>
      <c r="U503" s="694"/>
      <c r="V503" s="1"/>
      <c r="W503" s="1"/>
      <c r="X503" s="1"/>
      <c r="Y503" s="1"/>
      <c r="Z503" s="1"/>
    </row>
    <row r="504" ht="14.25" customHeight="1">
      <c r="A504" s="1"/>
      <c r="B504" s="694"/>
      <c r="C504" s="694"/>
      <c r="D504" s="694"/>
      <c r="E504" s="694"/>
      <c r="F504" s="694"/>
      <c r="G504" s="692"/>
      <c r="H504" s="694"/>
      <c r="I504" s="694"/>
      <c r="J504" s="692"/>
      <c r="K504" s="692"/>
      <c r="L504" s="694"/>
      <c r="M504" s="694"/>
      <c r="N504" s="694"/>
      <c r="O504" s="694"/>
      <c r="P504" s="280"/>
      <c r="Q504" s="280"/>
      <c r="R504" s="280"/>
      <c r="S504" s="694"/>
      <c r="T504" s="694"/>
      <c r="U504" s="694"/>
      <c r="V504" s="1"/>
      <c r="W504" s="1"/>
      <c r="X504" s="1"/>
      <c r="Y504" s="1"/>
      <c r="Z504" s="1"/>
    </row>
    <row r="505" ht="14.25" customHeight="1">
      <c r="A505" s="1"/>
      <c r="B505" s="694"/>
      <c r="C505" s="694"/>
      <c r="D505" s="694"/>
      <c r="E505" s="694"/>
      <c r="F505" s="694"/>
      <c r="G505" s="692"/>
      <c r="H505" s="694"/>
      <c r="I505" s="694"/>
      <c r="J505" s="692"/>
      <c r="K505" s="692"/>
      <c r="L505" s="694"/>
      <c r="M505" s="694"/>
      <c r="N505" s="694"/>
      <c r="O505" s="694"/>
      <c r="P505" s="280"/>
      <c r="Q505" s="280"/>
      <c r="R505" s="280"/>
      <c r="S505" s="694"/>
      <c r="T505" s="694"/>
      <c r="U505" s="694"/>
      <c r="V505" s="1"/>
      <c r="W505" s="1"/>
      <c r="X505" s="1"/>
      <c r="Y505" s="1"/>
      <c r="Z505" s="1"/>
    </row>
    <row r="506" ht="14.25" customHeight="1">
      <c r="A506" s="1"/>
      <c r="B506" s="694"/>
      <c r="C506" s="694"/>
      <c r="D506" s="694"/>
      <c r="E506" s="694"/>
      <c r="F506" s="694"/>
      <c r="G506" s="692"/>
      <c r="H506" s="694"/>
      <c r="I506" s="694"/>
      <c r="J506" s="692"/>
      <c r="K506" s="692"/>
      <c r="L506" s="694"/>
      <c r="M506" s="694"/>
      <c r="N506" s="694"/>
      <c r="O506" s="694"/>
      <c r="P506" s="280"/>
      <c r="Q506" s="280"/>
      <c r="R506" s="280"/>
      <c r="S506" s="694"/>
      <c r="T506" s="694"/>
      <c r="U506" s="694"/>
      <c r="V506" s="1"/>
      <c r="W506" s="1"/>
      <c r="X506" s="1"/>
      <c r="Y506" s="1"/>
      <c r="Z506" s="1"/>
    </row>
    <row r="507" ht="14.25" customHeight="1">
      <c r="A507" s="1"/>
      <c r="B507" s="694"/>
      <c r="C507" s="694"/>
      <c r="D507" s="694"/>
      <c r="E507" s="694"/>
      <c r="F507" s="694"/>
      <c r="G507" s="692"/>
      <c r="H507" s="694"/>
      <c r="I507" s="694"/>
      <c r="J507" s="692"/>
      <c r="K507" s="692"/>
      <c r="L507" s="694"/>
      <c r="M507" s="694"/>
      <c r="N507" s="694"/>
      <c r="O507" s="694"/>
      <c r="P507" s="280"/>
      <c r="Q507" s="280"/>
      <c r="R507" s="280"/>
      <c r="S507" s="694"/>
      <c r="T507" s="694"/>
      <c r="U507" s="694"/>
      <c r="V507" s="1"/>
      <c r="W507" s="1"/>
      <c r="X507" s="1"/>
      <c r="Y507" s="1"/>
      <c r="Z507" s="1"/>
    </row>
    <row r="508" ht="14.25" customHeight="1">
      <c r="A508" s="1"/>
      <c r="B508" s="694"/>
      <c r="C508" s="694"/>
      <c r="D508" s="694"/>
      <c r="E508" s="694"/>
      <c r="F508" s="694"/>
      <c r="G508" s="692"/>
      <c r="H508" s="694"/>
      <c r="I508" s="694"/>
      <c r="J508" s="692"/>
      <c r="K508" s="692"/>
      <c r="L508" s="694"/>
      <c r="M508" s="694"/>
      <c r="N508" s="694"/>
      <c r="O508" s="694"/>
      <c r="P508" s="280"/>
      <c r="Q508" s="280"/>
      <c r="R508" s="280"/>
      <c r="S508" s="694"/>
      <c r="T508" s="694"/>
      <c r="U508" s="694"/>
      <c r="V508" s="1"/>
      <c r="W508" s="1"/>
      <c r="X508" s="1"/>
      <c r="Y508" s="1"/>
      <c r="Z508" s="1"/>
    </row>
    <row r="509" ht="14.25" customHeight="1">
      <c r="A509" s="1"/>
      <c r="B509" s="694"/>
      <c r="C509" s="694"/>
      <c r="D509" s="694"/>
      <c r="E509" s="694"/>
      <c r="F509" s="694"/>
      <c r="G509" s="692"/>
      <c r="H509" s="694"/>
      <c r="I509" s="694"/>
      <c r="J509" s="692"/>
      <c r="K509" s="692"/>
      <c r="L509" s="694"/>
      <c r="M509" s="694"/>
      <c r="N509" s="694"/>
      <c r="O509" s="694"/>
      <c r="P509" s="280"/>
      <c r="Q509" s="280"/>
      <c r="R509" s="280"/>
      <c r="S509" s="694"/>
      <c r="T509" s="694"/>
      <c r="U509" s="694"/>
      <c r="V509" s="1"/>
      <c r="W509" s="1"/>
      <c r="X509" s="1"/>
      <c r="Y509" s="1"/>
      <c r="Z509" s="1"/>
    </row>
    <row r="510" ht="14.25" customHeight="1">
      <c r="A510" s="1"/>
      <c r="B510" s="694"/>
      <c r="C510" s="694"/>
      <c r="D510" s="694"/>
      <c r="E510" s="694"/>
      <c r="F510" s="694"/>
      <c r="G510" s="692"/>
      <c r="H510" s="694"/>
      <c r="I510" s="694"/>
      <c r="J510" s="692"/>
      <c r="K510" s="692"/>
      <c r="L510" s="694"/>
      <c r="M510" s="694"/>
      <c r="N510" s="694"/>
      <c r="O510" s="694"/>
      <c r="P510" s="280"/>
      <c r="Q510" s="280"/>
      <c r="R510" s="280"/>
      <c r="S510" s="694"/>
      <c r="T510" s="694"/>
      <c r="U510" s="694"/>
      <c r="V510" s="1"/>
      <c r="W510" s="1"/>
      <c r="X510" s="1"/>
      <c r="Y510" s="1"/>
      <c r="Z510" s="1"/>
    </row>
    <row r="511" ht="14.25" customHeight="1">
      <c r="A511" s="1"/>
      <c r="B511" s="694"/>
      <c r="C511" s="694"/>
      <c r="D511" s="694"/>
      <c r="E511" s="694"/>
      <c r="F511" s="694"/>
      <c r="G511" s="692"/>
      <c r="H511" s="694"/>
      <c r="I511" s="694"/>
      <c r="J511" s="692"/>
      <c r="K511" s="692"/>
      <c r="L511" s="694"/>
      <c r="M511" s="694"/>
      <c r="N511" s="694"/>
      <c r="O511" s="694"/>
      <c r="P511" s="280"/>
      <c r="Q511" s="280"/>
      <c r="R511" s="280"/>
      <c r="S511" s="694"/>
      <c r="T511" s="694"/>
      <c r="U511" s="694"/>
      <c r="V511" s="1"/>
      <c r="W511" s="1"/>
      <c r="X511" s="1"/>
      <c r="Y511" s="1"/>
      <c r="Z511" s="1"/>
    </row>
    <row r="512" ht="14.25" customHeight="1">
      <c r="A512" s="1"/>
      <c r="B512" s="694"/>
      <c r="C512" s="694"/>
      <c r="D512" s="694"/>
      <c r="E512" s="694"/>
      <c r="F512" s="694"/>
      <c r="G512" s="692"/>
      <c r="H512" s="694"/>
      <c r="I512" s="694"/>
      <c r="J512" s="692"/>
      <c r="K512" s="692"/>
      <c r="L512" s="694"/>
      <c r="M512" s="694"/>
      <c r="N512" s="694"/>
      <c r="O512" s="694"/>
      <c r="P512" s="280"/>
      <c r="Q512" s="280"/>
      <c r="R512" s="280"/>
      <c r="S512" s="694"/>
      <c r="T512" s="694"/>
      <c r="U512" s="694"/>
      <c r="V512" s="1"/>
      <c r="W512" s="1"/>
      <c r="X512" s="1"/>
      <c r="Y512" s="1"/>
      <c r="Z512" s="1"/>
    </row>
    <row r="513" ht="14.25" customHeight="1">
      <c r="A513" s="1"/>
      <c r="B513" s="694"/>
      <c r="C513" s="694"/>
      <c r="D513" s="694"/>
      <c r="E513" s="694"/>
      <c r="F513" s="694"/>
      <c r="G513" s="692"/>
      <c r="H513" s="694"/>
      <c r="I513" s="694"/>
      <c r="J513" s="692"/>
      <c r="K513" s="692"/>
      <c r="L513" s="694"/>
      <c r="M513" s="694"/>
      <c r="N513" s="694"/>
      <c r="O513" s="694"/>
      <c r="P513" s="280"/>
      <c r="Q513" s="280"/>
      <c r="R513" s="280"/>
      <c r="S513" s="694"/>
      <c r="T513" s="694"/>
      <c r="U513" s="694"/>
      <c r="V513" s="1"/>
      <c r="W513" s="1"/>
      <c r="X513" s="1"/>
      <c r="Y513" s="1"/>
      <c r="Z513" s="1"/>
    </row>
    <row r="514" ht="14.25" customHeight="1">
      <c r="A514" s="1"/>
      <c r="B514" s="694"/>
      <c r="C514" s="694"/>
      <c r="D514" s="694"/>
      <c r="E514" s="694"/>
      <c r="F514" s="694"/>
      <c r="G514" s="692"/>
      <c r="H514" s="694"/>
      <c r="I514" s="694"/>
      <c r="J514" s="692"/>
      <c r="K514" s="692"/>
      <c r="L514" s="694"/>
      <c r="M514" s="694"/>
      <c r="N514" s="694"/>
      <c r="O514" s="694"/>
      <c r="P514" s="280"/>
      <c r="Q514" s="280"/>
      <c r="R514" s="280"/>
      <c r="S514" s="694"/>
      <c r="T514" s="694"/>
      <c r="U514" s="694"/>
      <c r="V514" s="1"/>
      <c r="W514" s="1"/>
      <c r="X514" s="1"/>
      <c r="Y514" s="1"/>
      <c r="Z514" s="1"/>
    </row>
    <row r="515" ht="14.25" customHeight="1">
      <c r="A515" s="1"/>
      <c r="B515" s="694"/>
      <c r="C515" s="694"/>
      <c r="D515" s="694"/>
      <c r="E515" s="694"/>
      <c r="F515" s="694"/>
      <c r="G515" s="692"/>
      <c r="H515" s="694"/>
      <c r="I515" s="694"/>
      <c r="J515" s="692"/>
      <c r="K515" s="692"/>
      <c r="L515" s="694"/>
      <c r="M515" s="694"/>
      <c r="N515" s="694"/>
      <c r="O515" s="694"/>
      <c r="P515" s="280"/>
      <c r="Q515" s="280"/>
      <c r="R515" s="280"/>
      <c r="S515" s="694"/>
      <c r="T515" s="694"/>
      <c r="U515" s="694"/>
      <c r="V515" s="1"/>
      <c r="W515" s="1"/>
      <c r="X515" s="1"/>
      <c r="Y515" s="1"/>
      <c r="Z515" s="1"/>
    </row>
    <row r="516" ht="14.25" customHeight="1">
      <c r="A516" s="1"/>
      <c r="B516" s="694"/>
      <c r="C516" s="694"/>
      <c r="D516" s="694"/>
      <c r="E516" s="694"/>
      <c r="F516" s="694"/>
      <c r="G516" s="692"/>
      <c r="H516" s="694"/>
      <c r="I516" s="694"/>
      <c r="J516" s="692"/>
      <c r="K516" s="692"/>
      <c r="L516" s="694"/>
      <c r="M516" s="694"/>
      <c r="N516" s="694"/>
      <c r="O516" s="694"/>
      <c r="P516" s="280"/>
      <c r="Q516" s="280"/>
      <c r="R516" s="280"/>
      <c r="S516" s="694"/>
      <c r="T516" s="694"/>
      <c r="U516" s="694"/>
      <c r="V516" s="1"/>
      <c r="W516" s="1"/>
      <c r="X516" s="1"/>
      <c r="Y516" s="1"/>
      <c r="Z516" s="1"/>
    </row>
    <row r="517" ht="14.25" customHeight="1">
      <c r="A517" s="1"/>
      <c r="B517" s="694"/>
      <c r="C517" s="694"/>
      <c r="D517" s="694"/>
      <c r="E517" s="694"/>
      <c r="F517" s="694"/>
      <c r="G517" s="692"/>
      <c r="H517" s="694"/>
      <c r="I517" s="694"/>
      <c r="J517" s="692"/>
      <c r="K517" s="692"/>
      <c r="L517" s="694"/>
      <c r="M517" s="694"/>
      <c r="N517" s="694"/>
      <c r="O517" s="694"/>
      <c r="P517" s="280"/>
      <c r="Q517" s="280"/>
      <c r="R517" s="280"/>
      <c r="S517" s="694"/>
      <c r="T517" s="694"/>
      <c r="U517" s="694"/>
      <c r="V517" s="1"/>
      <c r="W517" s="1"/>
      <c r="X517" s="1"/>
      <c r="Y517" s="1"/>
      <c r="Z517" s="1"/>
    </row>
    <row r="518" ht="14.25" customHeight="1">
      <c r="A518" s="1"/>
      <c r="B518" s="694"/>
      <c r="C518" s="694"/>
      <c r="D518" s="694"/>
      <c r="E518" s="694"/>
      <c r="F518" s="694"/>
      <c r="G518" s="692"/>
      <c r="H518" s="694"/>
      <c r="I518" s="694"/>
      <c r="J518" s="692"/>
      <c r="K518" s="692"/>
      <c r="L518" s="694"/>
      <c r="M518" s="694"/>
      <c r="N518" s="694"/>
      <c r="O518" s="694"/>
      <c r="P518" s="280"/>
      <c r="Q518" s="280"/>
      <c r="R518" s="280"/>
      <c r="S518" s="694"/>
      <c r="T518" s="694"/>
      <c r="U518" s="694"/>
      <c r="V518" s="1"/>
      <c r="W518" s="1"/>
      <c r="X518" s="1"/>
      <c r="Y518" s="1"/>
      <c r="Z518" s="1"/>
    </row>
    <row r="519" ht="14.25" customHeight="1">
      <c r="A519" s="1"/>
      <c r="B519" s="694"/>
      <c r="C519" s="694"/>
      <c r="D519" s="694"/>
      <c r="E519" s="694"/>
      <c r="F519" s="694"/>
      <c r="G519" s="692"/>
      <c r="H519" s="694"/>
      <c r="I519" s="694"/>
      <c r="J519" s="692"/>
      <c r="K519" s="692"/>
      <c r="L519" s="694"/>
      <c r="M519" s="694"/>
      <c r="N519" s="694"/>
      <c r="O519" s="694"/>
      <c r="P519" s="280"/>
      <c r="Q519" s="280"/>
      <c r="R519" s="280"/>
      <c r="S519" s="694"/>
      <c r="T519" s="694"/>
      <c r="U519" s="694"/>
      <c r="V519" s="1"/>
      <c r="W519" s="1"/>
      <c r="X519" s="1"/>
      <c r="Y519" s="1"/>
      <c r="Z519" s="1"/>
    </row>
    <row r="520" ht="14.25" customHeight="1">
      <c r="A520" s="1"/>
      <c r="B520" s="694"/>
      <c r="C520" s="694"/>
      <c r="D520" s="694"/>
      <c r="E520" s="694"/>
      <c r="F520" s="694"/>
      <c r="G520" s="692"/>
      <c r="H520" s="694"/>
      <c r="I520" s="694"/>
      <c r="J520" s="692"/>
      <c r="K520" s="692"/>
      <c r="L520" s="694"/>
      <c r="M520" s="694"/>
      <c r="N520" s="694"/>
      <c r="O520" s="694"/>
      <c r="P520" s="280"/>
      <c r="Q520" s="280"/>
      <c r="R520" s="280"/>
      <c r="S520" s="694"/>
      <c r="T520" s="694"/>
      <c r="U520" s="694"/>
      <c r="V520" s="1"/>
      <c r="W520" s="1"/>
      <c r="X520" s="1"/>
      <c r="Y520" s="1"/>
      <c r="Z520" s="1"/>
    </row>
    <row r="521" ht="14.25" customHeight="1">
      <c r="A521" s="1"/>
      <c r="B521" s="694"/>
      <c r="C521" s="694"/>
      <c r="D521" s="694"/>
      <c r="E521" s="694"/>
      <c r="F521" s="694"/>
      <c r="G521" s="692"/>
      <c r="H521" s="694"/>
      <c r="I521" s="694"/>
      <c r="J521" s="692"/>
      <c r="K521" s="692"/>
      <c r="L521" s="694"/>
      <c r="M521" s="694"/>
      <c r="N521" s="694"/>
      <c r="O521" s="694"/>
      <c r="P521" s="280"/>
      <c r="Q521" s="280"/>
      <c r="R521" s="280"/>
      <c r="S521" s="694"/>
      <c r="T521" s="694"/>
      <c r="U521" s="694"/>
      <c r="V521" s="1"/>
      <c r="W521" s="1"/>
      <c r="X521" s="1"/>
      <c r="Y521" s="1"/>
      <c r="Z521" s="1"/>
    </row>
    <row r="522" ht="14.25" customHeight="1">
      <c r="A522" s="1"/>
      <c r="B522" s="694"/>
      <c r="C522" s="694"/>
      <c r="D522" s="694"/>
      <c r="E522" s="694"/>
      <c r="F522" s="694"/>
      <c r="G522" s="692"/>
      <c r="H522" s="694"/>
      <c r="I522" s="694"/>
      <c r="J522" s="692"/>
      <c r="K522" s="692"/>
      <c r="L522" s="694"/>
      <c r="M522" s="694"/>
      <c r="N522" s="694"/>
      <c r="O522" s="694"/>
      <c r="P522" s="280"/>
      <c r="Q522" s="280"/>
      <c r="R522" s="280"/>
      <c r="S522" s="694"/>
      <c r="T522" s="694"/>
      <c r="U522" s="694"/>
      <c r="V522" s="1"/>
      <c r="W522" s="1"/>
      <c r="X522" s="1"/>
      <c r="Y522" s="1"/>
      <c r="Z522" s="1"/>
    </row>
    <row r="523" ht="14.25" customHeight="1">
      <c r="A523" s="1"/>
      <c r="B523" s="694"/>
      <c r="C523" s="694"/>
      <c r="D523" s="694"/>
      <c r="E523" s="694"/>
      <c r="F523" s="694"/>
      <c r="G523" s="692"/>
      <c r="H523" s="694"/>
      <c r="I523" s="694"/>
      <c r="J523" s="692"/>
      <c r="K523" s="692"/>
      <c r="L523" s="694"/>
      <c r="M523" s="694"/>
      <c r="N523" s="694"/>
      <c r="O523" s="694"/>
      <c r="P523" s="280"/>
      <c r="Q523" s="280"/>
      <c r="R523" s="280"/>
      <c r="S523" s="694"/>
      <c r="T523" s="694"/>
      <c r="U523" s="694"/>
      <c r="V523" s="1"/>
      <c r="W523" s="1"/>
      <c r="X523" s="1"/>
      <c r="Y523" s="1"/>
      <c r="Z523" s="1"/>
    </row>
    <row r="524" ht="14.25" customHeight="1">
      <c r="A524" s="1"/>
      <c r="B524" s="694"/>
      <c r="C524" s="694"/>
      <c r="D524" s="694"/>
      <c r="E524" s="694"/>
      <c r="F524" s="694"/>
      <c r="G524" s="692"/>
      <c r="H524" s="694"/>
      <c r="I524" s="694"/>
      <c r="J524" s="692"/>
      <c r="K524" s="692"/>
      <c r="L524" s="694"/>
      <c r="M524" s="694"/>
      <c r="N524" s="694"/>
      <c r="O524" s="694"/>
      <c r="P524" s="280"/>
      <c r="Q524" s="280"/>
      <c r="R524" s="280"/>
      <c r="S524" s="694"/>
      <c r="T524" s="694"/>
      <c r="U524" s="694"/>
      <c r="V524" s="1"/>
      <c r="W524" s="1"/>
      <c r="X524" s="1"/>
      <c r="Y524" s="1"/>
      <c r="Z524" s="1"/>
    </row>
    <row r="525" ht="14.25" customHeight="1">
      <c r="A525" s="1"/>
      <c r="B525" s="694"/>
      <c r="C525" s="694"/>
      <c r="D525" s="694"/>
      <c r="E525" s="694"/>
      <c r="F525" s="694"/>
      <c r="G525" s="692"/>
      <c r="H525" s="694"/>
      <c r="I525" s="694"/>
      <c r="J525" s="692"/>
      <c r="K525" s="692"/>
      <c r="L525" s="694"/>
      <c r="M525" s="694"/>
      <c r="N525" s="694"/>
      <c r="O525" s="694"/>
      <c r="P525" s="280"/>
      <c r="Q525" s="280"/>
      <c r="R525" s="280"/>
      <c r="S525" s="694"/>
      <c r="T525" s="694"/>
      <c r="U525" s="694"/>
      <c r="V525" s="1"/>
      <c r="W525" s="1"/>
      <c r="X525" s="1"/>
      <c r="Y525" s="1"/>
      <c r="Z525" s="1"/>
    </row>
    <row r="526" ht="14.25" customHeight="1">
      <c r="A526" s="1"/>
      <c r="B526" s="694"/>
      <c r="C526" s="694"/>
      <c r="D526" s="694"/>
      <c r="E526" s="694"/>
      <c r="F526" s="694"/>
      <c r="G526" s="692"/>
      <c r="H526" s="694"/>
      <c r="I526" s="694"/>
      <c r="J526" s="692"/>
      <c r="K526" s="692"/>
      <c r="L526" s="694"/>
      <c r="M526" s="694"/>
      <c r="N526" s="694"/>
      <c r="O526" s="694"/>
      <c r="P526" s="280"/>
      <c r="Q526" s="280"/>
      <c r="R526" s="280"/>
      <c r="S526" s="694"/>
      <c r="T526" s="694"/>
      <c r="U526" s="694"/>
      <c r="V526" s="1"/>
      <c r="W526" s="1"/>
      <c r="X526" s="1"/>
      <c r="Y526" s="1"/>
      <c r="Z526" s="1"/>
    </row>
    <row r="527" ht="14.25" customHeight="1">
      <c r="A527" s="1"/>
      <c r="B527" s="694"/>
      <c r="C527" s="694"/>
      <c r="D527" s="694"/>
      <c r="E527" s="694"/>
      <c r="F527" s="694"/>
      <c r="G527" s="692"/>
      <c r="H527" s="694"/>
      <c r="I527" s="694"/>
      <c r="J527" s="692"/>
      <c r="K527" s="692"/>
      <c r="L527" s="694"/>
      <c r="M527" s="694"/>
      <c r="N527" s="694"/>
      <c r="O527" s="694"/>
      <c r="P527" s="280"/>
      <c r="Q527" s="280"/>
      <c r="R527" s="280"/>
      <c r="S527" s="694"/>
      <c r="T527" s="694"/>
      <c r="U527" s="694"/>
      <c r="V527" s="1"/>
      <c r="W527" s="1"/>
      <c r="X527" s="1"/>
      <c r="Y527" s="1"/>
      <c r="Z527" s="1"/>
    </row>
    <row r="528" ht="14.25" customHeight="1">
      <c r="A528" s="1"/>
      <c r="B528" s="694"/>
      <c r="C528" s="694"/>
      <c r="D528" s="694"/>
      <c r="E528" s="694"/>
      <c r="F528" s="694"/>
      <c r="G528" s="692"/>
      <c r="H528" s="694"/>
      <c r="I528" s="694"/>
      <c r="J528" s="692"/>
      <c r="K528" s="692"/>
      <c r="L528" s="694"/>
      <c r="M528" s="694"/>
      <c r="N528" s="694"/>
      <c r="O528" s="694"/>
      <c r="P528" s="280"/>
      <c r="Q528" s="280"/>
      <c r="R528" s="280"/>
      <c r="S528" s="694"/>
      <c r="T528" s="694"/>
      <c r="U528" s="694"/>
      <c r="V528" s="1"/>
      <c r="W528" s="1"/>
      <c r="X528" s="1"/>
      <c r="Y528" s="1"/>
      <c r="Z528" s="1"/>
    </row>
    <row r="529" ht="14.25" customHeight="1">
      <c r="A529" s="1"/>
      <c r="B529" s="694"/>
      <c r="C529" s="694"/>
      <c r="D529" s="694"/>
      <c r="E529" s="694"/>
      <c r="F529" s="694"/>
      <c r="G529" s="692"/>
      <c r="H529" s="694"/>
      <c r="I529" s="694"/>
      <c r="J529" s="692"/>
      <c r="K529" s="692"/>
      <c r="L529" s="694"/>
      <c r="M529" s="694"/>
      <c r="N529" s="694"/>
      <c r="O529" s="694"/>
      <c r="P529" s="280"/>
      <c r="Q529" s="280"/>
      <c r="R529" s="280"/>
      <c r="S529" s="694"/>
      <c r="T529" s="694"/>
      <c r="U529" s="694"/>
      <c r="V529" s="1"/>
      <c r="W529" s="1"/>
      <c r="X529" s="1"/>
      <c r="Y529" s="1"/>
      <c r="Z529" s="1"/>
    </row>
    <row r="530" ht="14.25" customHeight="1">
      <c r="A530" s="1"/>
      <c r="B530" s="694"/>
      <c r="C530" s="694"/>
      <c r="D530" s="694"/>
      <c r="E530" s="694"/>
      <c r="F530" s="694"/>
      <c r="G530" s="692"/>
      <c r="H530" s="694"/>
      <c r="I530" s="694"/>
      <c r="J530" s="692"/>
      <c r="K530" s="692"/>
      <c r="L530" s="694"/>
      <c r="M530" s="694"/>
      <c r="N530" s="694"/>
      <c r="O530" s="694"/>
      <c r="P530" s="280"/>
      <c r="Q530" s="280"/>
      <c r="R530" s="280"/>
      <c r="S530" s="694"/>
      <c r="T530" s="694"/>
      <c r="U530" s="694"/>
      <c r="V530" s="1"/>
      <c r="W530" s="1"/>
      <c r="X530" s="1"/>
      <c r="Y530" s="1"/>
      <c r="Z530" s="1"/>
    </row>
    <row r="531" ht="14.25" customHeight="1">
      <c r="A531" s="1"/>
      <c r="B531" s="694"/>
      <c r="C531" s="694"/>
      <c r="D531" s="694"/>
      <c r="E531" s="694"/>
      <c r="F531" s="694"/>
      <c r="G531" s="692"/>
      <c r="H531" s="694"/>
      <c r="I531" s="694"/>
      <c r="J531" s="692"/>
      <c r="K531" s="692"/>
      <c r="L531" s="694"/>
      <c r="M531" s="694"/>
      <c r="N531" s="694"/>
      <c r="O531" s="694"/>
      <c r="P531" s="280"/>
      <c r="Q531" s="280"/>
      <c r="R531" s="280"/>
      <c r="S531" s="694"/>
      <c r="T531" s="694"/>
      <c r="U531" s="694"/>
      <c r="V531" s="1"/>
      <c r="W531" s="1"/>
      <c r="X531" s="1"/>
      <c r="Y531" s="1"/>
      <c r="Z531" s="1"/>
    </row>
    <row r="532" ht="14.25" customHeight="1">
      <c r="A532" s="1"/>
      <c r="B532" s="694"/>
      <c r="C532" s="694"/>
      <c r="D532" s="694"/>
      <c r="E532" s="694"/>
      <c r="F532" s="694"/>
      <c r="G532" s="692"/>
      <c r="H532" s="694"/>
      <c r="I532" s="694"/>
      <c r="J532" s="692"/>
      <c r="K532" s="692"/>
      <c r="L532" s="694"/>
      <c r="M532" s="694"/>
      <c r="N532" s="694"/>
      <c r="O532" s="694"/>
      <c r="P532" s="280"/>
      <c r="Q532" s="280"/>
      <c r="R532" s="280"/>
      <c r="S532" s="694"/>
      <c r="T532" s="694"/>
      <c r="U532" s="694"/>
      <c r="V532" s="1"/>
      <c r="W532" s="1"/>
      <c r="X532" s="1"/>
      <c r="Y532" s="1"/>
      <c r="Z532" s="1"/>
    </row>
    <row r="533" ht="14.25" customHeight="1">
      <c r="A533" s="1"/>
      <c r="B533" s="694"/>
      <c r="C533" s="694"/>
      <c r="D533" s="694"/>
      <c r="E533" s="694"/>
      <c r="F533" s="694"/>
      <c r="G533" s="692"/>
      <c r="H533" s="694"/>
      <c r="I533" s="694"/>
      <c r="J533" s="692"/>
      <c r="K533" s="692"/>
      <c r="L533" s="694"/>
      <c r="M533" s="694"/>
      <c r="N533" s="694"/>
      <c r="O533" s="694"/>
      <c r="P533" s="280"/>
      <c r="Q533" s="280"/>
      <c r="R533" s="280"/>
      <c r="S533" s="694"/>
      <c r="T533" s="694"/>
      <c r="U533" s="694"/>
      <c r="V533" s="1"/>
      <c r="W533" s="1"/>
      <c r="X533" s="1"/>
      <c r="Y533" s="1"/>
      <c r="Z533" s="1"/>
    </row>
    <row r="534" ht="14.25" customHeight="1">
      <c r="A534" s="1"/>
      <c r="B534" s="694"/>
      <c r="C534" s="694"/>
      <c r="D534" s="694"/>
      <c r="E534" s="694"/>
      <c r="F534" s="694"/>
      <c r="G534" s="692"/>
      <c r="H534" s="694"/>
      <c r="I534" s="694"/>
      <c r="J534" s="692"/>
      <c r="K534" s="692"/>
      <c r="L534" s="694"/>
      <c r="M534" s="694"/>
      <c r="N534" s="694"/>
      <c r="O534" s="694"/>
      <c r="P534" s="280"/>
      <c r="Q534" s="280"/>
      <c r="R534" s="280"/>
      <c r="S534" s="694"/>
      <c r="T534" s="694"/>
      <c r="U534" s="694"/>
      <c r="V534" s="1"/>
      <c r="W534" s="1"/>
      <c r="X534" s="1"/>
      <c r="Y534" s="1"/>
      <c r="Z534" s="1"/>
    </row>
    <row r="535" ht="14.25" customHeight="1">
      <c r="A535" s="1"/>
      <c r="B535" s="694"/>
      <c r="C535" s="694"/>
      <c r="D535" s="694"/>
      <c r="E535" s="694"/>
      <c r="F535" s="694"/>
      <c r="G535" s="692"/>
      <c r="H535" s="694"/>
      <c r="I535" s="694"/>
      <c r="J535" s="692"/>
      <c r="K535" s="692"/>
      <c r="L535" s="694"/>
      <c r="M535" s="694"/>
      <c r="N535" s="694"/>
      <c r="O535" s="694"/>
      <c r="P535" s="280"/>
      <c r="Q535" s="280"/>
      <c r="R535" s="280"/>
      <c r="S535" s="694"/>
      <c r="T535" s="694"/>
      <c r="U535" s="694"/>
      <c r="V535" s="1"/>
      <c r="W535" s="1"/>
      <c r="X535" s="1"/>
      <c r="Y535" s="1"/>
      <c r="Z535" s="1"/>
    </row>
    <row r="536" ht="14.25" customHeight="1">
      <c r="A536" s="1"/>
      <c r="B536" s="694"/>
      <c r="C536" s="694"/>
      <c r="D536" s="694"/>
      <c r="E536" s="694"/>
      <c r="F536" s="694"/>
      <c r="G536" s="692"/>
      <c r="H536" s="694"/>
      <c r="I536" s="694"/>
      <c r="J536" s="692"/>
      <c r="K536" s="692"/>
      <c r="L536" s="694"/>
      <c r="M536" s="694"/>
      <c r="N536" s="694"/>
      <c r="O536" s="694"/>
      <c r="P536" s="280"/>
      <c r="Q536" s="280"/>
      <c r="R536" s="280"/>
      <c r="S536" s="694"/>
      <c r="T536" s="694"/>
      <c r="U536" s="694"/>
      <c r="V536" s="1"/>
      <c r="W536" s="1"/>
      <c r="X536" s="1"/>
      <c r="Y536" s="1"/>
      <c r="Z536" s="1"/>
    </row>
    <row r="537" ht="14.25" customHeight="1">
      <c r="A537" s="1"/>
      <c r="B537" s="694"/>
      <c r="C537" s="694"/>
      <c r="D537" s="694"/>
      <c r="E537" s="694"/>
      <c r="F537" s="694"/>
      <c r="G537" s="692"/>
      <c r="H537" s="694"/>
      <c r="I537" s="694"/>
      <c r="J537" s="692"/>
      <c r="K537" s="692"/>
      <c r="L537" s="694"/>
      <c r="M537" s="694"/>
      <c r="N537" s="694"/>
      <c r="O537" s="694"/>
      <c r="P537" s="280"/>
      <c r="Q537" s="280"/>
      <c r="R537" s="280"/>
      <c r="S537" s="694"/>
      <c r="T537" s="694"/>
      <c r="U537" s="694"/>
      <c r="V537" s="1"/>
      <c r="W537" s="1"/>
      <c r="X537" s="1"/>
      <c r="Y537" s="1"/>
      <c r="Z537" s="1"/>
    </row>
    <row r="538" ht="14.25" customHeight="1">
      <c r="A538" s="1"/>
      <c r="B538" s="694"/>
      <c r="C538" s="694"/>
      <c r="D538" s="694"/>
      <c r="E538" s="694"/>
      <c r="F538" s="694"/>
      <c r="G538" s="692"/>
      <c r="H538" s="694"/>
      <c r="I538" s="694"/>
      <c r="J538" s="692"/>
      <c r="K538" s="692"/>
      <c r="L538" s="694"/>
      <c r="M538" s="694"/>
      <c r="N538" s="694"/>
      <c r="O538" s="694"/>
      <c r="P538" s="280"/>
      <c r="Q538" s="280"/>
      <c r="R538" s="280"/>
      <c r="S538" s="694"/>
      <c r="T538" s="694"/>
      <c r="U538" s="694"/>
      <c r="V538" s="1"/>
      <c r="W538" s="1"/>
      <c r="X538" s="1"/>
      <c r="Y538" s="1"/>
      <c r="Z538" s="1"/>
    </row>
    <row r="539" ht="14.25" customHeight="1">
      <c r="A539" s="1"/>
      <c r="B539" s="694"/>
      <c r="C539" s="694"/>
      <c r="D539" s="694"/>
      <c r="E539" s="694"/>
      <c r="F539" s="694"/>
      <c r="G539" s="692"/>
      <c r="H539" s="694"/>
      <c r="I539" s="694"/>
      <c r="J539" s="692"/>
      <c r="K539" s="692"/>
      <c r="L539" s="694"/>
      <c r="M539" s="694"/>
      <c r="N539" s="694"/>
      <c r="O539" s="694"/>
      <c r="P539" s="280"/>
      <c r="Q539" s="280"/>
      <c r="R539" s="280"/>
      <c r="S539" s="694"/>
      <c r="T539" s="694"/>
      <c r="U539" s="694"/>
      <c r="V539" s="1"/>
      <c r="W539" s="1"/>
      <c r="X539" s="1"/>
      <c r="Y539" s="1"/>
      <c r="Z539" s="1"/>
    </row>
    <row r="540" ht="14.25" customHeight="1">
      <c r="A540" s="1"/>
      <c r="B540" s="694"/>
      <c r="C540" s="694"/>
      <c r="D540" s="694"/>
      <c r="E540" s="694"/>
      <c r="F540" s="694"/>
      <c r="G540" s="692"/>
      <c r="H540" s="694"/>
      <c r="I540" s="694"/>
      <c r="J540" s="692"/>
      <c r="K540" s="692"/>
      <c r="L540" s="694"/>
      <c r="M540" s="694"/>
      <c r="N540" s="694"/>
      <c r="O540" s="694"/>
      <c r="P540" s="280"/>
      <c r="Q540" s="280"/>
      <c r="R540" s="280"/>
      <c r="S540" s="694"/>
      <c r="T540" s="694"/>
      <c r="U540" s="694"/>
      <c r="V540" s="1"/>
      <c r="W540" s="1"/>
      <c r="X540" s="1"/>
      <c r="Y540" s="1"/>
      <c r="Z540" s="1"/>
    </row>
    <row r="541" ht="14.25" customHeight="1">
      <c r="A541" s="1"/>
      <c r="B541" s="694"/>
      <c r="C541" s="694"/>
      <c r="D541" s="694"/>
      <c r="E541" s="694"/>
      <c r="F541" s="694"/>
      <c r="G541" s="692"/>
      <c r="H541" s="694"/>
      <c r="I541" s="694"/>
      <c r="J541" s="692"/>
      <c r="K541" s="692"/>
      <c r="L541" s="694"/>
      <c r="M541" s="694"/>
      <c r="N541" s="694"/>
      <c r="O541" s="694"/>
      <c r="P541" s="280"/>
      <c r="Q541" s="280"/>
      <c r="R541" s="280"/>
      <c r="S541" s="694"/>
      <c r="T541" s="694"/>
      <c r="U541" s="694"/>
      <c r="V541" s="1"/>
      <c r="W541" s="1"/>
      <c r="X541" s="1"/>
      <c r="Y541" s="1"/>
      <c r="Z541" s="1"/>
    </row>
    <row r="542" ht="14.25" customHeight="1">
      <c r="A542" s="1"/>
      <c r="B542" s="694"/>
      <c r="C542" s="694"/>
      <c r="D542" s="694"/>
      <c r="E542" s="694"/>
      <c r="F542" s="694"/>
      <c r="G542" s="692"/>
      <c r="H542" s="694"/>
      <c r="I542" s="694"/>
      <c r="J542" s="692"/>
      <c r="K542" s="692"/>
      <c r="L542" s="694"/>
      <c r="M542" s="694"/>
      <c r="N542" s="694"/>
      <c r="O542" s="694"/>
      <c r="P542" s="280"/>
      <c r="Q542" s="280"/>
      <c r="R542" s="280"/>
      <c r="S542" s="694"/>
      <c r="T542" s="694"/>
      <c r="U542" s="694"/>
      <c r="V542" s="1"/>
      <c r="W542" s="1"/>
      <c r="X542" s="1"/>
      <c r="Y542" s="1"/>
      <c r="Z542" s="1"/>
    </row>
    <row r="543" ht="14.25" customHeight="1">
      <c r="A543" s="1"/>
      <c r="B543" s="694"/>
      <c r="C543" s="694"/>
      <c r="D543" s="694"/>
      <c r="E543" s="694"/>
      <c r="F543" s="694"/>
      <c r="G543" s="692"/>
      <c r="H543" s="694"/>
      <c r="I543" s="694"/>
      <c r="J543" s="692"/>
      <c r="K543" s="692"/>
      <c r="L543" s="694"/>
      <c r="M543" s="694"/>
      <c r="N543" s="694"/>
      <c r="O543" s="694"/>
      <c r="P543" s="280"/>
      <c r="Q543" s="280"/>
      <c r="R543" s="280"/>
      <c r="S543" s="694"/>
      <c r="T543" s="694"/>
      <c r="U543" s="694"/>
      <c r="V543" s="1"/>
      <c r="W543" s="1"/>
      <c r="X543" s="1"/>
      <c r="Y543" s="1"/>
      <c r="Z543" s="1"/>
    </row>
    <row r="544" ht="14.25" customHeight="1">
      <c r="A544" s="1"/>
      <c r="B544" s="694"/>
      <c r="C544" s="694"/>
      <c r="D544" s="694"/>
      <c r="E544" s="694"/>
      <c r="F544" s="694"/>
      <c r="G544" s="692"/>
      <c r="H544" s="694"/>
      <c r="I544" s="694"/>
      <c r="J544" s="692"/>
      <c r="K544" s="692"/>
      <c r="L544" s="694"/>
      <c r="M544" s="694"/>
      <c r="N544" s="694"/>
      <c r="O544" s="694"/>
      <c r="P544" s="280"/>
      <c r="Q544" s="280"/>
      <c r="R544" s="280"/>
      <c r="S544" s="694"/>
      <c r="T544" s="694"/>
      <c r="U544" s="694"/>
      <c r="V544" s="1"/>
      <c r="W544" s="1"/>
      <c r="X544" s="1"/>
      <c r="Y544" s="1"/>
      <c r="Z544" s="1"/>
    </row>
    <row r="545" ht="14.25" customHeight="1">
      <c r="A545" s="1"/>
      <c r="B545" s="694"/>
      <c r="C545" s="694"/>
      <c r="D545" s="694"/>
      <c r="E545" s="694"/>
      <c r="F545" s="694"/>
      <c r="G545" s="692"/>
      <c r="H545" s="694"/>
      <c r="I545" s="694"/>
      <c r="J545" s="692"/>
      <c r="K545" s="692"/>
      <c r="L545" s="694"/>
      <c r="M545" s="694"/>
      <c r="N545" s="694"/>
      <c r="O545" s="694"/>
      <c r="P545" s="280"/>
      <c r="Q545" s="280"/>
      <c r="R545" s="280"/>
      <c r="S545" s="694"/>
      <c r="T545" s="694"/>
      <c r="U545" s="694"/>
      <c r="V545" s="1"/>
      <c r="W545" s="1"/>
      <c r="X545" s="1"/>
      <c r="Y545" s="1"/>
      <c r="Z545" s="1"/>
    </row>
    <row r="546" ht="14.25" customHeight="1">
      <c r="A546" s="1"/>
      <c r="B546" s="694"/>
      <c r="C546" s="694"/>
      <c r="D546" s="694"/>
      <c r="E546" s="694"/>
      <c r="F546" s="694"/>
      <c r="G546" s="692"/>
      <c r="H546" s="694"/>
      <c r="I546" s="694"/>
      <c r="J546" s="692"/>
      <c r="K546" s="692"/>
      <c r="L546" s="694"/>
      <c r="M546" s="694"/>
      <c r="N546" s="694"/>
      <c r="O546" s="694"/>
      <c r="P546" s="280"/>
      <c r="Q546" s="280"/>
      <c r="R546" s="280"/>
      <c r="S546" s="694"/>
      <c r="T546" s="694"/>
      <c r="U546" s="694"/>
      <c r="V546" s="1"/>
      <c r="W546" s="1"/>
      <c r="X546" s="1"/>
      <c r="Y546" s="1"/>
      <c r="Z546" s="1"/>
    </row>
    <row r="547" ht="14.25" customHeight="1">
      <c r="A547" s="1"/>
      <c r="B547" s="694"/>
      <c r="C547" s="694"/>
      <c r="D547" s="694"/>
      <c r="E547" s="694"/>
      <c r="F547" s="694"/>
      <c r="G547" s="692"/>
      <c r="H547" s="694"/>
      <c r="I547" s="694"/>
      <c r="J547" s="692"/>
      <c r="K547" s="692"/>
      <c r="L547" s="694"/>
      <c r="M547" s="694"/>
      <c r="N547" s="694"/>
      <c r="O547" s="694"/>
      <c r="P547" s="280"/>
      <c r="Q547" s="280"/>
      <c r="R547" s="280"/>
      <c r="S547" s="694"/>
      <c r="T547" s="694"/>
      <c r="U547" s="694"/>
      <c r="V547" s="1"/>
      <c r="W547" s="1"/>
      <c r="X547" s="1"/>
      <c r="Y547" s="1"/>
      <c r="Z547" s="1"/>
    </row>
    <row r="548" ht="14.25" customHeight="1">
      <c r="A548" s="1"/>
      <c r="B548" s="694"/>
      <c r="C548" s="694"/>
      <c r="D548" s="694"/>
      <c r="E548" s="694"/>
      <c r="F548" s="694"/>
      <c r="G548" s="692"/>
      <c r="H548" s="694"/>
      <c r="I548" s="694"/>
      <c r="J548" s="692"/>
      <c r="K548" s="692"/>
      <c r="L548" s="694"/>
      <c r="M548" s="694"/>
      <c r="N548" s="694"/>
      <c r="O548" s="694"/>
      <c r="P548" s="280"/>
      <c r="Q548" s="280"/>
      <c r="R548" s="280"/>
      <c r="S548" s="694"/>
      <c r="T548" s="694"/>
      <c r="U548" s="694"/>
      <c r="V548" s="1"/>
      <c r="W548" s="1"/>
      <c r="X548" s="1"/>
      <c r="Y548" s="1"/>
      <c r="Z548" s="1"/>
    </row>
    <row r="549" ht="14.25" customHeight="1">
      <c r="A549" s="1"/>
      <c r="B549" s="694"/>
      <c r="C549" s="694"/>
      <c r="D549" s="694"/>
      <c r="E549" s="694"/>
      <c r="F549" s="694"/>
      <c r="G549" s="692"/>
      <c r="H549" s="694"/>
      <c r="I549" s="694"/>
      <c r="J549" s="692"/>
      <c r="K549" s="692"/>
      <c r="L549" s="694"/>
      <c r="M549" s="694"/>
      <c r="N549" s="694"/>
      <c r="O549" s="694"/>
      <c r="P549" s="280"/>
      <c r="Q549" s="280"/>
      <c r="R549" s="280"/>
      <c r="S549" s="694"/>
      <c r="T549" s="694"/>
      <c r="U549" s="694"/>
      <c r="V549" s="1"/>
      <c r="W549" s="1"/>
      <c r="X549" s="1"/>
      <c r="Y549" s="1"/>
      <c r="Z549" s="1"/>
    </row>
    <row r="550" ht="14.25" customHeight="1">
      <c r="A550" s="1"/>
      <c r="B550" s="694"/>
      <c r="C550" s="694"/>
      <c r="D550" s="694"/>
      <c r="E550" s="694"/>
      <c r="F550" s="694"/>
      <c r="G550" s="692"/>
      <c r="H550" s="694"/>
      <c r="I550" s="694"/>
      <c r="J550" s="692"/>
      <c r="K550" s="692"/>
      <c r="L550" s="694"/>
      <c r="M550" s="694"/>
      <c r="N550" s="694"/>
      <c r="O550" s="694"/>
      <c r="P550" s="280"/>
      <c r="Q550" s="280"/>
      <c r="R550" s="280"/>
      <c r="S550" s="694"/>
      <c r="T550" s="694"/>
      <c r="U550" s="694"/>
      <c r="V550" s="1"/>
      <c r="W550" s="1"/>
      <c r="X550" s="1"/>
      <c r="Y550" s="1"/>
      <c r="Z550" s="1"/>
    </row>
    <row r="551" ht="14.25" customHeight="1">
      <c r="A551" s="1"/>
      <c r="B551" s="694"/>
      <c r="C551" s="694"/>
      <c r="D551" s="694"/>
      <c r="E551" s="694"/>
      <c r="F551" s="694"/>
      <c r="G551" s="692"/>
      <c r="H551" s="694"/>
      <c r="I551" s="694"/>
      <c r="J551" s="692"/>
      <c r="K551" s="692"/>
      <c r="L551" s="694"/>
      <c r="M551" s="694"/>
      <c r="N551" s="694"/>
      <c r="O551" s="694"/>
      <c r="P551" s="280"/>
      <c r="Q551" s="280"/>
      <c r="R551" s="280"/>
      <c r="S551" s="694"/>
      <c r="T551" s="694"/>
      <c r="U551" s="694"/>
      <c r="V551" s="1"/>
      <c r="W551" s="1"/>
      <c r="X551" s="1"/>
      <c r="Y551" s="1"/>
      <c r="Z551" s="1"/>
    </row>
    <row r="552" ht="14.25" customHeight="1">
      <c r="A552" s="1"/>
      <c r="B552" s="694"/>
      <c r="C552" s="694"/>
      <c r="D552" s="694"/>
      <c r="E552" s="694"/>
      <c r="F552" s="694"/>
      <c r="G552" s="692"/>
      <c r="H552" s="694"/>
      <c r="I552" s="694"/>
      <c r="J552" s="692"/>
      <c r="K552" s="692"/>
      <c r="L552" s="694"/>
      <c r="M552" s="694"/>
      <c r="N552" s="694"/>
      <c r="O552" s="694"/>
      <c r="P552" s="280"/>
      <c r="Q552" s="280"/>
      <c r="R552" s="280"/>
      <c r="S552" s="694"/>
      <c r="T552" s="694"/>
      <c r="U552" s="694"/>
      <c r="V552" s="1"/>
      <c r="W552" s="1"/>
      <c r="X552" s="1"/>
      <c r="Y552" s="1"/>
      <c r="Z552" s="1"/>
    </row>
    <row r="553" ht="14.25" customHeight="1">
      <c r="A553" s="1"/>
      <c r="B553" s="694"/>
      <c r="C553" s="694"/>
      <c r="D553" s="694"/>
      <c r="E553" s="694"/>
      <c r="F553" s="694"/>
      <c r="G553" s="692"/>
      <c r="H553" s="694"/>
      <c r="I553" s="694"/>
      <c r="J553" s="692"/>
      <c r="K553" s="692"/>
      <c r="L553" s="694"/>
      <c r="M553" s="694"/>
      <c r="N553" s="694"/>
      <c r="O553" s="694"/>
      <c r="P553" s="280"/>
      <c r="Q553" s="280"/>
      <c r="R553" s="280"/>
      <c r="S553" s="694"/>
      <c r="T553" s="694"/>
      <c r="U553" s="694"/>
      <c r="V553" s="1"/>
      <c r="W553" s="1"/>
      <c r="X553" s="1"/>
      <c r="Y553" s="1"/>
      <c r="Z553" s="1"/>
    </row>
    <row r="554" ht="14.25" customHeight="1">
      <c r="A554" s="1"/>
      <c r="B554" s="694"/>
      <c r="C554" s="694"/>
      <c r="D554" s="694"/>
      <c r="E554" s="694"/>
      <c r="F554" s="694"/>
      <c r="G554" s="692"/>
      <c r="H554" s="694"/>
      <c r="I554" s="694"/>
      <c r="J554" s="692"/>
      <c r="K554" s="692"/>
      <c r="L554" s="694"/>
      <c r="M554" s="694"/>
      <c r="N554" s="694"/>
      <c r="O554" s="694"/>
      <c r="P554" s="280"/>
      <c r="Q554" s="280"/>
      <c r="R554" s="280"/>
      <c r="S554" s="694"/>
      <c r="T554" s="694"/>
      <c r="U554" s="694"/>
      <c r="V554" s="1"/>
      <c r="W554" s="1"/>
      <c r="X554" s="1"/>
      <c r="Y554" s="1"/>
      <c r="Z554" s="1"/>
    </row>
    <row r="555" ht="14.25" customHeight="1">
      <c r="A555" s="1"/>
      <c r="B555" s="694"/>
      <c r="C555" s="694"/>
      <c r="D555" s="694"/>
      <c r="E555" s="694"/>
      <c r="F555" s="694"/>
      <c r="G555" s="692"/>
      <c r="H555" s="694"/>
      <c r="I555" s="694"/>
      <c r="J555" s="692"/>
      <c r="K555" s="692"/>
      <c r="L555" s="694"/>
      <c r="M555" s="694"/>
      <c r="N555" s="694"/>
      <c r="O555" s="694"/>
      <c r="P555" s="280"/>
      <c r="Q555" s="280"/>
      <c r="R555" s="280"/>
      <c r="S555" s="694"/>
      <c r="T555" s="694"/>
      <c r="U555" s="694"/>
      <c r="V555" s="1"/>
      <c r="W555" s="1"/>
      <c r="X555" s="1"/>
      <c r="Y555" s="1"/>
      <c r="Z555" s="1"/>
    </row>
    <row r="556" ht="14.25" customHeight="1">
      <c r="A556" s="1"/>
      <c r="B556" s="694"/>
      <c r="C556" s="694"/>
      <c r="D556" s="694"/>
      <c r="E556" s="694"/>
      <c r="F556" s="694"/>
      <c r="G556" s="692"/>
      <c r="H556" s="694"/>
      <c r="I556" s="694"/>
      <c r="J556" s="692"/>
      <c r="K556" s="692"/>
      <c r="L556" s="694"/>
      <c r="M556" s="694"/>
      <c r="N556" s="694"/>
      <c r="O556" s="694"/>
      <c r="P556" s="280"/>
      <c r="Q556" s="280"/>
      <c r="R556" s="280"/>
      <c r="S556" s="694"/>
      <c r="T556" s="694"/>
      <c r="U556" s="694"/>
      <c r="V556" s="1"/>
      <c r="W556" s="1"/>
      <c r="X556" s="1"/>
      <c r="Y556" s="1"/>
      <c r="Z556" s="1"/>
    </row>
    <row r="557" ht="14.25" customHeight="1">
      <c r="A557" s="1"/>
      <c r="B557" s="694"/>
      <c r="C557" s="694"/>
      <c r="D557" s="694"/>
      <c r="E557" s="694"/>
      <c r="F557" s="694"/>
      <c r="G557" s="692"/>
      <c r="H557" s="694"/>
      <c r="I557" s="694"/>
      <c r="J557" s="692"/>
      <c r="K557" s="692"/>
      <c r="L557" s="694"/>
      <c r="M557" s="694"/>
      <c r="N557" s="694"/>
      <c r="O557" s="694"/>
      <c r="P557" s="280"/>
      <c r="Q557" s="280"/>
      <c r="R557" s="280"/>
      <c r="S557" s="694"/>
      <c r="T557" s="694"/>
      <c r="U557" s="694"/>
      <c r="V557" s="1"/>
      <c r="W557" s="1"/>
      <c r="X557" s="1"/>
      <c r="Y557" s="1"/>
      <c r="Z557" s="1"/>
    </row>
    <row r="558" ht="14.25" customHeight="1">
      <c r="A558" s="1"/>
      <c r="B558" s="694"/>
      <c r="C558" s="694"/>
      <c r="D558" s="694"/>
      <c r="E558" s="694"/>
      <c r="F558" s="694"/>
      <c r="G558" s="692"/>
      <c r="H558" s="694"/>
      <c r="I558" s="694"/>
      <c r="J558" s="692"/>
      <c r="K558" s="692"/>
      <c r="L558" s="694"/>
      <c r="M558" s="694"/>
      <c r="N558" s="694"/>
      <c r="O558" s="694"/>
      <c r="P558" s="280"/>
      <c r="Q558" s="280"/>
      <c r="R558" s="280"/>
      <c r="S558" s="694"/>
      <c r="T558" s="694"/>
      <c r="U558" s="694"/>
      <c r="V558" s="1"/>
      <c r="W558" s="1"/>
      <c r="X558" s="1"/>
      <c r="Y558" s="1"/>
      <c r="Z558" s="1"/>
    </row>
    <row r="559" ht="14.25" customHeight="1">
      <c r="A559" s="1"/>
      <c r="B559" s="694"/>
      <c r="C559" s="694"/>
      <c r="D559" s="694"/>
      <c r="E559" s="694"/>
      <c r="F559" s="694"/>
      <c r="G559" s="692"/>
      <c r="H559" s="694"/>
      <c r="I559" s="694"/>
      <c r="J559" s="692"/>
      <c r="K559" s="692"/>
      <c r="L559" s="694"/>
      <c r="M559" s="694"/>
      <c r="N559" s="694"/>
      <c r="O559" s="694"/>
      <c r="P559" s="280"/>
      <c r="Q559" s="280"/>
      <c r="R559" s="280"/>
      <c r="S559" s="694"/>
      <c r="T559" s="694"/>
      <c r="U559" s="694"/>
      <c r="V559" s="1"/>
      <c r="W559" s="1"/>
      <c r="X559" s="1"/>
      <c r="Y559" s="1"/>
      <c r="Z559" s="1"/>
    </row>
    <row r="560" ht="14.25" customHeight="1">
      <c r="A560" s="1"/>
      <c r="B560" s="694"/>
      <c r="C560" s="694"/>
      <c r="D560" s="694"/>
      <c r="E560" s="694"/>
      <c r="F560" s="694"/>
      <c r="G560" s="692"/>
      <c r="H560" s="694"/>
      <c r="I560" s="694"/>
      <c r="J560" s="692"/>
      <c r="K560" s="692"/>
      <c r="L560" s="694"/>
      <c r="M560" s="694"/>
      <c r="N560" s="694"/>
      <c r="O560" s="694"/>
      <c r="P560" s="280"/>
      <c r="Q560" s="280"/>
      <c r="R560" s="280"/>
      <c r="S560" s="694"/>
      <c r="T560" s="694"/>
      <c r="U560" s="694"/>
      <c r="V560" s="1"/>
      <c r="W560" s="1"/>
      <c r="X560" s="1"/>
      <c r="Y560" s="1"/>
      <c r="Z560" s="1"/>
    </row>
    <row r="561" ht="14.25" customHeight="1">
      <c r="A561" s="1"/>
      <c r="B561" s="694"/>
      <c r="C561" s="694"/>
      <c r="D561" s="694"/>
      <c r="E561" s="694"/>
      <c r="F561" s="694"/>
      <c r="G561" s="692"/>
      <c r="H561" s="694"/>
      <c r="I561" s="694"/>
      <c r="J561" s="692"/>
      <c r="K561" s="692"/>
      <c r="L561" s="694"/>
      <c r="M561" s="694"/>
      <c r="N561" s="694"/>
      <c r="O561" s="694"/>
      <c r="P561" s="280"/>
      <c r="Q561" s="280"/>
      <c r="R561" s="280"/>
      <c r="S561" s="694"/>
      <c r="T561" s="694"/>
      <c r="U561" s="694"/>
      <c r="V561" s="1"/>
      <c r="W561" s="1"/>
      <c r="X561" s="1"/>
      <c r="Y561" s="1"/>
      <c r="Z561" s="1"/>
    </row>
    <row r="562" ht="14.25" customHeight="1">
      <c r="A562" s="1"/>
      <c r="B562" s="694"/>
      <c r="C562" s="694"/>
      <c r="D562" s="694"/>
      <c r="E562" s="694"/>
      <c r="F562" s="694"/>
      <c r="G562" s="692"/>
      <c r="H562" s="694"/>
      <c r="I562" s="694"/>
      <c r="J562" s="692"/>
      <c r="K562" s="692"/>
      <c r="L562" s="694"/>
      <c r="M562" s="694"/>
      <c r="N562" s="694"/>
      <c r="O562" s="694"/>
      <c r="P562" s="280"/>
      <c r="Q562" s="280"/>
      <c r="R562" s="280"/>
      <c r="S562" s="694"/>
      <c r="T562" s="694"/>
      <c r="U562" s="694"/>
      <c r="V562" s="1"/>
      <c r="W562" s="1"/>
      <c r="X562" s="1"/>
      <c r="Y562" s="1"/>
      <c r="Z562" s="1"/>
    </row>
    <row r="563" ht="14.25" customHeight="1">
      <c r="A563" s="1"/>
      <c r="B563" s="694"/>
      <c r="C563" s="694"/>
      <c r="D563" s="694"/>
      <c r="E563" s="694"/>
      <c r="F563" s="694"/>
      <c r="G563" s="692"/>
      <c r="H563" s="694"/>
      <c r="I563" s="694"/>
      <c r="J563" s="692"/>
      <c r="K563" s="692"/>
      <c r="L563" s="694"/>
      <c r="M563" s="694"/>
      <c r="N563" s="694"/>
      <c r="O563" s="694"/>
      <c r="P563" s="280"/>
      <c r="Q563" s="280"/>
      <c r="R563" s="280"/>
      <c r="S563" s="694"/>
      <c r="T563" s="694"/>
      <c r="U563" s="694"/>
      <c r="V563" s="1"/>
      <c r="W563" s="1"/>
      <c r="X563" s="1"/>
      <c r="Y563" s="1"/>
      <c r="Z563" s="1"/>
    </row>
    <row r="564" ht="14.25" customHeight="1">
      <c r="A564" s="1"/>
      <c r="B564" s="694"/>
      <c r="C564" s="694"/>
      <c r="D564" s="694"/>
      <c r="E564" s="694"/>
      <c r="F564" s="694"/>
      <c r="G564" s="692"/>
      <c r="H564" s="694"/>
      <c r="I564" s="694"/>
      <c r="J564" s="692"/>
      <c r="K564" s="692"/>
      <c r="L564" s="694"/>
      <c r="M564" s="694"/>
      <c r="N564" s="694"/>
      <c r="O564" s="694"/>
      <c r="P564" s="280"/>
      <c r="Q564" s="280"/>
      <c r="R564" s="280"/>
      <c r="S564" s="694"/>
      <c r="T564" s="694"/>
      <c r="U564" s="694"/>
      <c r="V564" s="1"/>
      <c r="W564" s="1"/>
      <c r="X564" s="1"/>
      <c r="Y564" s="1"/>
      <c r="Z564" s="1"/>
    </row>
    <row r="565" ht="14.25" customHeight="1">
      <c r="A565" s="1"/>
      <c r="B565" s="694"/>
      <c r="C565" s="694"/>
      <c r="D565" s="694"/>
      <c r="E565" s="694"/>
      <c r="F565" s="694"/>
      <c r="G565" s="692"/>
      <c r="H565" s="694"/>
      <c r="I565" s="694"/>
      <c r="J565" s="692"/>
      <c r="K565" s="692"/>
      <c r="L565" s="694"/>
      <c r="M565" s="694"/>
      <c r="N565" s="694"/>
      <c r="O565" s="694"/>
      <c r="P565" s="280"/>
      <c r="Q565" s="280"/>
      <c r="R565" s="280"/>
      <c r="S565" s="694"/>
      <c r="T565" s="694"/>
      <c r="U565" s="694"/>
      <c r="V565" s="1"/>
      <c r="W565" s="1"/>
      <c r="X565" s="1"/>
      <c r="Y565" s="1"/>
      <c r="Z565" s="1"/>
    </row>
    <row r="566" ht="14.25" customHeight="1">
      <c r="A566" s="1"/>
      <c r="B566" s="694"/>
      <c r="C566" s="694"/>
      <c r="D566" s="694"/>
      <c r="E566" s="694"/>
      <c r="F566" s="694"/>
      <c r="G566" s="692"/>
      <c r="H566" s="694"/>
      <c r="I566" s="694"/>
      <c r="J566" s="692"/>
      <c r="K566" s="692"/>
      <c r="L566" s="694"/>
      <c r="M566" s="694"/>
      <c r="N566" s="694"/>
      <c r="O566" s="694"/>
      <c r="P566" s="280"/>
      <c r="Q566" s="280"/>
      <c r="R566" s="280"/>
      <c r="S566" s="694"/>
      <c r="T566" s="694"/>
      <c r="U566" s="694"/>
      <c r="V566" s="1"/>
      <c r="W566" s="1"/>
      <c r="X566" s="1"/>
      <c r="Y566" s="1"/>
      <c r="Z566" s="1"/>
    </row>
    <row r="567" ht="14.25" customHeight="1">
      <c r="A567" s="1"/>
      <c r="B567" s="694"/>
      <c r="C567" s="694"/>
      <c r="D567" s="694"/>
      <c r="E567" s="694"/>
      <c r="F567" s="694"/>
      <c r="G567" s="692"/>
      <c r="H567" s="694"/>
      <c r="I567" s="694"/>
      <c r="J567" s="692"/>
      <c r="K567" s="692"/>
      <c r="L567" s="694"/>
      <c r="M567" s="694"/>
      <c r="N567" s="694"/>
      <c r="O567" s="694"/>
      <c r="P567" s="280"/>
      <c r="Q567" s="280"/>
      <c r="R567" s="280"/>
      <c r="S567" s="694"/>
      <c r="T567" s="694"/>
      <c r="U567" s="694"/>
      <c r="V567" s="1"/>
      <c r="W567" s="1"/>
      <c r="X567" s="1"/>
      <c r="Y567" s="1"/>
      <c r="Z567" s="1"/>
    </row>
    <row r="568" ht="14.25" customHeight="1">
      <c r="A568" s="1"/>
      <c r="B568" s="694"/>
      <c r="C568" s="694"/>
      <c r="D568" s="694"/>
      <c r="E568" s="694"/>
      <c r="F568" s="694"/>
      <c r="G568" s="692"/>
      <c r="H568" s="694"/>
      <c r="I568" s="694"/>
      <c r="J568" s="692"/>
      <c r="K568" s="692"/>
      <c r="L568" s="694"/>
      <c r="M568" s="694"/>
      <c r="N568" s="694"/>
      <c r="O568" s="694"/>
      <c r="P568" s="280"/>
      <c r="Q568" s="280"/>
      <c r="R568" s="280"/>
      <c r="S568" s="694"/>
      <c r="T568" s="694"/>
      <c r="U568" s="694"/>
      <c r="V568" s="1"/>
      <c r="W568" s="1"/>
      <c r="X568" s="1"/>
      <c r="Y568" s="1"/>
      <c r="Z568" s="1"/>
    </row>
    <row r="569" ht="14.25" customHeight="1">
      <c r="A569" s="1"/>
      <c r="B569" s="694"/>
      <c r="C569" s="694"/>
      <c r="D569" s="694"/>
      <c r="E569" s="694"/>
      <c r="F569" s="694"/>
      <c r="G569" s="692"/>
      <c r="H569" s="694"/>
      <c r="I569" s="694"/>
      <c r="J569" s="692"/>
      <c r="K569" s="692"/>
      <c r="L569" s="694"/>
      <c r="M569" s="694"/>
      <c r="N569" s="694"/>
      <c r="O569" s="694"/>
      <c r="P569" s="280"/>
      <c r="Q569" s="280"/>
      <c r="R569" s="280"/>
      <c r="S569" s="694"/>
      <c r="T569" s="694"/>
      <c r="U569" s="694"/>
      <c r="V569" s="1"/>
      <c r="W569" s="1"/>
      <c r="X569" s="1"/>
      <c r="Y569" s="1"/>
      <c r="Z569" s="1"/>
    </row>
    <row r="570" ht="14.25" customHeight="1">
      <c r="A570" s="1"/>
      <c r="B570" s="694"/>
      <c r="C570" s="694"/>
      <c r="D570" s="694"/>
      <c r="E570" s="694"/>
      <c r="F570" s="694"/>
      <c r="G570" s="692"/>
      <c r="H570" s="694"/>
      <c r="I570" s="694"/>
      <c r="J570" s="692"/>
      <c r="K570" s="692"/>
      <c r="L570" s="694"/>
      <c r="M570" s="694"/>
      <c r="N570" s="694"/>
      <c r="O570" s="694"/>
      <c r="P570" s="280"/>
      <c r="Q570" s="280"/>
      <c r="R570" s="280"/>
      <c r="S570" s="694"/>
      <c r="T570" s="694"/>
      <c r="U570" s="694"/>
      <c r="V570" s="1"/>
      <c r="W570" s="1"/>
      <c r="X570" s="1"/>
      <c r="Y570" s="1"/>
      <c r="Z570" s="1"/>
    </row>
    <row r="571" ht="14.25" customHeight="1">
      <c r="A571" s="1"/>
      <c r="B571" s="694"/>
      <c r="C571" s="694"/>
      <c r="D571" s="694"/>
      <c r="E571" s="694"/>
      <c r="F571" s="694"/>
      <c r="G571" s="692"/>
      <c r="H571" s="694"/>
      <c r="I571" s="694"/>
      <c r="J571" s="692"/>
      <c r="K571" s="692"/>
      <c r="L571" s="694"/>
      <c r="M571" s="694"/>
      <c r="N571" s="694"/>
      <c r="O571" s="694"/>
      <c r="P571" s="280"/>
      <c r="Q571" s="280"/>
      <c r="R571" s="280"/>
      <c r="S571" s="694"/>
      <c r="T571" s="694"/>
      <c r="U571" s="694"/>
      <c r="V571" s="1"/>
      <c r="W571" s="1"/>
      <c r="X571" s="1"/>
      <c r="Y571" s="1"/>
      <c r="Z571" s="1"/>
    </row>
    <row r="572" ht="14.25" customHeight="1">
      <c r="A572" s="1"/>
      <c r="B572" s="694"/>
      <c r="C572" s="694"/>
      <c r="D572" s="694"/>
      <c r="E572" s="694"/>
      <c r="F572" s="694"/>
      <c r="G572" s="692"/>
      <c r="H572" s="694"/>
      <c r="I572" s="694"/>
      <c r="J572" s="692"/>
      <c r="K572" s="692"/>
      <c r="L572" s="694"/>
      <c r="M572" s="694"/>
      <c r="N572" s="694"/>
      <c r="O572" s="694"/>
      <c r="P572" s="280"/>
      <c r="Q572" s="280"/>
      <c r="R572" s="280"/>
      <c r="S572" s="694"/>
      <c r="T572" s="694"/>
      <c r="U572" s="694"/>
      <c r="V572" s="1"/>
      <c r="W572" s="1"/>
      <c r="X572" s="1"/>
      <c r="Y572" s="1"/>
      <c r="Z572" s="1"/>
    </row>
    <row r="573" ht="14.25" customHeight="1">
      <c r="A573" s="1"/>
      <c r="B573" s="694"/>
      <c r="C573" s="694"/>
      <c r="D573" s="694"/>
      <c r="E573" s="694"/>
      <c r="F573" s="694"/>
      <c r="G573" s="692"/>
      <c r="H573" s="694"/>
      <c r="I573" s="694"/>
      <c r="J573" s="692"/>
      <c r="K573" s="692"/>
      <c r="L573" s="694"/>
      <c r="M573" s="694"/>
      <c r="N573" s="694"/>
      <c r="O573" s="694"/>
      <c r="P573" s="280"/>
      <c r="Q573" s="280"/>
      <c r="R573" s="280"/>
      <c r="S573" s="694"/>
      <c r="T573" s="694"/>
      <c r="U573" s="694"/>
      <c r="V573" s="1"/>
      <c r="W573" s="1"/>
      <c r="X573" s="1"/>
      <c r="Y573" s="1"/>
      <c r="Z573" s="1"/>
    </row>
    <row r="574" ht="14.25" customHeight="1">
      <c r="A574" s="1"/>
      <c r="B574" s="694"/>
      <c r="C574" s="694"/>
      <c r="D574" s="694"/>
      <c r="E574" s="694"/>
      <c r="F574" s="694"/>
      <c r="G574" s="692"/>
      <c r="H574" s="694"/>
      <c r="I574" s="694"/>
      <c r="J574" s="692"/>
      <c r="K574" s="692"/>
      <c r="L574" s="694"/>
      <c r="M574" s="694"/>
      <c r="N574" s="694"/>
      <c r="O574" s="694"/>
      <c r="P574" s="280"/>
      <c r="Q574" s="280"/>
      <c r="R574" s="280"/>
      <c r="S574" s="694"/>
      <c r="T574" s="694"/>
      <c r="U574" s="694"/>
      <c r="V574" s="1"/>
      <c r="W574" s="1"/>
      <c r="X574" s="1"/>
      <c r="Y574" s="1"/>
      <c r="Z574" s="1"/>
    </row>
    <row r="575" ht="14.25" customHeight="1">
      <c r="A575" s="1"/>
      <c r="B575" s="694"/>
      <c r="C575" s="694"/>
      <c r="D575" s="694"/>
      <c r="E575" s="694"/>
      <c r="F575" s="694"/>
      <c r="G575" s="692"/>
      <c r="H575" s="694"/>
      <c r="I575" s="694"/>
      <c r="J575" s="692"/>
      <c r="K575" s="692"/>
      <c r="L575" s="694"/>
      <c r="M575" s="694"/>
      <c r="N575" s="694"/>
      <c r="O575" s="694"/>
      <c r="P575" s="280"/>
      <c r="Q575" s="280"/>
      <c r="R575" s="280"/>
      <c r="S575" s="694"/>
      <c r="T575" s="694"/>
      <c r="U575" s="694"/>
      <c r="V575" s="1"/>
      <c r="W575" s="1"/>
      <c r="X575" s="1"/>
      <c r="Y575" s="1"/>
      <c r="Z575" s="1"/>
    </row>
    <row r="576" ht="14.25" customHeight="1">
      <c r="A576" s="1"/>
      <c r="B576" s="694"/>
      <c r="C576" s="694"/>
      <c r="D576" s="694"/>
      <c r="E576" s="694"/>
      <c r="F576" s="694"/>
      <c r="G576" s="692"/>
      <c r="H576" s="694"/>
      <c r="I576" s="694"/>
      <c r="J576" s="692"/>
      <c r="K576" s="692"/>
      <c r="L576" s="694"/>
      <c r="M576" s="694"/>
      <c r="N576" s="694"/>
      <c r="O576" s="694"/>
      <c r="P576" s="280"/>
      <c r="Q576" s="280"/>
      <c r="R576" s="280"/>
      <c r="S576" s="694"/>
      <c r="T576" s="694"/>
      <c r="U576" s="694"/>
      <c r="V576" s="1"/>
      <c r="W576" s="1"/>
      <c r="X576" s="1"/>
      <c r="Y576" s="1"/>
      <c r="Z576" s="1"/>
    </row>
    <row r="577" ht="14.25" customHeight="1">
      <c r="A577" s="1"/>
      <c r="B577" s="694"/>
      <c r="C577" s="694"/>
      <c r="D577" s="694"/>
      <c r="E577" s="694"/>
      <c r="F577" s="694"/>
      <c r="G577" s="692"/>
      <c r="H577" s="694"/>
      <c r="I577" s="694"/>
      <c r="J577" s="692"/>
      <c r="K577" s="692"/>
      <c r="L577" s="694"/>
      <c r="M577" s="694"/>
      <c r="N577" s="694"/>
      <c r="O577" s="694"/>
      <c r="P577" s="280"/>
      <c r="Q577" s="280"/>
      <c r="R577" s="280"/>
      <c r="S577" s="694"/>
      <c r="T577" s="694"/>
      <c r="U577" s="694"/>
      <c r="V577" s="1"/>
      <c r="W577" s="1"/>
      <c r="X577" s="1"/>
      <c r="Y577" s="1"/>
      <c r="Z577" s="1"/>
    </row>
    <row r="578" ht="14.25" customHeight="1">
      <c r="A578" s="1"/>
      <c r="B578" s="694"/>
      <c r="C578" s="694"/>
      <c r="D578" s="694"/>
      <c r="E578" s="694"/>
      <c r="F578" s="694"/>
      <c r="G578" s="692"/>
      <c r="H578" s="694"/>
      <c r="I578" s="694"/>
      <c r="J578" s="692"/>
      <c r="K578" s="692"/>
      <c r="L578" s="694"/>
      <c r="M578" s="694"/>
      <c r="N578" s="694"/>
      <c r="O578" s="694"/>
      <c r="P578" s="280"/>
      <c r="Q578" s="280"/>
      <c r="R578" s="280"/>
      <c r="S578" s="694"/>
      <c r="T578" s="694"/>
      <c r="U578" s="694"/>
      <c r="V578" s="1"/>
      <c r="W578" s="1"/>
      <c r="X578" s="1"/>
      <c r="Y578" s="1"/>
      <c r="Z578" s="1"/>
    </row>
    <row r="579" ht="14.25" customHeight="1">
      <c r="A579" s="1"/>
      <c r="B579" s="694"/>
      <c r="C579" s="694"/>
      <c r="D579" s="694"/>
      <c r="E579" s="694"/>
      <c r="F579" s="694"/>
      <c r="G579" s="692"/>
      <c r="H579" s="694"/>
      <c r="I579" s="694"/>
      <c r="J579" s="692"/>
      <c r="K579" s="692"/>
      <c r="L579" s="694"/>
      <c r="M579" s="694"/>
      <c r="N579" s="694"/>
      <c r="O579" s="694"/>
      <c r="P579" s="280"/>
      <c r="Q579" s="280"/>
      <c r="R579" s="280"/>
      <c r="S579" s="694"/>
      <c r="T579" s="694"/>
      <c r="U579" s="694"/>
      <c r="V579" s="1"/>
      <c r="W579" s="1"/>
      <c r="X579" s="1"/>
      <c r="Y579" s="1"/>
      <c r="Z579" s="1"/>
    </row>
    <row r="580" ht="14.25" customHeight="1">
      <c r="A580" s="1"/>
      <c r="B580" s="694"/>
      <c r="C580" s="694"/>
      <c r="D580" s="694"/>
      <c r="E580" s="694"/>
      <c r="F580" s="694"/>
      <c r="G580" s="692"/>
      <c r="H580" s="694"/>
      <c r="I580" s="694"/>
      <c r="J580" s="692"/>
      <c r="K580" s="692"/>
      <c r="L580" s="694"/>
      <c r="M580" s="694"/>
      <c r="N580" s="694"/>
      <c r="O580" s="694"/>
      <c r="P580" s="280"/>
      <c r="Q580" s="280"/>
      <c r="R580" s="280"/>
      <c r="S580" s="694"/>
      <c r="T580" s="694"/>
      <c r="U580" s="694"/>
      <c r="V580" s="1"/>
      <c r="W580" s="1"/>
      <c r="X580" s="1"/>
      <c r="Y580" s="1"/>
      <c r="Z580" s="1"/>
    </row>
    <row r="581" ht="14.25" customHeight="1">
      <c r="A581" s="1"/>
      <c r="B581" s="694"/>
      <c r="C581" s="694"/>
      <c r="D581" s="694"/>
      <c r="E581" s="694"/>
      <c r="F581" s="694"/>
      <c r="G581" s="692"/>
      <c r="H581" s="694"/>
      <c r="I581" s="694"/>
      <c r="J581" s="692"/>
      <c r="K581" s="692"/>
      <c r="L581" s="694"/>
      <c r="M581" s="694"/>
      <c r="N581" s="694"/>
      <c r="O581" s="694"/>
      <c r="P581" s="280"/>
      <c r="Q581" s="280"/>
      <c r="R581" s="280"/>
      <c r="S581" s="694"/>
      <c r="T581" s="694"/>
      <c r="U581" s="694"/>
      <c r="V581" s="1"/>
      <c r="W581" s="1"/>
      <c r="X581" s="1"/>
      <c r="Y581" s="1"/>
      <c r="Z581" s="1"/>
    </row>
    <row r="582" ht="14.25" customHeight="1">
      <c r="A582" s="1"/>
      <c r="B582" s="694"/>
      <c r="C582" s="694"/>
      <c r="D582" s="694"/>
      <c r="E582" s="694"/>
      <c r="F582" s="694"/>
      <c r="G582" s="692"/>
      <c r="H582" s="694"/>
      <c r="I582" s="694"/>
      <c r="J582" s="692"/>
      <c r="K582" s="692"/>
      <c r="L582" s="694"/>
      <c r="M582" s="694"/>
      <c r="N582" s="694"/>
      <c r="O582" s="694"/>
      <c r="P582" s="280"/>
      <c r="Q582" s="280"/>
      <c r="R582" s="280"/>
      <c r="S582" s="694"/>
      <c r="T582" s="694"/>
      <c r="U582" s="694"/>
      <c r="V582" s="1"/>
      <c r="W582" s="1"/>
      <c r="X582" s="1"/>
      <c r="Y582" s="1"/>
      <c r="Z582" s="1"/>
    </row>
    <row r="583" ht="14.25" customHeight="1">
      <c r="A583" s="1"/>
      <c r="B583" s="694"/>
      <c r="C583" s="694"/>
      <c r="D583" s="694"/>
      <c r="E583" s="694"/>
      <c r="F583" s="694"/>
      <c r="G583" s="692"/>
      <c r="H583" s="694"/>
      <c r="I583" s="694"/>
      <c r="J583" s="692"/>
      <c r="K583" s="692"/>
      <c r="L583" s="694"/>
      <c r="M583" s="694"/>
      <c r="N583" s="694"/>
      <c r="O583" s="694"/>
      <c r="P583" s="280"/>
      <c r="Q583" s="280"/>
      <c r="R583" s="280"/>
      <c r="S583" s="694"/>
      <c r="T583" s="694"/>
      <c r="U583" s="694"/>
      <c r="V583" s="1"/>
      <c r="W583" s="1"/>
      <c r="X583" s="1"/>
      <c r="Y583" s="1"/>
      <c r="Z583" s="1"/>
    </row>
    <row r="584" ht="14.25" customHeight="1">
      <c r="A584" s="1"/>
      <c r="B584" s="694"/>
      <c r="C584" s="694"/>
      <c r="D584" s="694"/>
      <c r="E584" s="694"/>
      <c r="F584" s="694"/>
      <c r="G584" s="692"/>
      <c r="H584" s="694"/>
      <c r="I584" s="694"/>
      <c r="J584" s="692"/>
      <c r="K584" s="692"/>
      <c r="L584" s="694"/>
      <c r="M584" s="694"/>
      <c r="N584" s="694"/>
      <c r="O584" s="694"/>
      <c r="P584" s="280"/>
      <c r="Q584" s="280"/>
      <c r="R584" s="280"/>
      <c r="S584" s="694"/>
      <c r="T584" s="694"/>
      <c r="U584" s="694"/>
      <c r="V584" s="1"/>
      <c r="W584" s="1"/>
      <c r="X584" s="1"/>
      <c r="Y584" s="1"/>
      <c r="Z584" s="1"/>
    </row>
    <row r="585" ht="14.25" customHeight="1">
      <c r="A585" s="1"/>
      <c r="B585" s="694"/>
      <c r="C585" s="694"/>
      <c r="D585" s="694"/>
      <c r="E585" s="694"/>
      <c r="F585" s="694"/>
      <c r="G585" s="692"/>
      <c r="H585" s="694"/>
      <c r="I585" s="694"/>
      <c r="J585" s="692"/>
      <c r="K585" s="692"/>
      <c r="L585" s="694"/>
      <c r="M585" s="694"/>
      <c r="N585" s="694"/>
      <c r="O585" s="694"/>
      <c r="P585" s="280"/>
      <c r="Q585" s="280"/>
      <c r="R585" s="280"/>
      <c r="S585" s="694"/>
      <c r="T585" s="694"/>
      <c r="U585" s="694"/>
      <c r="V585" s="1"/>
      <c r="W585" s="1"/>
      <c r="X585" s="1"/>
      <c r="Y585" s="1"/>
      <c r="Z585" s="1"/>
    </row>
    <row r="586" ht="14.25" customHeight="1">
      <c r="A586" s="1"/>
      <c r="B586" s="694"/>
      <c r="C586" s="694"/>
      <c r="D586" s="694"/>
      <c r="E586" s="694"/>
      <c r="F586" s="694"/>
      <c r="G586" s="692"/>
      <c r="H586" s="694"/>
      <c r="I586" s="694"/>
      <c r="J586" s="692"/>
      <c r="K586" s="692"/>
      <c r="L586" s="694"/>
      <c r="M586" s="694"/>
      <c r="N586" s="694"/>
      <c r="O586" s="694"/>
      <c r="P586" s="280"/>
      <c r="Q586" s="280"/>
      <c r="R586" s="280"/>
      <c r="S586" s="694"/>
      <c r="T586" s="694"/>
      <c r="U586" s="694"/>
      <c r="V586" s="1"/>
      <c r="W586" s="1"/>
      <c r="X586" s="1"/>
      <c r="Y586" s="1"/>
      <c r="Z586" s="1"/>
    </row>
    <row r="587" ht="14.25" customHeight="1">
      <c r="A587" s="1"/>
      <c r="B587" s="694"/>
      <c r="C587" s="694"/>
      <c r="D587" s="694"/>
      <c r="E587" s="694"/>
      <c r="F587" s="694"/>
      <c r="G587" s="692"/>
      <c r="H587" s="694"/>
      <c r="I587" s="694"/>
      <c r="J587" s="692"/>
      <c r="K587" s="692"/>
      <c r="L587" s="694"/>
      <c r="M587" s="694"/>
      <c r="N587" s="694"/>
      <c r="O587" s="694"/>
      <c r="P587" s="280"/>
      <c r="Q587" s="280"/>
      <c r="R587" s="280"/>
      <c r="S587" s="694"/>
      <c r="T587" s="694"/>
      <c r="U587" s="694"/>
      <c r="V587" s="1"/>
      <c r="W587" s="1"/>
      <c r="X587" s="1"/>
      <c r="Y587" s="1"/>
      <c r="Z587" s="1"/>
    </row>
    <row r="588" ht="14.25" customHeight="1">
      <c r="A588" s="1"/>
      <c r="B588" s="694"/>
      <c r="C588" s="694"/>
      <c r="D588" s="694"/>
      <c r="E588" s="694"/>
      <c r="F588" s="694"/>
      <c r="G588" s="692"/>
      <c r="H588" s="694"/>
      <c r="I588" s="694"/>
      <c r="J588" s="692"/>
      <c r="K588" s="692"/>
      <c r="L588" s="694"/>
      <c r="M588" s="694"/>
      <c r="N588" s="694"/>
      <c r="O588" s="694"/>
      <c r="P588" s="280"/>
      <c r="Q588" s="280"/>
      <c r="R588" s="280"/>
      <c r="S588" s="694"/>
      <c r="T588" s="694"/>
      <c r="U588" s="694"/>
      <c r="V588" s="1"/>
      <c r="W588" s="1"/>
      <c r="X588" s="1"/>
      <c r="Y588" s="1"/>
      <c r="Z588" s="1"/>
    </row>
    <row r="589" ht="14.25" customHeight="1">
      <c r="A589" s="1"/>
      <c r="B589" s="694"/>
      <c r="C589" s="694"/>
      <c r="D589" s="694"/>
      <c r="E589" s="694"/>
      <c r="F589" s="694"/>
      <c r="G589" s="692"/>
      <c r="H589" s="694"/>
      <c r="I589" s="694"/>
      <c r="J589" s="692"/>
      <c r="K589" s="692"/>
      <c r="L589" s="694"/>
      <c r="M589" s="694"/>
      <c r="N589" s="694"/>
      <c r="O589" s="694"/>
      <c r="P589" s="280"/>
      <c r="Q589" s="280"/>
      <c r="R589" s="280"/>
      <c r="S589" s="694"/>
      <c r="T589" s="694"/>
      <c r="U589" s="694"/>
      <c r="V589" s="1"/>
      <c r="W589" s="1"/>
      <c r="X589" s="1"/>
      <c r="Y589" s="1"/>
      <c r="Z589" s="1"/>
    </row>
    <row r="590" ht="14.25" customHeight="1">
      <c r="A590" s="1"/>
      <c r="B590" s="694"/>
      <c r="C590" s="694"/>
      <c r="D590" s="694"/>
      <c r="E590" s="694"/>
      <c r="F590" s="694"/>
      <c r="G590" s="692"/>
      <c r="H590" s="694"/>
      <c r="I590" s="694"/>
      <c r="J590" s="692"/>
      <c r="K590" s="692"/>
      <c r="L590" s="694"/>
      <c r="M590" s="694"/>
      <c r="N590" s="694"/>
      <c r="O590" s="694"/>
      <c r="P590" s="280"/>
      <c r="Q590" s="280"/>
      <c r="R590" s="280"/>
      <c r="S590" s="694"/>
      <c r="T590" s="694"/>
      <c r="U590" s="694"/>
      <c r="V590" s="1"/>
      <c r="W590" s="1"/>
      <c r="X590" s="1"/>
      <c r="Y590" s="1"/>
      <c r="Z590" s="1"/>
    </row>
    <row r="591" ht="14.25" customHeight="1">
      <c r="A591" s="1"/>
      <c r="B591" s="694"/>
      <c r="C591" s="694"/>
      <c r="D591" s="694"/>
      <c r="E591" s="694"/>
      <c r="F591" s="694"/>
      <c r="G591" s="692"/>
      <c r="H591" s="694"/>
      <c r="I591" s="694"/>
      <c r="J591" s="692"/>
      <c r="K591" s="692"/>
      <c r="L591" s="694"/>
      <c r="M591" s="694"/>
      <c r="N591" s="694"/>
      <c r="O591" s="694"/>
      <c r="P591" s="280"/>
      <c r="Q591" s="280"/>
      <c r="R591" s="280"/>
      <c r="S591" s="694"/>
      <c r="T591" s="694"/>
      <c r="U591" s="694"/>
      <c r="V591" s="1"/>
      <c r="W591" s="1"/>
      <c r="X591" s="1"/>
      <c r="Y591" s="1"/>
      <c r="Z591" s="1"/>
    </row>
    <row r="592" ht="14.25" customHeight="1">
      <c r="A592" s="1"/>
      <c r="B592" s="694"/>
      <c r="C592" s="694"/>
      <c r="D592" s="694"/>
      <c r="E592" s="694"/>
      <c r="F592" s="694"/>
      <c r="G592" s="692"/>
      <c r="H592" s="694"/>
      <c r="I592" s="694"/>
      <c r="J592" s="692"/>
      <c r="K592" s="692"/>
      <c r="L592" s="694"/>
      <c r="M592" s="694"/>
      <c r="N592" s="694"/>
      <c r="O592" s="694"/>
      <c r="P592" s="280"/>
      <c r="Q592" s="280"/>
      <c r="R592" s="280"/>
      <c r="S592" s="694"/>
      <c r="T592" s="694"/>
      <c r="U592" s="694"/>
      <c r="V592" s="1"/>
      <c r="W592" s="1"/>
      <c r="X592" s="1"/>
      <c r="Y592" s="1"/>
      <c r="Z592" s="1"/>
    </row>
    <row r="593" ht="14.25" customHeight="1">
      <c r="A593" s="1"/>
      <c r="B593" s="694"/>
      <c r="C593" s="694"/>
      <c r="D593" s="694"/>
      <c r="E593" s="694"/>
      <c r="F593" s="694"/>
      <c r="G593" s="692"/>
      <c r="H593" s="694"/>
      <c r="I593" s="694"/>
      <c r="J593" s="692"/>
      <c r="K593" s="692"/>
      <c r="L593" s="694"/>
      <c r="M593" s="694"/>
      <c r="N593" s="694"/>
      <c r="O593" s="694"/>
      <c r="P593" s="280"/>
      <c r="Q593" s="280"/>
      <c r="R593" s="280"/>
      <c r="S593" s="694"/>
      <c r="T593" s="694"/>
      <c r="U593" s="694"/>
      <c r="V593" s="1"/>
      <c r="W593" s="1"/>
      <c r="X593" s="1"/>
      <c r="Y593" s="1"/>
      <c r="Z593" s="1"/>
    </row>
    <row r="594" ht="14.25" customHeight="1">
      <c r="A594" s="1"/>
      <c r="B594" s="694"/>
      <c r="C594" s="694"/>
      <c r="D594" s="694"/>
      <c r="E594" s="694"/>
      <c r="F594" s="694"/>
      <c r="G594" s="692"/>
      <c r="H594" s="694"/>
      <c r="I594" s="694"/>
      <c r="J594" s="692"/>
      <c r="K594" s="692"/>
      <c r="L594" s="694"/>
      <c r="M594" s="694"/>
      <c r="N594" s="694"/>
      <c r="O594" s="694"/>
      <c r="P594" s="280"/>
      <c r="Q594" s="280"/>
      <c r="R594" s="280"/>
      <c r="S594" s="694"/>
      <c r="T594" s="694"/>
      <c r="U594" s="694"/>
      <c r="V594" s="1"/>
      <c r="W594" s="1"/>
      <c r="X594" s="1"/>
      <c r="Y594" s="1"/>
      <c r="Z594" s="1"/>
    </row>
    <row r="595" ht="14.25" customHeight="1">
      <c r="A595" s="1"/>
      <c r="B595" s="694"/>
      <c r="C595" s="694"/>
      <c r="D595" s="694"/>
      <c r="E595" s="694"/>
      <c r="F595" s="694"/>
      <c r="G595" s="692"/>
      <c r="H595" s="694"/>
      <c r="I595" s="694"/>
      <c r="J595" s="692"/>
      <c r="K595" s="692"/>
      <c r="L595" s="694"/>
      <c r="M595" s="694"/>
      <c r="N595" s="694"/>
      <c r="O595" s="694"/>
      <c r="P595" s="280"/>
      <c r="Q595" s="280"/>
      <c r="R595" s="280"/>
      <c r="S595" s="694"/>
      <c r="T595" s="694"/>
      <c r="U595" s="694"/>
      <c r="V595" s="1"/>
      <c r="W595" s="1"/>
      <c r="X595" s="1"/>
      <c r="Y595" s="1"/>
      <c r="Z595" s="1"/>
    </row>
    <row r="596" ht="14.25" customHeight="1">
      <c r="A596" s="1"/>
      <c r="B596" s="694"/>
      <c r="C596" s="694"/>
      <c r="D596" s="694"/>
      <c r="E596" s="694"/>
      <c r="F596" s="694"/>
      <c r="G596" s="692"/>
      <c r="H596" s="694"/>
      <c r="I596" s="694"/>
      <c r="J596" s="692"/>
      <c r="K596" s="692"/>
      <c r="L596" s="694"/>
      <c r="M596" s="694"/>
      <c r="N596" s="694"/>
      <c r="O596" s="694"/>
      <c r="P596" s="280"/>
      <c r="Q596" s="280"/>
      <c r="R596" s="280"/>
      <c r="S596" s="694"/>
      <c r="T596" s="694"/>
      <c r="U596" s="694"/>
      <c r="V596" s="1"/>
      <c r="W596" s="1"/>
      <c r="X596" s="1"/>
      <c r="Y596" s="1"/>
      <c r="Z596" s="1"/>
    </row>
    <row r="597" ht="14.25" customHeight="1">
      <c r="A597" s="1"/>
      <c r="B597" s="694"/>
      <c r="C597" s="694"/>
      <c r="D597" s="694"/>
      <c r="E597" s="694"/>
      <c r="F597" s="694"/>
      <c r="G597" s="692"/>
      <c r="H597" s="694"/>
      <c r="I597" s="694"/>
      <c r="J597" s="692"/>
      <c r="K597" s="692"/>
      <c r="L597" s="694"/>
      <c r="M597" s="694"/>
      <c r="N597" s="694"/>
      <c r="O597" s="694"/>
      <c r="P597" s="280"/>
      <c r="Q597" s="280"/>
      <c r="R597" s="280"/>
      <c r="S597" s="694"/>
      <c r="T597" s="694"/>
      <c r="U597" s="694"/>
      <c r="V597" s="1"/>
      <c r="W597" s="1"/>
      <c r="X597" s="1"/>
      <c r="Y597" s="1"/>
      <c r="Z597" s="1"/>
    </row>
    <row r="598" ht="14.25" customHeight="1">
      <c r="A598" s="1"/>
      <c r="B598" s="694"/>
      <c r="C598" s="694"/>
      <c r="D598" s="694"/>
      <c r="E598" s="694"/>
      <c r="F598" s="694"/>
      <c r="G598" s="692"/>
      <c r="H598" s="694"/>
      <c r="I598" s="694"/>
      <c r="J598" s="692"/>
      <c r="K598" s="692"/>
      <c r="L598" s="694"/>
      <c r="M598" s="694"/>
      <c r="N598" s="694"/>
      <c r="O598" s="694"/>
      <c r="P598" s="280"/>
      <c r="Q598" s="280"/>
      <c r="R598" s="280"/>
      <c r="S598" s="694"/>
      <c r="T598" s="694"/>
      <c r="U598" s="694"/>
      <c r="V598" s="1"/>
      <c r="W598" s="1"/>
      <c r="X598" s="1"/>
      <c r="Y598" s="1"/>
      <c r="Z598" s="1"/>
    </row>
    <row r="599" ht="14.25" customHeight="1">
      <c r="A599" s="1"/>
      <c r="B599" s="694"/>
      <c r="C599" s="694"/>
      <c r="D599" s="694"/>
      <c r="E599" s="694"/>
      <c r="F599" s="694"/>
      <c r="G599" s="692"/>
      <c r="H599" s="694"/>
      <c r="I599" s="694"/>
      <c r="J599" s="692"/>
      <c r="K599" s="692"/>
      <c r="L599" s="694"/>
      <c r="M599" s="694"/>
      <c r="N599" s="694"/>
      <c r="O599" s="694"/>
      <c r="P599" s="280"/>
      <c r="Q599" s="280"/>
      <c r="R599" s="280"/>
      <c r="S599" s="694"/>
      <c r="T599" s="694"/>
      <c r="U599" s="694"/>
      <c r="V599" s="1"/>
      <c r="W599" s="1"/>
      <c r="X599" s="1"/>
      <c r="Y599" s="1"/>
      <c r="Z599" s="1"/>
    </row>
    <row r="600" ht="14.25" customHeight="1">
      <c r="A600" s="1"/>
      <c r="B600" s="694"/>
      <c r="C600" s="694"/>
      <c r="D600" s="694"/>
      <c r="E600" s="694"/>
      <c r="F600" s="694"/>
      <c r="G600" s="692"/>
      <c r="H600" s="694"/>
      <c r="I600" s="694"/>
      <c r="J600" s="692"/>
      <c r="K600" s="692"/>
      <c r="L600" s="694"/>
      <c r="M600" s="694"/>
      <c r="N600" s="694"/>
      <c r="O600" s="694"/>
      <c r="P600" s="280"/>
      <c r="Q600" s="280"/>
      <c r="R600" s="280"/>
      <c r="S600" s="694"/>
      <c r="T600" s="694"/>
      <c r="U600" s="694"/>
      <c r="V600" s="1"/>
      <c r="W600" s="1"/>
      <c r="X600" s="1"/>
      <c r="Y600" s="1"/>
      <c r="Z600" s="1"/>
    </row>
    <row r="601" ht="14.25" customHeight="1">
      <c r="A601" s="1"/>
      <c r="B601" s="694"/>
      <c r="C601" s="694"/>
      <c r="D601" s="694"/>
      <c r="E601" s="694"/>
      <c r="F601" s="694"/>
      <c r="G601" s="692"/>
      <c r="H601" s="694"/>
      <c r="I601" s="694"/>
      <c r="J601" s="692"/>
      <c r="K601" s="692"/>
      <c r="L601" s="694"/>
      <c r="M601" s="694"/>
      <c r="N601" s="694"/>
      <c r="O601" s="694"/>
      <c r="P601" s="280"/>
      <c r="Q601" s="280"/>
      <c r="R601" s="280"/>
      <c r="S601" s="694"/>
      <c r="T601" s="694"/>
      <c r="U601" s="694"/>
      <c r="V601" s="1"/>
      <c r="W601" s="1"/>
      <c r="X601" s="1"/>
      <c r="Y601" s="1"/>
      <c r="Z601" s="1"/>
    </row>
    <row r="602" ht="14.25" customHeight="1">
      <c r="A602" s="1"/>
      <c r="B602" s="694"/>
      <c r="C602" s="694"/>
      <c r="D602" s="694"/>
      <c r="E602" s="694"/>
      <c r="F602" s="694"/>
      <c r="G602" s="692"/>
      <c r="H602" s="694"/>
      <c r="I602" s="694"/>
      <c r="J602" s="692"/>
      <c r="K602" s="692"/>
      <c r="L602" s="694"/>
      <c r="M602" s="694"/>
      <c r="N602" s="694"/>
      <c r="O602" s="694"/>
      <c r="P602" s="280"/>
      <c r="Q602" s="280"/>
      <c r="R602" s="280"/>
      <c r="S602" s="694"/>
      <c r="T602" s="694"/>
      <c r="U602" s="694"/>
      <c r="V602" s="1"/>
      <c r="W602" s="1"/>
      <c r="X602" s="1"/>
      <c r="Y602" s="1"/>
      <c r="Z602" s="1"/>
    </row>
    <row r="603" ht="14.25" customHeight="1">
      <c r="A603" s="1"/>
      <c r="B603" s="694"/>
      <c r="C603" s="694"/>
      <c r="D603" s="694"/>
      <c r="E603" s="694"/>
      <c r="F603" s="694"/>
      <c r="G603" s="692"/>
      <c r="H603" s="694"/>
      <c r="I603" s="694"/>
      <c r="J603" s="692"/>
      <c r="K603" s="692"/>
      <c r="L603" s="694"/>
      <c r="M603" s="694"/>
      <c r="N603" s="694"/>
      <c r="O603" s="694"/>
      <c r="P603" s="280"/>
      <c r="Q603" s="280"/>
      <c r="R603" s="280"/>
      <c r="S603" s="694"/>
      <c r="T603" s="694"/>
      <c r="U603" s="694"/>
      <c r="V603" s="1"/>
      <c r="W603" s="1"/>
      <c r="X603" s="1"/>
      <c r="Y603" s="1"/>
      <c r="Z603" s="1"/>
    </row>
    <row r="604" ht="14.25" customHeight="1">
      <c r="A604" s="1"/>
      <c r="B604" s="694"/>
      <c r="C604" s="694"/>
      <c r="D604" s="694"/>
      <c r="E604" s="694"/>
      <c r="F604" s="694"/>
      <c r="G604" s="692"/>
      <c r="H604" s="694"/>
      <c r="I604" s="694"/>
      <c r="J604" s="692"/>
      <c r="K604" s="692"/>
      <c r="L604" s="694"/>
      <c r="M604" s="694"/>
      <c r="N604" s="694"/>
      <c r="O604" s="694"/>
      <c r="P604" s="280"/>
      <c r="Q604" s="280"/>
      <c r="R604" s="280"/>
      <c r="S604" s="694"/>
      <c r="T604" s="694"/>
      <c r="U604" s="694"/>
      <c r="V604" s="1"/>
      <c r="W604" s="1"/>
      <c r="X604" s="1"/>
      <c r="Y604" s="1"/>
      <c r="Z604" s="1"/>
    </row>
    <row r="605" ht="14.25" customHeight="1">
      <c r="A605" s="1"/>
      <c r="B605" s="694"/>
      <c r="C605" s="694"/>
      <c r="D605" s="694"/>
      <c r="E605" s="694"/>
      <c r="F605" s="694"/>
      <c r="G605" s="692"/>
      <c r="H605" s="694"/>
      <c r="I605" s="694"/>
      <c r="J605" s="692"/>
      <c r="K605" s="692"/>
      <c r="L605" s="694"/>
      <c r="M605" s="694"/>
      <c r="N605" s="694"/>
      <c r="O605" s="694"/>
      <c r="P605" s="280"/>
      <c r="Q605" s="280"/>
      <c r="R605" s="280"/>
      <c r="S605" s="694"/>
      <c r="T605" s="694"/>
      <c r="U605" s="694"/>
      <c r="V605" s="1"/>
      <c r="W605" s="1"/>
      <c r="X605" s="1"/>
      <c r="Y605" s="1"/>
      <c r="Z605" s="1"/>
    </row>
    <row r="606" ht="14.25" customHeight="1">
      <c r="A606" s="1"/>
      <c r="B606" s="694"/>
      <c r="C606" s="694"/>
      <c r="D606" s="694"/>
      <c r="E606" s="694"/>
      <c r="F606" s="694"/>
      <c r="G606" s="692"/>
      <c r="H606" s="694"/>
      <c r="I606" s="694"/>
      <c r="J606" s="692"/>
      <c r="K606" s="692"/>
      <c r="L606" s="694"/>
      <c r="M606" s="694"/>
      <c r="N606" s="694"/>
      <c r="O606" s="694"/>
      <c r="P606" s="280"/>
      <c r="Q606" s="280"/>
      <c r="R606" s="280"/>
      <c r="S606" s="694"/>
      <c r="T606" s="694"/>
      <c r="U606" s="694"/>
      <c r="V606" s="1"/>
      <c r="W606" s="1"/>
      <c r="X606" s="1"/>
      <c r="Y606" s="1"/>
      <c r="Z606" s="1"/>
    </row>
    <row r="607" ht="14.25" customHeight="1">
      <c r="A607" s="1"/>
      <c r="B607" s="694"/>
      <c r="C607" s="694"/>
      <c r="D607" s="694"/>
      <c r="E607" s="694"/>
      <c r="F607" s="694"/>
      <c r="G607" s="692"/>
      <c r="H607" s="694"/>
      <c r="I607" s="694"/>
      <c r="J607" s="692"/>
      <c r="K607" s="692"/>
      <c r="L607" s="694"/>
      <c r="M607" s="694"/>
      <c r="N607" s="694"/>
      <c r="O607" s="694"/>
      <c r="P607" s="280"/>
      <c r="Q607" s="280"/>
      <c r="R607" s="280"/>
      <c r="S607" s="694"/>
      <c r="T607" s="694"/>
      <c r="U607" s="694"/>
      <c r="V607" s="1"/>
      <c r="W607" s="1"/>
      <c r="X607" s="1"/>
      <c r="Y607" s="1"/>
      <c r="Z607" s="1"/>
    </row>
    <row r="608" ht="14.25" customHeight="1">
      <c r="A608" s="1"/>
      <c r="B608" s="694"/>
      <c r="C608" s="694"/>
      <c r="D608" s="694"/>
      <c r="E608" s="694"/>
      <c r="F608" s="694"/>
      <c r="G608" s="692"/>
      <c r="H608" s="694"/>
      <c r="I608" s="694"/>
      <c r="J608" s="692"/>
      <c r="K608" s="692"/>
      <c r="L608" s="694"/>
      <c r="M608" s="694"/>
      <c r="N608" s="694"/>
      <c r="O608" s="694"/>
      <c r="P608" s="280"/>
      <c r="Q608" s="280"/>
      <c r="R608" s="280"/>
      <c r="S608" s="694"/>
      <c r="T608" s="694"/>
      <c r="U608" s="694"/>
      <c r="V608" s="1"/>
      <c r="W608" s="1"/>
      <c r="X608" s="1"/>
      <c r="Y608" s="1"/>
      <c r="Z608" s="1"/>
    </row>
    <row r="609" ht="14.25" customHeight="1">
      <c r="A609" s="1"/>
      <c r="B609" s="694"/>
      <c r="C609" s="694"/>
      <c r="D609" s="694"/>
      <c r="E609" s="694"/>
      <c r="F609" s="694"/>
      <c r="G609" s="692"/>
      <c r="H609" s="694"/>
      <c r="I609" s="694"/>
      <c r="J609" s="692"/>
      <c r="K609" s="692"/>
      <c r="L609" s="694"/>
      <c r="M609" s="694"/>
      <c r="N609" s="694"/>
      <c r="O609" s="694"/>
      <c r="P609" s="280"/>
      <c r="Q609" s="280"/>
      <c r="R609" s="280"/>
      <c r="S609" s="694"/>
      <c r="T609" s="694"/>
      <c r="U609" s="694"/>
      <c r="V609" s="1"/>
      <c r="W609" s="1"/>
      <c r="X609" s="1"/>
      <c r="Y609" s="1"/>
      <c r="Z609" s="1"/>
    </row>
    <row r="610" ht="14.25" customHeight="1">
      <c r="A610" s="1"/>
      <c r="B610" s="694"/>
      <c r="C610" s="694"/>
      <c r="D610" s="694"/>
      <c r="E610" s="694"/>
      <c r="F610" s="694"/>
      <c r="G610" s="692"/>
      <c r="H610" s="694"/>
      <c r="I610" s="694"/>
      <c r="J610" s="692"/>
      <c r="K610" s="692"/>
      <c r="L610" s="694"/>
      <c r="M610" s="694"/>
      <c r="N610" s="694"/>
      <c r="O610" s="694"/>
      <c r="P610" s="280"/>
      <c r="Q610" s="280"/>
      <c r="R610" s="280"/>
      <c r="S610" s="694"/>
      <c r="T610" s="694"/>
      <c r="U610" s="694"/>
      <c r="V610" s="1"/>
      <c r="W610" s="1"/>
      <c r="X610" s="1"/>
      <c r="Y610" s="1"/>
      <c r="Z610" s="1"/>
    </row>
    <row r="611" ht="14.25" customHeight="1">
      <c r="A611" s="1"/>
      <c r="B611" s="694"/>
      <c r="C611" s="694"/>
      <c r="D611" s="694"/>
      <c r="E611" s="694"/>
      <c r="F611" s="694"/>
      <c r="G611" s="692"/>
      <c r="H611" s="694"/>
      <c r="I611" s="694"/>
      <c r="J611" s="692"/>
      <c r="K611" s="692"/>
      <c r="L611" s="694"/>
      <c r="M611" s="694"/>
      <c r="N611" s="694"/>
      <c r="O611" s="694"/>
      <c r="P611" s="280"/>
      <c r="Q611" s="280"/>
      <c r="R611" s="280"/>
      <c r="S611" s="694"/>
      <c r="T611" s="694"/>
      <c r="U611" s="694"/>
      <c r="V611" s="1"/>
      <c r="W611" s="1"/>
      <c r="X611" s="1"/>
      <c r="Y611" s="1"/>
      <c r="Z611" s="1"/>
    </row>
    <row r="612" ht="14.25" customHeight="1">
      <c r="A612" s="1"/>
      <c r="B612" s="694"/>
      <c r="C612" s="694"/>
      <c r="D612" s="694"/>
      <c r="E612" s="694"/>
      <c r="F612" s="694"/>
      <c r="G612" s="692"/>
      <c r="H612" s="694"/>
      <c r="I612" s="694"/>
      <c r="J612" s="692"/>
      <c r="K612" s="692"/>
      <c r="L612" s="694"/>
      <c r="M612" s="694"/>
      <c r="N612" s="694"/>
      <c r="O612" s="694"/>
      <c r="P612" s="280"/>
      <c r="Q612" s="280"/>
      <c r="R612" s="280"/>
      <c r="S612" s="694"/>
      <c r="T612" s="694"/>
      <c r="U612" s="694"/>
      <c r="V612" s="1"/>
      <c r="W612" s="1"/>
      <c r="X612" s="1"/>
      <c r="Y612" s="1"/>
      <c r="Z612" s="1"/>
    </row>
    <row r="613" ht="14.25" customHeight="1">
      <c r="A613" s="1"/>
      <c r="B613" s="694"/>
      <c r="C613" s="694"/>
      <c r="D613" s="694"/>
      <c r="E613" s="694"/>
      <c r="F613" s="694"/>
      <c r="G613" s="692"/>
      <c r="H613" s="694"/>
      <c r="I613" s="694"/>
      <c r="J613" s="692"/>
      <c r="K613" s="692"/>
      <c r="L613" s="694"/>
      <c r="M613" s="694"/>
      <c r="N613" s="694"/>
      <c r="O613" s="694"/>
      <c r="P613" s="280"/>
      <c r="Q613" s="280"/>
      <c r="R613" s="280"/>
      <c r="S613" s="694"/>
      <c r="T613" s="694"/>
      <c r="U613" s="694"/>
      <c r="V613" s="1"/>
      <c r="W613" s="1"/>
      <c r="X613" s="1"/>
      <c r="Y613" s="1"/>
      <c r="Z613" s="1"/>
    </row>
    <row r="614" ht="14.25" customHeight="1">
      <c r="A614" s="1"/>
      <c r="B614" s="694"/>
      <c r="C614" s="694"/>
      <c r="D614" s="694"/>
      <c r="E614" s="694"/>
      <c r="F614" s="694"/>
      <c r="G614" s="692"/>
      <c r="H614" s="694"/>
      <c r="I614" s="694"/>
      <c r="J614" s="692"/>
      <c r="K614" s="692"/>
      <c r="L614" s="694"/>
      <c r="M614" s="694"/>
      <c r="N614" s="694"/>
      <c r="O614" s="694"/>
      <c r="P614" s="280"/>
      <c r="Q614" s="280"/>
      <c r="R614" s="280"/>
      <c r="S614" s="694"/>
      <c r="T614" s="694"/>
      <c r="U614" s="694"/>
      <c r="V614" s="1"/>
      <c r="W614" s="1"/>
      <c r="X614" s="1"/>
      <c r="Y614" s="1"/>
      <c r="Z614" s="1"/>
    </row>
    <row r="615" ht="14.25" customHeight="1">
      <c r="A615" s="1"/>
      <c r="B615" s="694"/>
      <c r="C615" s="694"/>
      <c r="D615" s="694"/>
      <c r="E615" s="694"/>
      <c r="F615" s="694"/>
      <c r="G615" s="692"/>
      <c r="H615" s="694"/>
      <c r="I615" s="694"/>
      <c r="J615" s="692"/>
      <c r="K615" s="692"/>
      <c r="L615" s="694"/>
      <c r="M615" s="694"/>
      <c r="N615" s="694"/>
      <c r="O615" s="694"/>
      <c r="P615" s="280"/>
      <c r="Q615" s="280"/>
      <c r="R615" s="280"/>
      <c r="S615" s="694"/>
      <c r="T615" s="694"/>
      <c r="U615" s="694"/>
      <c r="V615" s="1"/>
      <c r="W615" s="1"/>
      <c r="X615" s="1"/>
      <c r="Y615" s="1"/>
      <c r="Z615" s="1"/>
    </row>
    <row r="616" ht="14.25" customHeight="1">
      <c r="A616" s="1"/>
      <c r="B616" s="694"/>
      <c r="C616" s="694"/>
      <c r="D616" s="694"/>
      <c r="E616" s="694"/>
      <c r="F616" s="694"/>
      <c r="G616" s="692"/>
      <c r="H616" s="694"/>
      <c r="I616" s="694"/>
      <c r="J616" s="692"/>
      <c r="K616" s="692"/>
      <c r="L616" s="694"/>
      <c r="M616" s="694"/>
      <c r="N616" s="694"/>
      <c r="O616" s="694"/>
      <c r="P616" s="280"/>
      <c r="Q616" s="280"/>
      <c r="R616" s="280"/>
      <c r="S616" s="694"/>
      <c r="T616" s="694"/>
      <c r="U616" s="694"/>
      <c r="V616" s="1"/>
      <c r="W616" s="1"/>
      <c r="X616" s="1"/>
      <c r="Y616" s="1"/>
      <c r="Z616" s="1"/>
    </row>
    <row r="617" ht="14.25" customHeight="1">
      <c r="A617" s="1"/>
      <c r="B617" s="694"/>
      <c r="C617" s="694"/>
      <c r="D617" s="694"/>
      <c r="E617" s="694"/>
      <c r="F617" s="694"/>
      <c r="G617" s="692"/>
      <c r="H617" s="694"/>
      <c r="I617" s="694"/>
      <c r="J617" s="692"/>
      <c r="K617" s="692"/>
      <c r="L617" s="694"/>
      <c r="M617" s="694"/>
      <c r="N617" s="694"/>
      <c r="O617" s="694"/>
      <c r="P617" s="280"/>
      <c r="Q617" s="280"/>
      <c r="R617" s="280"/>
      <c r="S617" s="694"/>
      <c r="T617" s="694"/>
      <c r="U617" s="694"/>
      <c r="V617" s="1"/>
      <c r="W617" s="1"/>
      <c r="X617" s="1"/>
      <c r="Y617" s="1"/>
      <c r="Z617" s="1"/>
    </row>
    <row r="618" ht="14.25" customHeight="1">
      <c r="A618" s="1"/>
      <c r="B618" s="694"/>
      <c r="C618" s="694"/>
      <c r="D618" s="694"/>
      <c r="E618" s="694"/>
      <c r="F618" s="694"/>
      <c r="G618" s="692"/>
      <c r="H618" s="694"/>
      <c r="I618" s="694"/>
      <c r="J618" s="692"/>
      <c r="K618" s="692"/>
      <c r="L618" s="694"/>
      <c r="M618" s="694"/>
      <c r="N618" s="694"/>
      <c r="O618" s="694"/>
      <c r="P618" s="280"/>
      <c r="Q618" s="280"/>
      <c r="R618" s="280"/>
      <c r="S618" s="694"/>
      <c r="T618" s="694"/>
      <c r="U618" s="694"/>
      <c r="V618" s="1"/>
      <c r="W618" s="1"/>
      <c r="X618" s="1"/>
      <c r="Y618" s="1"/>
      <c r="Z618" s="1"/>
    </row>
    <row r="619" ht="14.25" customHeight="1">
      <c r="A619" s="1"/>
      <c r="B619" s="694"/>
      <c r="C619" s="694"/>
      <c r="D619" s="694"/>
      <c r="E619" s="694"/>
      <c r="F619" s="694"/>
      <c r="G619" s="692"/>
      <c r="H619" s="694"/>
      <c r="I619" s="694"/>
      <c r="J619" s="692"/>
      <c r="K619" s="692"/>
      <c r="L619" s="694"/>
      <c r="M619" s="694"/>
      <c r="N619" s="694"/>
      <c r="O619" s="694"/>
      <c r="P619" s="280"/>
      <c r="Q619" s="280"/>
      <c r="R619" s="280"/>
      <c r="S619" s="694"/>
      <c r="T619" s="694"/>
      <c r="U619" s="694"/>
      <c r="V619" s="1"/>
      <c r="W619" s="1"/>
      <c r="X619" s="1"/>
      <c r="Y619" s="1"/>
      <c r="Z619" s="1"/>
    </row>
    <row r="620" ht="14.25" customHeight="1">
      <c r="A620" s="1"/>
      <c r="B620" s="694"/>
      <c r="C620" s="694"/>
      <c r="D620" s="694"/>
      <c r="E620" s="694"/>
      <c r="F620" s="694"/>
      <c r="G620" s="692"/>
      <c r="H620" s="694"/>
      <c r="I620" s="694"/>
      <c r="J620" s="692"/>
      <c r="K620" s="692"/>
      <c r="L620" s="694"/>
      <c r="M620" s="694"/>
      <c r="N620" s="694"/>
      <c r="O620" s="694"/>
      <c r="P620" s="280"/>
      <c r="Q620" s="280"/>
      <c r="R620" s="280"/>
      <c r="S620" s="694"/>
      <c r="T620" s="694"/>
      <c r="U620" s="694"/>
      <c r="V620" s="1"/>
      <c r="W620" s="1"/>
      <c r="X620" s="1"/>
      <c r="Y620" s="1"/>
      <c r="Z620" s="1"/>
    </row>
    <row r="621" ht="14.25" customHeight="1">
      <c r="A621" s="1"/>
      <c r="B621" s="694"/>
      <c r="C621" s="694"/>
      <c r="D621" s="694"/>
      <c r="E621" s="694"/>
      <c r="F621" s="694"/>
      <c r="G621" s="692"/>
      <c r="H621" s="694"/>
      <c r="I621" s="694"/>
      <c r="J621" s="692"/>
      <c r="K621" s="692"/>
      <c r="L621" s="694"/>
      <c r="M621" s="694"/>
      <c r="N621" s="694"/>
      <c r="O621" s="694"/>
      <c r="P621" s="280"/>
      <c r="Q621" s="280"/>
      <c r="R621" s="280"/>
      <c r="S621" s="694"/>
      <c r="T621" s="694"/>
      <c r="U621" s="694"/>
      <c r="V621" s="1"/>
      <c r="W621" s="1"/>
      <c r="X621" s="1"/>
      <c r="Y621" s="1"/>
      <c r="Z621" s="1"/>
    </row>
    <row r="622" ht="14.25" customHeight="1">
      <c r="A622" s="1"/>
      <c r="B622" s="694"/>
      <c r="C622" s="694"/>
      <c r="D622" s="694"/>
      <c r="E622" s="694"/>
      <c r="F622" s="694"/>
      <c r="G622" s="692"/>
      <c r="H622" s="694"/>
      <c r="I622" s="694"/>
      <c r="J622" s="692"/>
      <c r="K622" s="692"/>
      <c r="L622" s="694"/>
      <c r="M622" s="694"/>
      <c r="N622" s="694"/>
      <c r="O622" s="694"/>
      <c r="P622" s="280"/>
      <c r="Q622" s="280"/>
      <c r="R622" s="280"/>
      <c r="S622" s="694"/>
      <c r="T622" s="694"/>
      <c r="U622" s="694"/>
      <c r="V622" s="1"/>
      <c r="W622" s="1"/>
      <c r="X622" s="1"/>
      <c r="Y622" s="1"/>
      <c r="Z622" s="1"/>
    </row>
    <row r="623" ht="14.25" customHeight="1">
      <c r="A623" s="1"/>
      <c r="B623" s="694"/>
      <c r="C623" s="694"/>
      <c r="D623" s="694"/>
      <c r="E623" s="694"/>
      <c r="F623" s="694"/>
      <c r="G623" s="692"/>
      <c r="H623" s="694"/>
      <c r="I623" s="694"/>
      <c r="J623" s="692"/>
      <c r="K623" s="692"/>
      <c r="L623" s="694"/>
      <c r="M623" s="694"/>
      <c r="N623" s="694"/>
      <c r="O623" s="694"/>
      <c r="P623" s="280"/>
      <c r="Q623" s="280"/>
      <c r="R623" s="280"/>
      <c r="S623" s="694"/>
      <c r="T623" s="694"/>
      <c r="U623" s="694"/>
      <c r="V623" s="1"/>
      <c r="W623" s="1"/>
      <c r="X623" s="1"/>
      <c r="Y623" s="1"/>
      <c r="Z623" s="1"/>
    </row>
    <row r="624" ht="14.25" customHeight="1">
      <c r="A624" s="1"/>
      <c r="B624" s="694"/>
      <c r="C624" s="694"/>
      <c r="D624" s="694"/>
      <c r="E624" s="694"/>
      <c r="F624" s="694"/>
      <c r="G624" s="692"/>
      <c r="H624" s="694"/>
      <c r="I624" s="694"/>
      <c r="J624" s="692"/>
      <c r="K624" s="692"/>
      <c r="L624" s="694"/>
      <c r="M624" s="694"/>
      <c r="N624" s="694"/>
      <c r="O624" s="694"/>
      <c r="P624" s="280"/>
      <c r="Q624" s="280"/>
      <c r="R624" s="280"/>
      <c r="S624" s="694"/>
      <c r="T624" s="694"/>
      <c r="U624" s="694"/>
      <c r="V624" s="1"/>
      <c r="W624" s="1"/>
      <c r="X624" s="1"/>
      <c r="Y624" s="1"/>
      <c r="Z624" s="1"/>
    </row>
    <row r="625" ht="14.25" customHeight="1">
      <c r="A625" s="1"/>
      <c r="B625" s="694"/>
      <c r="C625" s="694"/>
      <c r="D625" s="694"/>
      <c r="E625" s="694"/>
      <c r="F625" s="694"/>
      <c r="G625" s="692"/>
      <c r="H625" s="694"/>
      <c r="I625" s="694"/>
      <c r="J625" s="692"/>
      <c r="K625" s="692"/>
      <c r="L625" s="694"/>
      <c r="M625" s="694"/>
      <c r="N625" s="694"/>
      <c r="O625" s="694"/>
      <c r="P625" s="280"/>
      <c r="Q625" s="280"/>
      <c r="R625" s="280"/>
      <c r="S625" s="694"/>
      <c r="T625" s="694"/>
      <c r="U625" s="694"/>
      <c r="V625" s="1"/>
      <c r="W625" s="1"/>
      <c r="X625" s="1"/>
      <c r="Y625" s="1"/>
      <c r="Z625" s="1"/>
    </row>
    <row r="626" ht="14.25" customHeight="1">
      <c r="A626" s="1"/>
      <c r="B626" s="694"/>
      <c r="C626" s="694"/>
      <c r="D626" s="694"/>
      <c r="E626" s="694"/>
      <c r="F626" s="694"/>
      <c r="G626" s="692"/>
      <c r="H626" s="694"/>
      <c r="I626" s="694"/>
      <c r="J626" s="692"/>
      <c r="K626" s="692"/>
      <c r="L626" s="694"/>
      <c r="M626" s="694"/>
      <c r="N626" s="694"/>
      <c r="O626" s="694"/>
      <c r="P626" s="280"/>
      <c r="Q626" s="280"/>
      <c r="R626" s="280"/>
      <c r="S626" s="694"/>
      <c r="T626" s="694"/>
      <c r="U626" s="694"/>
      <c r="V626" s="1"/>
      <c r="W626" s="1"/>
      <c r="X626" s="1"/>
      <c r="Y626" s="1"/>
      <c r="Z626" s="1"/>
    </row>
    <row r="627" ht="14.25" customHeight="1">
      <c r="A627" s="1"/>
      <c r="B627" s="694"/>
      <c r="C627" s="694"/>
      <c r="D627" s="694"/>
      <c r="E627" s="694"/>
      <c r="F627" s="694"/>
      <c r="G627" s="692"/>
      <c r="H627" s="694"/>
      <c r="I627" s="694"/>
      <c r="J627" s="692"/>
      <c r="K627" s="692"/>
      <c r="L627" s="694"/>
      <c r="M627" s="694"/>
      <c r="N627" s="694"/>
      <c r="O627" s="694"/>
      <c r="P627" s="280"/>
      <c r="Q627" s="280"/>
      <c r="R627" s="280"/>
      <c r="S627" s="694"/>
      <c r="T627" s="694"/>
      <c r="U627" s="694"/>
      <c r="V627" s="1"/>
      <c r="W627" s="1"/>
      <c r="X627" s="1"/>
      <c r="Y627" s="1"/>
      <c r="Z627" s="1"/>
    </row>
    <row r="628" ht="14.25" customHeight="1">
      <c r="A628" s="1"/>
      <c r="B628" s="694"/>
      <c r="C628" s="694"/>
      <c r="D628" s="694"/>
      <c r="E628" s="694"/>
      <c r="F628" s="694"/>
      <c r="G628" s="692"/>
      <c r="H628" s="694"/>
      <c r="I628" s="694"/>
      <c r="J628" s="692"/>
      <c r="K628" s="692"/>
      <c r="L628" s="694"/>
      <c r="M628" s="694"/>
      <c r="N628" s="694"/>
      <c r="O628" s="694"/>
      <c r="P628" s="280"/>
      <c r="Q628" s="280"/>
      <c r="R628" s="280"/>
      <c r="S628" s="694"/>
      <c r="T628" s="694"/>
      <c r="U628" s="694"/>
      <c r="V628" s="1"/>
      <c r="W628" s="1"/>
      <c r="X628" s="1"/>
      <c r="Y628" s="1"/>
      <c r="Z628" s="1"/>
    </row>
    <row r="629" ht="14.25" customHeight="1">
      <c r="A629" s="1"/>
      <c r="B629" s="694"/>
      <c r="C629" s="694"/>
      <c r="D629" s="694"/>
      <c r="E629" s="694"/>
      <c r="F629" s="694"/>
      <c r="G629" s="692"/>
      <c r="H629" s="694"/>
      <c r="I629" s="694"/>
      <c r="J629" s="692"/>
      <c r="K629" s="692"/>
      <c r="L629" s="694"/>
      <c r="M629" s="694"/>
      <c r="N629" s="694"/>
      <c r="O629" s="694"/>
      <c r="P629" s="280"/>
      <c r="Q629" s="280"/>
      <c r="R629" s="280"/>
      <c r="S629" s="694"/>
      <c r="T629" s="694"/>
      <c r="U629" s="694"/>
      <c r="V629" s="1"/>
      <c r="W629" s="1"/>
      <c r="X629" s="1"/>
      <c r="Y629" s="1"/>
      <c r="Z629" s="1"/>
    </row>
    <row r="630" ht="14.25" customHeight="1">
      <c r="A630" s="1"/>
      <c r="B630" s="694"/>
      <c r="C630" s="694"/>
      <c r="D630" s="694"/>
      <c r="E630" s="694"/>
      <c r="F630" s="694"/>
      <c r="G630" s="692"/>
      <c r="H630" s="694"/>
      <c r="I630" s="694"/>
      <c r="J630" s="692"/>
      <c r="K630" s="692"/>
      <c r="L630" s="694"/>
      <c r="M630" s="694"/>
      <c r="N630" s="694"/>
      <c r="O630" s="694"/>
      <c r="P630" s="280"/>
      <c r="Q630" s="280"/>
      <c r="R630" s="280"/>
      <c r="S630" s="694"/>
      <c r="T630" s="694"/>
      <c r="U630" s="694"/>
      <c r="V630" s="1"/>
      <c r="W630" s="1"/>
      <c r="X630" s="1"/>
      <c r="Y630" s="1"/>
      <c r="Z630" s="1"/>
    </row>
    <row r="631" ht="14.25" customHeight="1">
      <c r="A631" s="1"/>
      <c r="B631" s="694"/>
      <c r="C631" s="694"/>
      <c r="D631" s="694"/>
      <c r="E631" s="694"/>
      <c r="F631" s="694"/>
      <c r="G631" s="692"/>
      <c r="H631" s="694"/>
      <c r="I631" s="694"/>
      <c r="J631" s="692"/>
      <c r="K631" s="692"/>
      <c r="L631" s="694"/>
      <c r="M631" s="694"/>
      <c r="N631" s="694"/>
      <c r="O631" s="694"/>
      <c r="P631" s="280"/>
      <c r="Q631" s="280"/>
      <c r="R631" s="280"/>
      <c r="S631" s="694"/>
      <c r="T631" s="694"/>
      <c r="U631" s="694"/>
      <c r="V631" s="1"/>
      <c r="W631" s="1"/>
      <c r="X631" s="1"/>
      <c r="Y631" s="1"/>
      <c r="Z631" s="1"/>
    </row>
    <row r="632" ht="14.25" customHeight="1">
      <c r="A632" s="1"/>
      <c r="B632" s="694"/>
      <c r="C632" s="694"/>
      <c r="D632" s="694"/>
      <c r="E632" s="694"/>
      <c r="F632" s="694"/>
      <c r="G632" s="692"/>
      <c r="H632" s="694"/>
      <c r="I632" s="694"/>
      <c r="J632" s="692"/>
      <c r="K632" s="692"/>
      <c r="L632" s="694"/>
      <c r="M632" s="694"/>
      <c r="N632" s="694"/>
      <c r="O632" s="694"/>
      <c r="P632" s="280"/>
      <c r="Q632" s="280"/>
      <c r="R632" s="280"/>
      <c r="S632" s="694"/>
      <c r="T632" s="694"/>
      <c r="U632" s="694"/>
      <c r="V632" s="1"/>
      <c r="W632" s="1"/>
      <c r="X632" s="1"/>
      <c r="Y632" s="1"/>
      <c r="Z632" s="1"/>
    </row>
    <row r="633" ht="14.25" customHeight="1">
      <c r="A633" s="1"/>
      <c r="B633" s="694"/>
      <c r="C633" s="694"/>
      <c r="D633" s="694"/>
      <c r="E633" s="694"/>
      <c r="F633" s="694"/>
      <c r="G633" s="692"/>
      <c r="H633" s="694"/>
      <c r="I633" s="694"/>
      <c r="J633" s="692"/>
      <c r="K633" s="692"/>
      <c r="L633" s="694"/>
      <c r="M633" s="694"/>
      <c r="N633" s="694"/>
      <c r="O633" s="694"/>
      <c r="P633" s="280"/>
      <c r="Q633" s="280"/>
      <c r="R633" s="280"/>
      <c r="S633" s="694"/>
      <c r="T633" s="694"/>
      <c r="U633" s="694"/>
      <c r="V633" s="1"/>
      <c r="W633" s="1"/>
      <c r="X633" s="1"/>
      <c r="Y633" s="1"/>
      <c r="Z633" s="1"/>
    </row>
    <row r="634" ht="14.25" customHeight="1">
      <c r="A634" s="1"/>
      <c r="B634" s="694"/>
      <c r="C634" s="694"/>
      <c r="D634" s="694"/>
      <c r="E634" s="694"/>
      <c r="F634" s="694"/>
      <c r="G634" s="692"/>
      <c r="H634" s="694"/>
      <c r="I634" s="694"/>
      <c r="J634" s="692"/>
      <c r="K634" s="692"/>
      <c r="L634" s="694"/>
      <c r="M634" s="694"/>
      <c r="N634" s="694"/>
      <c r="O634" s="694"/>
      <c r="P634" s="280"/>
      <c r="Q634" s="280"/>
      <c r="R634" s="280"/>
      <c r="S634" s="694"/>
      <c r="T634" s="694"/>
      <c r="U634" s="694"/>
      <c r="V634" s="1"/>
      <c r="W634" s="1"/>
      <c r="X634" s="1"/>
      <c r="Y634" s="1"/>
      <c r="Z634" s="1"/>
    </row>
    <row r="635" ht="14.25" customHeight="1">
      <c r="A635" s="1"/>
      <c r="B635" s="694"/>
      <c r="C635" s="694"/>
      <c r="D635" s="694"/>
      <c r="E635" s="694"/>
      <c r="F635" s="694"/>
      <c r="G635" s="692"/>
      <c r="H635" s="694"/>
      <c r="I635" s="694"/>
      <c r="J635" s="692"/>
      <c r="K635" s="692"/>
      <c r="L635" s="694"/>
      <c r="M635" s="694"/>
      <c r="N635" s="694"/>
      <c r="O635" s="694"/>
      <c r="P635" s="280"/>
      <c r="Q635" s="280"/>
      <c r="R635" s="280"/>
      <c r="S635" s="694"/>
      <c r="T635" s="694"/>
      <c r="U635" s="694"/>
      <c r="V635" s="1"/>
      <c r="W635" s="1"/>
      <c r="X635" s="1"/>
      <c r="Y635" s="1"/>
      <c r="Z635" s="1"/>
    </row>
    <row r="636" ht="14.25" customHeight="1">
      <c r="A636" s="1"/>
      <c r="B636" s="694"/>
      <c r="C636" s="694"/>
      <c r="D636" s="694"/>
      <c r="E636" s="694"/>
      <c r="F636" s="694"/>
      <c r="G636" s="692"/>
      <c r="H636" s="694"/>
      <c r="I636" s="694"/>
      <c r="J636" s="692"/>
      <c r="K636" s="692"/>
      <c r="L636" s="694"/>
      <c r="M636" s="694"/>
      <c r="N636" s="694"/>
      <c r="O636" s="694"/>
      <c r="P636" s="280"/>
      <c r="Q636" s="280"/>
      <c r="R636" s="280"/>
      <c r="S636" s="694"/>
      <c r="T636" s="694"/>
      <c r="U636" s="694"/>
      <c r="V636" s="1"/>
      <c r="W636" s="1"/>
      <c r="X636" s="1"/>
      <c r="Y636" s="1"/>
      <c r="Z636" s="1"/>
    </row>
    <row r="637" ht="14.25" customHeight="1">
      <c r="A637" s="1"/>
      <c r="B637" s="694"/>
      <c r="C637" s="694"/>
      <c r="D637" s="694"/>
      <c r="E637" s="694"/>
      <c r="F637" s="694"/>
      <c r="G637" s="692"/>
      <c r="H637" s="694"/>
      <c r="I637" s="694"/>
      <c r="J637" s="692"/>
      <c r="K637" s="692"/>
      <c r="L637" s="694"/>
      <c r="M637" s="694"/>
      <c r="N637" s="694"/>
      <c r="O637" s="694"/>
      <c r="P637" s="280"/>
      <c r="Q637" s="280"/>
      <c r="R637" s="280"/>
      <c r="S637" s="694"/>
      <c r="T637" s="694"/>
      <c r="U637" s="694"/>
      <c r="V637" s="1"/>
      <c r="W637" s="1"/>
      <c r="X637" s="1"/>
      <c r="Y637" s="1"/>
      <c r="Z637" s="1"/>
    </row>
    <row r="638" ht="14.25" customHeight="1">
      <c r="A638" s="1"/>
      <c r="B638" s="694"/>
      <c r="C638" s="694"/>
      <c r="D638" s="694"/>
      <c r="E638" s="694"/>
      <c r="F638" s="694"/>
      <c r="G638" s="692"/>
      <c r="H638" s="694"/>
      <c r="I638" s="694"/>
      <c r="J638" s="692"/>
      <c r="K638" s="692"/>
      <c r="L638" s="694"/>
      <c r="M638" s="694"/>
      <c r="N638" s="694"/>
      <c r="O638" s="694"/>
      <c r="P638" s="280"/>
      <c r="Q638" s="280"/>
      <c r="R638" s="280"/>
      <c r="S638" s="694"/>
      <c r="T638" s="694"/>
      <c r="U638" s="694"/>
      <c r="V638" s="1"/>
      <c r="W638" s="1"/>
      <c r="X638" s="1"/>
      <c r="Y638" s="1"/>
      <c r="Z638" s="1"/>
    </row>
    <row r="639" ht="14.25" customHeight="1">
      <c r="A639" s="1"/>
      <c r="B639" s="694"/>
      <c r="C639" s="694"/>
      <c r="D639" s="694"/>
      <c r="E639" s="694"/>
      <c r="F639" s="694"/>
      <c r="G639" s="692"/>
      <c r="H639" s="694"/>
      <c r="I639" s="694"/>
      <c r="J639" s="692"/>
      <c r="K639" s="692"/>
      <c r="L639" s="694"/>
      <c r="M639" s="694"/>
      <c r="N639" s="694"/>
      <c r="O639" s="694"/>
      <c r="P639" s="280"/>
      <c r="Q639" s="280"/>
      <c r="R639" s="280"/>
      <c r="S639" s="694"/>
      <c r="T639" s="694"/>
      <c r="U639" s="694"/>
      <c r="V639" s="1"/>
      <c r="W639" s="1"/>
      <c r="X639" s="1"/>
      <c r="Y639" s="1"/>
      <c r="Z639" s="1"/>
    </row>
    <row r="640" ht="14.25" customHeight="1">
      <c r="A640" s="1"/>
      <c r="B640" s="694"/>
      <c r="C640" s="694"/>
      <c r="D640" s="694"/>
      <c r="E640" s="694"/>
      <c r="F640" s="694"/>
      <c r="G640" s="692"/>
      <c r="H640" s="694"/>
      <c r="I640" s="694"/>
      <c r="J640" s="692"/>
      <c r="K640" s="692"/>
      <c r="L640" s="694"/>
      <c r="M640" s="694"/>
      <c r="N640" s="694"/>
      <c r="O640" s="694"/>
      <c r="P640" s="280"/>
      <c r="Q640" s="280"/>
      <c r="R640" s="280"/>
      <c r="S640" s="694"/>
      <c r="T640" s="694"/>
      <c r="U640" s="694"/>
      <c r="V640" s="1"/>
      <c r="W640" s="1"/>
      <c r="X640" s="1"/>
      <c r="Y640" s="1"/>
      <c r="Z640" s="1"/>
    </row>
    <row r="641" ht="14.25" customHeight="1">
      <c r="A641" s="1"/>
      <c r="B641" s="694"/>
      <c r="C641" s="694"/>
      <c r="D641" s="694"/>
      <c r="E641" s="694"/>
      <c r="F641" s="694"/>
      <c r="G641" s="692"/>
      <c r="H641" s="694"/>
      <c r="I641" s="694"/>
      <c r="J641" s="692"/>
      <c r="K641" s="692"/>
      <c r="L641" s="694"/>
      <c r="M641" s="694"/>
      <c r="N641" s="694"/>
      <c r="O641" s="694"/>
      <c r="P641" s="280"/>
      <c r="Q641" s="280"/>
      <c r="R641" s="280"/>
      <c r="S641" s="694"/>
      <c r="T641" s="694"/>
      <c r="U641" s="694"/>
      <c r="V641" s="1"/>
      <c r="W641" s="1"/>
      <c r="X641" s="1"/>
      <c r="Y641" s="1"/>
      <c r="Z641" s="1"/>
    </row>
    <row r="642" ht="14.25" customHeight="1">
      <c r="A642" s="1"/>
      <c r="B642" s="694"/>
      <c r="C642" s="694"/>
      <c r="D642" s="694"/>
      <c r="E642" s="694"/>
      <c r="F642" s="694"/>
      <c r="G642" s="692"/>
      <c r="H642" s="694"/>
      <c r="I642" s="694"/>
      <c r="J642" s="692"/>
      <c r="K642" s="692"/>
      <c r="L642" s="694"/>
      <c r="M642" s="694"/>
      <c r="N642" s="694"/>
      <c r="O642" s="694"/>
      <c r="P642" s="280"/>
      <c r="Q642" s="280"/>
      <c r="R642" s="280"/>
      <c r="S642" s="694"/>
      <c r="T642" s="694"/>
      <c r="U642" s="694"/>
      <c r="V642" s="1"/>
      <c r="W642" s="1"/>
      <c r="X642" s="1"/>
      <c r="Y642" s="1"/>
      <c r="Z642" s="1"/>
    </row>
    <row r="643" ht="14.25" customHeight="1">
      <c r="A643" s="1"/>
      <c r="B643" s="694"/>
      <c r="C643" s="694"/>
      <c r="D643" s="694"/>
      <c r="E643" s="694"/>
      <c r="F643" s="694"/>
      <c r="G643" s="692"/>
      <c r="H643" s="694"/>
      <c r="I643" s="694"/>
      <c r="J643" s="692"/>
      <c r="K643" s="692"/>
      <c r="L643" s="694"/>
      <c r="M643" s="694"/>
      <c r="N643" s="694"/>
      <c r="O643" s="694"/>
      <c r="P643" s="280"/>
      <c r="Q643" s="280"/>
      <c r="R643" s="280"/>
      <c r="S643" s="694"/>
      <c r="T643" s="694"/>
      <c r="U643" s="694"/>
      <c r="V643" s="1"/>
      <c r="W643" s="1"/>
      <c r="X643" s="1"/>
      <c r="Y643" s="1"/>
      <c r="Z643" s="1"/>
    </row>
    <row r="644" ht="14.25" customHeight="1">
      <c r="A644" s="1"/>
      <c r="B644" s="694"/>
      <c r="C644" s="694"/>
      <c r="D644" s="694"/>
      <c r="E644" s="694"/>
      <c r="F644" s="694"/>
      <c r="G644" s="692"/>
      <c r="H644" s="694"/>
      <c r="I644" s="694"/>
      <c r="J644" s="692"/>
      <c r="K644" s="692"/>
      <c r="L644" s="694"/>
      <c r="M644" s="694"/>
      <c r="N644" s="694"/>
      <c r="O644" s="694"/>
      <c r="P644" s="280"/>
      <c r="Q644" s="280"/>
      <c r="R644" s="280"/>
      <c r="S644" s="694"/>
      <c r="T644" s="694"/>
      <c r="U644" s="694"/>
      <c r="V644" s="1"/>
      <c r="W644" s="1"/>
      <c r="X644" s="1"/>
      <c r="Y644" s="1"/>
      <c r="Z644" s="1"/>
    </row>
    <row r="645" ht="14.25" customHeight="1">
      <c r="A645" s="1"/>
      <c r="B645" s="694"/>
      <c r="C645" s="694"/>
      <c r="D645" s="694"/>
      <c r="E645" s="694"/>
      <c r="F645" s="694"/>
      <c r="G645" s="692"/>
      <c r="H645" s="694"/>
      <c r="I645" s="694"/>
      <c r="J645" s="692"/>
      <c r="K645" s="692"/>
      <c r="L645" s="694"/>
      <c r="M645" s="694"/>
      <c r="N645" s="694"/>
      <c r="O645" s="694"/>
      <c r="P645" s="280"/>
      <c r="Q645" s="280"/>
      <c r="R645" s="280"/>
      <c r="S645" s="694"/>
      <c r="T645" s="694"/>
      <c r="U645" s="694"/>
      <c r="V645" s="1"/>
      <c r="W645" s="1"/>
      <c r="X645" s="1"/>
      <c r="Y645" s="1"/>
      <c r="Z645" s="1"/>
    </row>
    <row r="646" ht="14.25" customHeight="1">
      <c r="A646" s="1"/>
      <c r="B646" s="694"/>
      <c r="C646" s="694"/>
      <c r="D646" s="694"/>
      <c r="E646" s="694"/>
      <c r="F646" s="694"/>
      <c r="G646" s="692"/>
      <c r="H646" s="694"/>
      <c r="I646" s="694"/>
      <c r="J646" s="692"/>
      <c r="K646" s="692"/>
      <c r="L646" s="694"/>
      <c r="M646" s="694"/>
      <c r="N646" s="694"/>
      <c r="O646" s="694"/>
      <c r="P646" s="280"/>
      <c r="Q646" s="280"/>
      <c r="R646" s="280"/>
      <c r="S646" s="694"/>
      <c r="T646" s="694"/>
      <c r="U646" s="694"/>
      <c r="V646" s="1"/>
      <c r="W646" s="1"/>
      <c r="X646" s="1"/>
      <c r="Y646" s="1"/>
      <c r="Z646" s="1"/>
    </row>
    <row r="647" ht="14.25" customHeight="1">
      <c r="A647" s="1"/>
      <c r="B647" s="694"/>
      <c r="C647" s="694"/>
      <c r="D647" s="694"/>
      <c r="E647" s="694"/>
      <c r="F647" s="694"/>
      <c r="G647" s="692"/>
      <c r="H647" s="694"/>
      <c r="I647" s="694"/>
      <c r="J647" s="692"/>
      <c r="K647" s="692"/>
      <c r="L647" s="694"/>
      <c r="M647" s="694"/>
      <c r="N647" s="694"/>
      <c r="O647" s="694"/>
      <c r="P647" s="280"/>
      <c r="Q647" s="280"/>
      <c r="R647" s="280"/>
      <c r="S647" s="694"/>
      <c r="T647" s="694"/>
      <c r="U647" s="694"/>
      <c r="V647" s="1"/>
      <c r="W647" s="1"/>
      <c r="X647" s="1"/>
      <c r="Y647" s="1"/>
      <c r="Z647" s="1"/>
    </row>
    <row r="648" ht="14.25" customHeight="1">
      <c r="A648" s="1"/>
      <c r="B648" s="694"/>
      <c r="C648" s="694"/>
      <c r="D648" s="694"/>
      <c r="E648" s="694"/>
      <c r="F648" s="694"/>
      <c r="G648" s="692"/>
      <c r="H648" s="694"/>
      <c r="I648" s="694"/>
      <c r="J648" s="692"/>
      <c r="K648" s="692"/>
      <c r="L648" s="694"/>
      <c r="M648" s="694"/>
      <c r="N648" s="694"/>
      <c r="O648" s="694"/>
      <c r="P648" s="280"/>
      <c r="Q648" s="280"/>
      <c r="R648" s="280"/>
      <c r="S648" s="694"/>
      <c r="T648" s="694"/>
      <c r="U648" s="694"/>
      <c r="V648" s="1"/>
      <c r="W648" s="1"/>
      <c r="X648" s="1"/>
      <c r="Y648" s="1"/>
      <c r="Z648" s="1"/>
    </row>
    <row r="649" ht="14.25" customHeight="1">
      <c r="A649" s="1"/>
      <c r="B649" s="694"/>
      <c r="C649" s="694"/>
      <c r="D649" s="694"/>
      <c r="E649" s="694"/>
      <c r="F649" s="694"/>
      <c r="G649" s="692"/>
      <c r="H649" s="694"/>
      <c r="I649" s="694"/>
      <c r="J649" s="692"/>
      <c r="K649" s="692"/>
      <c r="L649" s="694"/>
      <c r="M649" s="694"/>
      <c r="N649" s="694"/>
      <c r="O649" s="694"/>
      <c r="P649" s="280"/>
      <c r="Q649" s="280"/>
      <c r="R649" s="280"/>
      <c r="S649" s="694"/>
      <c r="T649" s="694"/>
      <c r="U649" s="694"/>
      <c r="V649" s="1"/>
      <c r="W649" s="1"/>
      <c r="X649" s="1"/>
      <c r="Y649" s="1"/>
      <c r="Z649" s="1"/>
    </row>
    <row r="650" ht="14.25" customHeight="1">
      <c r="A650" s="1"/>
      <c r="B650" s="694"/>
      <c r="C650" s="694"/>
      <c r="D650" s="694"/>
      <c r="E650" s="694"/>
      <c r="F650" s="694"/>
      <c r="G650" s="692"/>
      <c r="H650" s="694"/>
      <c r="I650" s="694"/>
      <c r="J650" s="692"/>
      <c r="K650" s="692"/>
      <c r="L650" s="694"/>
      <c r="M650" s="694"/>
      <c r="N650" s="694"/>
      <c r="O650" s="694"/>
      <c r="P650" s="280"/>
      <c r="Q650" s="280"/>
      <c r="R650" s="280"/>
      <c r="S650" s="694"/>
      <c r="T650" s="694"/>
      <c r="U650" s="694"/>
      <c r="V650" s="1"/>
      <c r="W650" s="1"/>
      <c r="X650" s="1"/>
      <c r="Y650" s="1"/>
      <c r="Z650" s="1"/>
    </row>
    <row r="651" ht="14.25" customHeight="1">
      <c r="A651" s="1"/>
      <c r="B651" s="694"/>
      <c r="C651" s="694"/>
      <c r="D651" s="694"/>
      <c r="E651" s="694"/>
      <c r="F651" s="694"/>
      <c r="G651" s="692"/>
      <c r="H651" s="694"/>
      <c r="I651" s="694"/>
      <c r="J651" s="692"/>
      <c r="K651" s="692"/>
      <c r="L651" s="694"/>
      <c r="M651" s="694"/>
      <c r="N651" s="694"/>
      <c r="O651" s="694"/>
      <c r="P651" s="280"/>
      <c r="Q651" s="280"/>
      <c r="R651" s="280"/>
      <c r="S651" s="694"/>
      <c r="T651" s="694"/>
      <c r="U651" s="694"/>
      <c r="V651" s="1"/>
      <c r="W651" s="1"/>
      <c r="X651" s="1"/>
      <c r="Y651" s="1"/>
      <c r="Z651" s="1"/>
    </row>
    <row r="652" ht="14.25" customHeight="1">
      <c r="A652" s="1"/>
      <c r="B652" s="694"/>
      <c r="C652" s="694"/>
      <c r="D652" s="694"/>
      <c r="E652" s="694"/>
      <c r="F652" s="694"/>
      <c r="G652" s="692"/>
      <c r="H652" s="694"/>
      <c r="I652" s="694"/>
      <c r="J652" s="692"/>
      <c r="K652" s="692"/>
      <c r="L652" s="694"/>
      <c r="M652" s="694"/>
      <c r="N652" s="694"/>
      <c r="O652" s="694"/>
      <c r="P652" s="280"/>
      <c r="Q652" s="280"/>
      <c r="R652" s="280"/>
      <c r="S652" s="694"/>
      <c r="T652" s="694"/>
      <c r="U652" s="694"/>
      <c r="V652" s="1"/>
      <c r="W652" s="1"/>
      <c r="X652" s="1"/>
      <c r="Y652" s="1"/>
      <c r="Z652" s="1"/>
    </row>
    <row r="653" ht="14.25" customHeight="1">
      <c r="A653" s="1"/>
      <c r="B653" s="694"/>
      <c r="C653" s="694"/>
      <c r="D653" s="694"/>
      <c r="E653" s="694"/>
      <c r="F653" s="694"/>
      <c r="G653" s="692"/>
      <c r="H653" s="694"/>
      <c r="I653" s="694"/>
      <c r="J653" s="692"/>
      <c r="K653" s="692"/>
      <c r="L653" s="694"/>
      <c r="M653" s="694"/>
      <c r="N653" s="694"/>
      <c r="O653" s="694"/>
      <c r="P653" s="280"/>
      <c r="Q653" s="280"/>
      <c r="R653" s="280"/>
      <c r="S653" s="694"/>
      <c r="T653" s="694"/>
      <c r="U653" s="694"/>
      <c r="V653" s="1"/>
      <c r="W653" s="1"/>
      <c r="X653" s="1"/>
      <c r="Y653" s="1"/>
      <c r="Z653" s="1"/>
    </row>
    <row r="654" ht="14.25" customHeight="1">
      <c r="A654" s="1"/>
      <c r="B654" s="694"/>
      <c r="C654" s="694"/>
      <c r="D654" s="694"/>
      <c r="E654" s="694"/>
      <c r="F654" s="694"/>
      <c r="G654" s="692"/>
      <c r="H654" s="694"/>
      <c r="I654" s="694"/>
      <c r="J654" s="692"/>
      <c r="K654" s="692"/>
      <c r="L654" s="694"/>
      <c r="M654" s="694"/>
      <c r="N654" s="694"/>
      <c r="O654" s="694"/>
      <c r="P654" s="280"/>
      <c r="Q654" s="280"/>
      <c r="R654" s="280"/>
      <c r="S654" s="694"/>
      <c r="T654" s="694"/>
      <c r="U654" s="694"/>
      <c r="V654" s="1"/>
      <c r="W654" s="1"/>
      <c r="X654" s="1"/>
      <c r="Y654" s="1"/>
      <c r="Z654" s="1"/>
    </row>
    <row r="655" ht="14.25" customHeight="1">
      <c r="A655" s="1"/>
      <c r="B655" s="694"/>
      <c r="C655" s="694"/>
      <c r="D655" s="694"/>
      <c r="E655" s="694"/>
      <c r="F655" s="694"/>
      <c r="G655" s="692"/>
      <c r="H655" s="694"/>
      <c r="I655" s="694"/>
      <c r="J655" s="692"/>
      <c r="K655" s="692"/>
      <c r="L655" s="694"/>
      <c r="M655" s="694"/>
      <c r="N655" s="694"/>
      <c r="O655" s="694"/>
      <c r="P655" s="280"/>
      <c r="Q655" s="280"/>
      <c r="R655" s="280"/>
      <c r="S655" s="694"/>
      <c r="T655" s="694"/>
      <c r="U655" s="694"/>
      <c r="V655" s="1"/>
      <c r="W655" s="1"/>
      <c r="X655" s="1"/>
      <c r="Y655" s="1"/>
      <c r="Z655" s="1"/>
    </row>
    <row r="656" ht="14.25" customHeight="1">
      <c r="A656" s="1"/>
      <c r="B656" s="694"/>
      <c r="C656" s="694"/>
      <c r="D656" s="694"/>
      <c r="E656" s="694"/>
      <c r="F656" s="694"/>
      <c r="G656" s="692"/>
      <c r="H656" s="694"/>
      <c r="I656" s="694"/>
      <c r="J656" s="692"/>
      <c r="K656" s="692"/>
      <c r="L656" s="694"/>
      <c r="M656" s="694"/>
      <c r="N656" s="694"/>
      <c r="O656" s="694"/>
      <c r="P656" s="280"/>
      <c r="Q656" s="280"/>
      <c r="R656" s="280"/>
      <c r="S656" s="694"/>
      <c r="T656" s="694"/>
      <c r="U656" s="694"/>
      <c r="V656" s="1"/>
      <c r="W656" s="1"/>
      <c r="X656" s="1"/>
      <c r="Y656" s="1"/>
      <c r="Z656" s="1"/>
    </row>
    <row r="657" ht="14.25" customHeight="1">
      <c r="A657" s="1"/>
      <c r="B657" s="694"/>
      <c r="C657" s="694"/>
      <c r="D657" s="694"/>
      <c r="E657" s="694"/>
      <c r="F657" s="694"/>
      <c r="G657" s="692"/>
      <c r="H657" s="694"/>
      <c r="I657" s="694"/>
      <c r="J657" s="692"/>
      <c r="K657" s="692"/>
      <c r="L657" s="694"/>
      <c r="M657" s="694"/>
      <c r="N657" s="694"/>
      <c r="O657" s="694"/>
      <c r="P657" s="280"/>
      <c r="Q657" s="280"/>
      <c r="R657" s="280"/>
      <c r="S657" s="694"/>
      <c r="T657" s="694"/>
      <c r="U657" s="694"/>
      <c r="V657" s="1"/>
      <c r="W657" s="1"/>
      <c r="X657" s="1"/>
      <c r="Y657" s="1"/>
      <c r="Z657" s="1"/>
    </row>
    <row r="658" ht="14.25" customHeight="1">
      <c r="A658" s="1"/>
      <c r="B658" s="694"/>
      <c r="C658" s="694"/>
      <c r="D658" s="694"/>
      <c r="E658" s="694"/>
      <c r="F658" s="694"/>
      <c r="G658" s="692"/>
      <c r="H658" s="694"/>
      <c r="I658" s="694"/>
      <c r="J658" s="692"/>
      <c r="K658" s="692"/>
      <c r="L658" s="694"/>
      <c r="M658" s="694"/>
      <c r="N658" s="694"/>
      <c r="O658" s="694"/>
      <c r="P658" s="280"/>
      <c r="Q658" s="280"/>
      <c r="R658" s="280"/>
      <c r="S658" s="694"/>
      <c r="T658" s="694"/>
      <c r="U658" s="694"/>
      <c r="V658" s="1"/>
      <c r="W658" s="1"/>
      <c r="X658" s="1"/>
      <c r="Y658" s="1"/>
      <c r="Z658" s="1"/>
    </row>
    <row r="659" ht="14.25" customHeight="1">
      <c r="A659" s="1"/>
      <c r="B659" s="694"/>
      <c r="C659" s="694"/>
      <c r="D659" s="694"/>
      <c r="E659" s="694"/>
      <c r="F659" s="694"/>
      <c r="G659" s="692"/>
      <c r="H659" s="694"/>
      <c r="I659" s="694"/>
      <c r="J659" s="692"/>
      <c r="K659" s="692"/>
      <c r="L659" s="694"/>
      <c r="M659" s="694"/>
      <c r="N659" s="694"/>
      <c r="O659" s="694"/>
      <c r="P659" s="280"/>
      <c r="Q659" s="280"/>
      <c r="R659" s="280"/>
      <c r="S659" s="694"/>
      <c r="T659" s="694"/>
      <c r="U659" s="694"/>
      <c r="V659" s="1"/>
      <c r="W659" s="1"/>
      <c r="X659" s="1"/>
      <c r="Y659" s="1"/>
      <c r="Z659" s="1"/>
    </row>
    <row r="660" ht="14.25" customHeight="1">
      <c r="A660" s="1"/>
      <c r="B660" s="694"/>
      <c r="C660" s="694"/>
      <c r="D660" s="694"/>
      <c r="E660" s="694"/>
      <c r="F660" s="694"/>
      <c r="G660" s="692"/>
      <c r="H660" s="694"/>
      <c r="I660" s="694"/>
      <c r="J660" s="692"/>
      <c r="K660" s="692"/>
      <c r="L660" s="694"/>
      <c r="M660" s="694"/>
      <c r="N660" s="694"/>
      <c r="O660" s="694"/>
      <c r="P660" s="280"/>
      <c r="Q660" s="280"/>
      <c r="R660" s="280"/>
      <c r="S660" s="694"/>
      <c r="T660" s="694"/>
      <c r="U660" s="694"/>
      <c r="V660" s="1"/>
      <c r="W660" s="1"/>
      <c r="X660" s="1"/>
      <c r="Y660" s="1"/>
      <c r="Z660" s="1"/>
    </row>
    <row r="661" ht="14.25" customHeight="1">
      <c r="A661" s="1"/>
      <c r="B661" s="694"/>
      <c r="C661" s="694"/>
      <c r="D661" s="694"/>
      <c r="E661" s="694"/>
      <c r="F661" s="694"/>
      <c r="G661" s="692"/>
      <c r="H661" s="694"/>
      <c r="I661" s="694"/>
      <c r="J661" s="692"/>
      <c r="K661" s="692"/>
      <c r="L661" s="694"/>
      <c r="M661" s="694"/>
      <c r="N661" s="694"/>
      <c r="O661" s="694"/>
      <c r="P661" s="280"/>
      <c r="Q661" s="280"/>
      <c r="R661" s="280"/>
      <c r="S661" s="694"/>
      <c r="T661" s="694"/>
      <c r="U661" s="694"/>
      <c r="V661" s="1"/>
      <c r="W661" s="1"/>
      <c r="X661" s="1"/>
      <c r="Y661" s="1"/>
      <c r="Z661" s="1"/>
    </row>
    <row r="662" ht="14.25" customHeight="1">
      <c r="A662" s="1"/>
      <c r="B662" s="694"/>
      <c r="C662" s="694"/>
      <c r="D662" s="694"/>
      <c r="E662" s="694"/>
      <c r="F662" s="694"/>
      <c r="G662" s="692"/>
      <c r="H662" s="694"/>
      <c r="I662" s="694"/>
      <c r="J662" s="692"/>
      <c r="K662" s="692"/>
      <c r="L662" s="694"/>
      <c r="M662" s="694"/>
      <c r="N662" s="694"/>
      <c r="O662" s="694"/>
      <c r="P662" s="280"/>
      <c r="Q662" s="280"/>
      <c r="R662" s="280"/>
      <c r="S662" s="694"/>
      <c r="T662" s="694"/>
      <c r="U662" s="694"/>
      <c r="V662" s="1"/>
      <c r="W662" s="1"/>
      <c r="X662" s="1"/>
      <c r="Y662" s="1"/>
      <c r="Z662" s="1"/>
    </row>
    <row r="663" ht="14.25" customHeight="1">
      <c r="A663" s="1"/>
      <c r="B663" s="694"/>
      <c r="C663" s="694"/>
      <c r="D663" s="694"/>
      <c r="E663" s="694"/>
      <c r="F663" s="694"/>
      <c r="G663" s="692"/>
      <c r="H663" s="694"/>
      <c r="I663" s="694"/>
      <c r="J663" s="692"/>
      <c r="K663" s="692"/>
      <c r="L663" s="694"/>
      <c r="M663" s="694"/>
      <c r="N663" s="694"/>
      <c r="O663" s="694"/>
      <c r="P663" s="280"/>
      <c r="Q663" s="280"/>
      <c r="R663" s="280"/>
      <c r="S663" s="694"/>
      <c r="T663" s="694"/>
      <c r="U663" s="694"/>
      <c r="V663" s="1"/>
      <c r="W663" s="1"/>
      <c r="X663" s="1"/>
      <c r="Y663" s="1"/>
      <c r="Z663" s="1"/>
    </row>
    <row r="664" ht="14.25" customHeight="1">
      <c r="A664" s="1"/>
      <c r="B664" s="694"/>
      <c r="C664" s="694"/>
      <c r="D664" s="694"/>
      <c r="E664" s="694"/>
      <c r="F664" s="694"/>
      <c r="G664" s="692"/>
      <c r="H664" s="694"/>
      <c r="I664" s="694"/>
      <c r="J664" s="692"/>
      <c r="K664" s="692"/>
      <c r="L664" s="694"/>
      <c r="M664" s="694"/>
      <c r="N664" s="694"/>
      <c r="O664" s="694"/>
      <c r="P664" s="280"/>
      <c r="Q664" s="280"/>
      <c r="R664" s="280"/>
      <c r="S664" s="694"/>
      <c r="T664" s="694"/>
      <c r="U664" s="694"/>
      <c r="V664" s="1"/>
      <c r="W664" s="1"/>
      <c r="X664" s="1"/>
      <c r="Y664" s="1"/>
      <c r="Z664" s="1"/>
    </row>
    <row r="665" ht="14.25" customHeight="1">
      <c r="A665" s="1"/>
      <c r="B665" s="694"/>
      <c r="C665" s="694"/>
      <c r="D665" s="694"/>
      <c r="E665" s="694"/>
      <c r="F665" s="694"/>
      <c r="G665" s="692"/>
      <c r="H665" s="694"/>
      <c r="I665" s="694"/>
      <c r="J665" s="692"/>
      <c r="K665" s="692"/>
      <c r="L665" s="694"/>
      <c r="M665" s="694"/>
      <c r="N665" s="694"/>
      <c r="O665" s="694"/>
      <c r="P665" s="280"/>
      <c r="Q665" s="280"/>
      <c r="R665" s="280"/>
      <c r="S665" s="694"/>
      <c r="T665" s="694"/>
      <c r="U665" s="694"/>
      <c r="V665" s="1"/>
      <c r="W665" s="1"/>
      <c r="X665" s="1"/>
      <c r="Y665" s="1"/>
      <c r="Z665" s="1"/>
    </row>
    <row r="666" ht="14.25" customHeight="1">
      <c r="A666" s="1"/>
      <c r="B666" s="694"/>
      <c r="C666" s="694"/>
      <c r="D666" s="694"/>
      <c r="E666" s="694"/>
      <c r="F666" s="694"/>
      <c r="G666" s="692"/>
      <c r="H666" s="694"/>
      <c r="I666" s="694"/>
      <c r="J666" s="692"/>
      <c r="K666" s="692"/>
      <c r="L666" s="694"/>
      <c r="M666" s="694"/>
      <c r="N666" s="694"/>
      <c r="O666" s="694"/>
      <c r="P666" s="280"/>
      <c r="Q666" s="280"/>
      <c r="R666" s="280"/>
      <c r="S666" s="694"/>
      <c r="T666" s="694"/>
      <c r="U666" s="694"/>
      <c r="V666" s="1"/>
      <c r="W666" s="1"/>
      <c r="X666" s="1"/>
      <c r="Y666" s="1"/>
      <c r="Z666" s="1"/>
    </row>
    <row r="667" ht="14.25" customHeight="1">
      <c r="A667" s="1"/>
      <c r="B667" s="694"/>
      <c r="C667" s="694"/>
      <c r="D667" s="694"/>
      <c r="E667" s="694"/>
      <c r="F667" s="694"/>
      <c r="G667" s="692"/>
      <c r="H667" s="694"/>
      <c r="I667" s="694"/>
      <c r="J667" s="692"/>
      <c r="K667" s="692"/>
      <c r="L667" s="694"/>
      <c r="M667" s="694"/>
      <c r="N667" s="694"/>
      <c r="O667" s="694"/>
      <c r="P667" s="280"/>
      <c r="Q667" s="280"/>
      <c r="R667" s="280"/>
      <c r="S667" s="694"/>
      <c r="T667" s="694"/>
      <c r="U667" s="694"/>
      <c r="V667" s="1"/>
      <c r="W667" s="1"/>
      <c r="X667" s="1"/>
      <c r="Y667" s="1"/>
      <c r="Z667" s="1"/>
    </row>
    <row r="668" ht="14.25" customHeight="1">
      <c r="A668" s="1"/>
      <c r="B668" s="694"/>
      <c r="C668" s="694"/>
      <c r="D668" s="694"/>
      <c r="E668" s="694"/>
      <c r="F668" s="694"/>
      <c r="G668" s="692"/>
      <c r="H668" s="694"/>
      <c r="I668" s="694"/>
      <c r="J668" s="692"/>
      <c r="K668" s="692"/>
      <c r="L668" s="694"/>
      <c r="M668" s="694"/>
      <c r="N668" s="694"/>
      <c r="O668" s="694"/>
      <c r="P668" s="280"/>
      <c r="Q668" s="280"/>
      <c r="R668" s="280"/>
      <c r="S668" s="694"/>
      <c r="T668" s="694"/>
      <c r="U668" s="694"/>
      <c r="V668" s="1"/>
      <c r="W668" s="1"/>
      <c r="X668" s="1"/>
      <c r="Y668" s="1"/>
      <c r="Z668" s="1"/>
    </row>
    <row r="669" ht="14.25" customHeight="1">
      <c r="A669" s="1"/>
      <c r="B669" s="694"/>
      <c r="C669" s="694"/>
      <c r="D669" s="694"/>
      <c r="E669" s="694"/>
      <c r="F669" s="694"/>
      <c r="G669" s="692"/>
      <c r="H669" s="694"/>
      <c r="I669" s="694"/>
      <c r="J669" s="692"/>
      <c r="K669" s="692"/>
      <c r="L669" s="694"/>
      <c r="M669" s="694"/>
      <c r="N669" s="694"/>
      <c r="O669" s="694"/>
      <c r="P669" s="280"/>
      <c r="Q669" s="280"/>
      <c r="R669" s="280"/>
      <c r="S669" s="694"/>
      <c r="T669" s="694"/>
      <c r="U669" s="694"/>
      <c r="V669" s="1"/>
      <c r="W669" s="1"/>
      <c r="X669" s="1"/>
      <c r="Y669" s="1"/>
      <c r="Z669" s="1"/>
    </row>
    <row r="670" ht="14.25" customHeight="1">
      <c r="A670" s="1"/>
      <c r="B670" s="694"/>
      <c r="C670" s="694"/>
      <c r="D670" s="694"/>
      <c r="E670" s="694"/>
      <c r="F670" s="694"/>
      <c r="G670" s="692"/>
      <c r="H670" s="694"/>
      <c r="I670" s="694"/>
      <c r="J670" s="692"/>
      <c r="K670" s="692"/>
      <c r="L670" s="694"/>
      <c r="M670" s="694"/>
      <c r="N670" s="694"/>
      <c r="O670" s="694"/>
      <c r="P670" s="280"/>
      <c r="Q670" s="280"/>
      <c r="R670" s="280"/>
      <c r="S670" s="694"/>
      <c r="T670" s="694"/>
      <c r="U670" s="694"/>
      <c r="V670" s="1"/>
      <c r="W670" s="1"/>
      <c r="X670" s="1"/>
      <c r="Y670" s="1"/>
      <c r="Z670" s="1"/>
    </row>
    <row r="671" ht="14.25" customHeight="1">
      <c r="A671" s="1"/>
      <c r="B671" s="694"/>
      <c r="C671" s="694"/>
      <c r="D671" s="694"/>
      <c r="E671" s="694"/>
      <c r="F671" s="694"/>
      <c r="G671" s="692"/>
      <c r="H671" s="694"/>
      <c r="I671" s="694"/>
      <c r="J671" s="692"/>
      <c r="K671" s="692"/>
      <c r="L671" s="694"/>
      <c r="M671" s="694"/>
      <c r="N671" s="694"/>
      <c r="O671" s="694"/>
      <c r="P671" s="280"/>
      <c r="Q671" s="280"/>
      <c r="R671" s="280"/>
      <c r="S671" s="694"/>
      <c r="T671" s="694"/>
      <c r="U671" s="694"/>
      <c r="V671" s="1"/>
      <c r="W671" s="1"/>
      <c r="X671" s="1"/>
      <c r="Y671" s="1"/>
      <c r="Z671" s="1"/>
    </row>
    <row r="672" ht="14.25" customHeight="1">
      <c r="A672" s="1"/>
      <c r="B672" s="694"/>
      <c r="C672" s="694"/>
      <c r="D672" s="694"/>
      <c r="E672" s="694"/>
      <c r="F672" s="694"/>
      <c r="G672" s="692"/>
      <c r="H672" s="694"/>
      <c r="I672" s="694"/>
      <c r="J672" s="692"/>
      <c r="K672" s="692"/>
      <c r="L672" s="694"/>
      <c r="M672" s="694"/>
      <c r="N672" s="694"/>
      <c r="O672" s="694"/>
      <c r="P672" s="280"/>
      <c r="Q672" s="280"/>
      <c r="R672" s="280"/>
      <c r="S672" s="694"/>
      <c r="T672" s="694"/>
      <c r="U672" s="694"/>
      <c r="V672" s="1"/>
      <c r="W672" s="1"/>
      <c r="X672" s="1"/>
      <c r="Y672" s="1"/>
      <c r="Z672" s="1"/>
    </row>
    <row r="673" ht="14.25" customHeight="1">
      <c r="A673" s="1"/>
      <c r="B673" s="694"/>
      <c r="C673" s="694"/>
      <c r="D673" s="694"/>
      <c r="E673" s="694"/>
      <c r="F673" s="694"/>
      <c r="G673" s="692"/>
      <c r="H673" s="694"/>
      <c r="I673" s="694"/>
      <c r="J673" s="692"/>
      <c r="K673" s="692"/>
      <c r="L673" s="694"/>
      <c r="M673" s="694"/>
      <c r="N673" s="694"/>
      <c r="O673" s="694"/>
      <c r="P673" s="280"/>
      <c r="Q673" s="280"/>
      <c r="R673" s="280"/>
      <c r="S673" s="694"/>
      <c r="T673" s="694"/>
      <c r="U673" s="694"/>
      <c r="V673" s="1"/>
      <c r="W673" s="1"/>
      <c r="X673" s="1"/>
      <c r="Y673" s="1"/>
      <c r="Z673" s="1"/>
    </row>
    <row r="674" ht="14.25" customHeight="1">
      <c r="A674" s="1"/>
      <c r="B674" s="694"/>
      <c r="C674" s="694"/>
      <c r="D674" s="694"/>
      <c r="E674" s="694"/>
      <c r="F674" s="694"/>
      <c r="G674" s="692"/>
      <c r="H674" s="694"/>
      <c r="I674" s="694"/>
      <c r="J674" s="692"/>
      <c r="K674" s="692"/>
      <c r="L674" s="694"/>
      <c r="M674" s="694"/>
      <c r="N674" s="694"/>
      <c r="O674" s="694"/>
      <c r="P674" s="280"/>
      <c r="Q674" s="280"/>
      <c r="R674" s="280"/>
      <c r="S674" s="694"/>
      <c r="T674" s="694"/>
      <c r="U674" s="694"/>
      <c r="V674" s="1"/>
      <c r="W674" s="1"/>
      <c r="X674" s="1"/>
      <c r="Y674" s="1"/>
      <c r="Z674" s="1"/>
    </row>
    <row r="675" ht="14.25" customHeight="1">
      <c r="A675" s="1"/>
      <c r="B675" s="694"/>
      <c r="C675" s="694"/>
      <c r="D675" s="694"/>
      <c r="E675" s="694"/>
      <c r="F675" s="694"/>
      <c r="G675" s="692"/>
      <c r="H675" s="694"/>
      <c r="I675" s="694"/>
      <c r="J675" s="692"/>
      <c r="K675" s="692"/>
      <c r="L675" s="694"/>
      <c r="M675" s="694"/>
      <c r="N675" s="694"/>
      <c r="O675" s="694"/>
      <c r="P675" s="280"/>
      <c r="Q675" s="280"/>
      <c r="R675" s="280"/>
      <c r="S675" s="694"/>
      <c r="T675" s="694"/>
      <c r="U675" s="694"/>
      <c r="V675" s="1"/>
      <c r="W675" s="1"/>
      <c r="X675" s="1"/>
      <c r="Y675" s="1"/>
      <c r="Z675" s="1"/>
    </row>
    <row r="676" ht="14.25" customHeight="1">
      <c r="A676" s="1"/>
      <c r="B676" s="694"/>
      <c r="C676" s="694"/>
      <c r="D676" s="694"/>
      <c r="E676" s="694"/>
      <c r="F676" s="694"/>
      <c r="G676" s="692"/>
      <c r="H676" s="694"/>
      <c r="I676" s="694"/>
      <c r="J676" s="692"/>
      <c r="K676" s="692"/>
      <c r="L676" s="694"/>
      <c r="M676" s="694"/>
      <c r="N676" s="694"/>
      <c r="O676" s="694"/>
      <c r="P676" s="280"/>
      <c r="Q676" s="280"/>
      <c r="R676" s="280"/>
      <c r="S676" s="694"/>
      <c r="T676" s="694"/>
      <c r="U676" s="694"/>
      <c r="V676" s="1"/>
      <c r="W676" s="1"/>
      <c r="X676" s="1"/>
      <c r="Y676" s="1"/>
      <c r="Z676" s="1"/>
    </row>
    <row r="677" ht="14.25" customHeight="1">
      <c r="A677" s="1"/>
      <c r="B677" s="694"/>
      <c r="C677" s="694"/>
      <c r="D677" s="694"/>
      <c r="E677" s="694"/>
      <c r="F677" s="694"/>
      <c r="G677" s="692"/>
      <c r="H677" s="694"/>
      <c r="I677" s="694"/>
      <c r="J677" s="692"/>
      <c r="K677" s="692"/>
      <c r="L677" s="694"/>
      <c r="M677" s="694"/>
      <c r="N677" s="694"/>
      <c r="O677" s="694"/>
      <c r="P677" s="280"/>
      <c r="Q677" s="280"/>
      <c r="R677" s="280"/>
      <c r="S677" s="694"/>
      <c r="T677" s="694"/>
      <c r="U677" s="694"/>
      <c r="V677" s="1"/>
      <c r="W677" s="1"/>
      <c r="X677" s="1"/>
      <c r="Y677" s="1"/>
      <c r="Z677" s="1"/>
    </row>
    <row r="678" ht="14.25" customHeight="1">
      <c r="A678" s="1"/>
      <c r="B678" s="694"/>
      <c r="C678" s="694"/>
      <c r="D678" s="694"/>
      <c r="E678" s="694"/>
      <c r="F678" s="694"/>
      <c r="G678" s="692"/>
      <c r="H678" s="694"/>
      <c r="I678" s="694"/>
      <c r="J678" s="692"/>
      <c r="K678" s="692"/>
      <c r="L678" s="694"/>
      <c r="M678" s="694"/>
      <c r="N678" s="694"/>
      <c r="O678" s="694"/>
      <c r="P678" s="280"/>
      <c r="Q678" s="280"/>
      <c r="R678" s="280"/>
      <c r="S678" s="694"/>
      <c r="T678" s="694"/>
      <c r="U678" s="694"/>
      <c r="V678" s="1"/>
      <c r="W678" s="1"/>
      <c r="X678" s="1"/>
      <c r="Y678" s="1"/>
      <c r="Z678" s="1"/>
    </row>
    <row r="679" ht="14.25" customHeight="1">
      <c r="A679" s="1"/>
      <c r="B679" s="694"/>
      <c r="C679" s="694"/>
      <c r="D679" s="694"/>
      <c r="E679" s="694"/>
      <c r="F679" s="694"/>
      <c r="G679" s="692"/>
      <c r="H679" s="694"/>
      <c r="I679" s="694"/>
      <c r="J679" s="692"/>
      <c r="K679" s="692"/>
      <c r="L679" s="694"/>
      <c r="M679" s="694"/>
      <c r="N679" s="694"/>
      <c r="O679" s="694"/>
      <c r="P679" s="280"/>
      <c r="Q679" s="280"/>
      <c r="R679" s="280"/>
      <c r="S679" s="694"/>
      <c r="T679" s="694"/>
      <c r="U679" s="694"/>
      <c r="V679" s="1"/>
      <c r="W679" s="1"/>
      <c r="X679" s="1"/>
      <c r="Y679" s="1"/>
      <c r="Z679" s="1"/>
    </row>
    <row r="680" ht="14.25" customHeight="1">
      <c r="A680" s="1"/>
      <c r="B680" s="694"/>
      <c r="C680" s="694"/>
      <c r="D680" s="694"/>
      <c r="E680" s="694"/>
      <c r="F680" s="694"/>
      <c r="G680" s="692"/>
      <c r="H680" s="694"/>
      <c r="I680" s="694"/>
      <c r="J680" s="692"/>
      <c r="K680" s="692"/>
      <c r="L680" s="694"/>
      <c r="M680" s="694"/>
      <c r="N680" s="694"/>
      <c r="O680" s="694"/>
      <c r="P680" s="280"/>
      <c r="Q680" s="280"/>
      <c r="R680" s="280"/>
      <c r="S680" s="694"/>
      <c r="T680" s="694"/>
      <c r="U680" s="694"/>
      <c r="V680" s="1"/>
      <c r="W680" s="1"/>
      <c r="X680" s="1"/>
      <c r="Y680" s="1"/>
      <c r="Z680" s="1"/>
    </row>
    <row r="681" ht="14.25" customHeight="1">
      <c r="A681" s="1"/>
      <c r="B681" s="694"/>
      <c r="C681" s="694"/>
      <c r="D681" s="694"/>
      <c r="E681" s="694"/>
      <c r="F681" s="694"/>
      <c r="G681" s="692"/>
      <c r="H681" s="694"/>
      <c r="I681" s="694"/>
      <c r="J681" s="692"/>
      <c r="K681" s="692"/>
      <c r="L681" s="694"/>
      <c r="M681" s="694"/>
      <c r="N681" s="694"/>
      <c r="O681" s="694"/>
      <c r="P681" s="280"/>
      <c r="Q681" s="280"/>
      <c r="R681" s="280"/>
      <c r="S681" s="694"/>
      <c r="T681" s="694"/>
      <c r="U681" s="694"/>
      <c r="V681" s="1"/>
      <c r="W681" s="1"/>
      <c r="X681" s="1"/>
      <c r="Y681" s="1"/>
      <c r="Z681" s="1"/>
    </row>
    <row r="682" ht="14.25" customHeight="1">
      <c r="A682" s="1"/>
      <c r="B682" s="694"/>
      <c r="C682" s="694"/>
      <c r="D682" s="694"/>
      <c r="E682" s="694"/>
      <c r="F682" s="694"/>
      <c r="G682" s="692"/>
      <c r="H682" s="694"/>
      <c r="I682" s="694"/>
      <c r="J682" s="692"/>
      <c r="K682" s="692"/>
      <c r="L682" s="694"/>
      <c r="M682" s="694"/>
      <c r="N682" s="694"/>
      <c r="O682" s="694"/>
      <c r="P682" s="280"/>
      <c r="Q682" s="280"/>
      <c r="R682" s="280"/>
      <c r="S682" s="694"/>
      <c r="T682" s="694"/>
      <c r="U682" s="694"/>
      <c r="V682" s="1"/>
      <c r="W682" s="1"/>
      <c r="X682" s="1"/>
      <c r="Y682" s="1"/>
      <c r="Z682" s="1"/>
    </row>
    <row r="683" ht="14.25" customHeight="1">
      <c r="A683" s="1"/>
      <c r="B683" s="694"/>
      <c r="C683" s="694"/>
      <c r="D683" s="694"/>
      <c r="E683" s="694"/>
      <c r="F683" s="694"/>
      <c r="G683" s="692"/>
      <c r="H683" s="694"/>
      <c r="I683" s="694"/>
      <c r="J683" s="692"/>
      <c r="K683" s="692"/>
      <c r="L683" s="694"/>
      <c r="M683" s="694"/>
      <c r="N683" s="694"/>
      <c r="O683" s="694"/>
      <c r="P683" s="280"/>
      <c r="Q683" s="280"/>
      <c r="R683" s="280"/>
      <c r="S683" s="694"/>
      <c r="T683" s="694"/>
      <c r="U683" s="694"/>
      <c r="V683" s="1"/>
      <c r="W683" s="1"/>
      <c r="X683" s="1"/>
      <c r="Y683" s="1"/>
      <c r="Z683" s="1"/>
    </row>
    <row r="684" ht="14.25" customHeight="1">
      <c r="A684" s="1"/>
      <c r="B684" s="694"/>
      <c r="C684" s="694"/>
      <c r="D684" s="694"/>
      <c r="E684" s="694"/>
      <c r="F684" s="694"/>
      <c r="G684" s="692"/>
      <c r="H684" s="694"/>
      <c r="I684" s="694"/>
      <c r="J684" s="692"/>
      <c r="K684" s="692"/>
      <c r="L684" s="694"/>
      <c r="M684" s="694"/>
      <c r="N684" s="694"/>
      <c r="O684" s="694"/>
      <c r="P684" s="280"/>
      <c r="Q684" s="280"/>
      <c r="R684" s="280"/>
      <c r="S684" s="694"/>
      <c r="T684" s="694"/>
      <c r="U684" s="694"/>
      <c r="V684" s="1"/>
      <c r="W684" s="1"/>
      <c r="X684" s="1"/>
      <c r="Y684" s="1"/>
      <c r="Z684" s="1"/>
    </row>
    <row r="685" ht="14.25" customHeight="1">
      <c r="A685" s="1"/>
      <c r="B685" s="694"/>
      <c r="C685" s="694"/>
      <c r="D685" s="694"/>
      <c r="E685" s="694"/>
      <c r="F685" s="694"/>
      <c r="G685" s="692"/>
      <c r="H685" s="694"/>
      <c r="I685" s="694"/>
      <c r="J685" s="692"/>
      <c r="K685" s="692"/>
      <c r="L685" s="694"/>
      <c r="M685" s="694"/>
      <c r="N685" s="694"/>
      <c r="O685" s="694"/>
      <c r="P685" s="280"/>
      <c r="Q685" s="280"/>
      <c r="R685" s="280"/>
      <c r="S685" s="694"/>
      <c r="T685" s="694"/>
      <c r="U685" s="694"/>
      <c r="V685" s="1"/>
      <c r="W685" s="1"/>
      <c r="X685" s="1"/>
      <c r="Y685" s="1"/>
      <c r="Z685" s="1"/>
    </row>
    <row r="686" ht="14.25" customHeight="1">
      <c r="A686" s="1"/>
      <c r="B686" s="694"/>
      <c r="C686" s="694"/>
      <c r="D686" s="694"/>
      <c r="E686" s="694"/>
      <c r="F686" s="694"/>
      <c r="G686" s="692"/>
      <c r="H686" s="694"/>
      <c r="I686" s="694"/>
      <c r="J686" s="692"/>
      <c r="K686" s="692"/>
      <c r="L686" s="694"/>
      <c r="M686" s="694"/>
      <c r="N686" s="694"/>
      <c r="O686" s="694"/>
      <c r="P686" s="280"/>
      <c r="Q686" s="280"/>
      <c r="R686" s="280"/>
      <c r="S686" s="694"/>
      <c r="T686" s="694"/>
      <c r="U686" s="694"/>
      <c r="V686" s="1"/>
      <c r="W686" s="1"/>
      <c r="X686" s="1"/>
      <c r="Y686" s="1"/>
      <c r="Z686" s="1"/>
    </row>
    <row r="687" ht="14.25" customHeight="1">
      <c r="A687" s="1"/>
      <c r="B687" s="694"/>
      <c r="C687" s="694"/>
      <c r="D687" s="694"/>
      <c r="E687" s="694"/>
      <c r="F687" s="694"/>
      <c r="G687" s="692"/>
      <c r="H687" s="694"/>
      <c r="I687" s="694"/>
      <c r="J687" s="692"/>
      <c r="K687" s="692"/>
      <c r="L687" s="694"/>
      <c r="M687" s="694"/>
      <c r="N687" s="694"/>
      <c r="O687" s="694"/>
      <c r="P687" s="280"/>
      <c r="Q687" s="280"/>
      <c r="R687" s="280"/>
      <c r="S687" s="694"/>
      <c r="T687" s="694"/>
      <c r="U687" s="694"/>
      <c r="V687" s="1"/>
      <c r="W687" s="1"/>
      <c r="X687" s="1"/>
      <c r="Y687" s="1"/>
      <c r="Z687" s="1"/>
    </row>
    <row r="688" ht="14.25" customHeight="1">
      <c r="A688" s="1"/>
      <c r="B688" s="694"/>
      <c r="C688" s="694"/>
      <c r="D688" s="694"/>
      <c r="E688" s="694"/>
      <c r="F688" s="694"/>
      <c r="G688" s="692"/>
      <c r="H688" s="694"/>
      <c r="I688" s="694"/>
      <c r="J688" s="692"/>
      <c r="K688" s="692"/>
      <c r="L688" s="694"/>
      <c r="M688" s="694"/>
      <c r="N688" s="694"/>
      <c r="O688" s="694"/>
      <c r="P688" s="280"/>
      <c r="Q688" s="280"/>
      <c r="R688" s="280"/>
      <c r="S688" s="694"/>
      <c r="T688" s="694"/>
      <c r="U688" s="694"/>
      <c r="V688" s="1"/>
      <c r="W688" s="1"/>
      <c r="X688" s="1"/>
      <c r="Y688" s="1"/>
      <c r="Z688" s="1"/>
    </row>
    <row r="689" ht="14.25" customHeight="1">
      <c r="A689" s="1"/>
      <c r="B689" s="694"/>
      <c r="C689" s="694"/>
      <c r="D689" s="694"/>
      <c r="E689" s="694"/>
      <c r="F689" s="694"/>
      <c r="G689" s="692"/>
      <c r="H689" s="694"/>
      <c r="I689" s="694"/>
      <c r="J689" s="692"/>
      <c r="K689" s="692"/>
      <c r="L689" s="694"/>
      <c r="M689" s="694"/>
      <c r="N689" s="694"/>
      <c r="O689" s="694"/>
      <c r="P689" s="280"/>
      <c r="Q689" s="280"/>
      <c r="R689" s="280"/>
      <c r="S689" s="694"/>
      <c r="T689" s="694"/>
      <c r="U689" s="694"/>
      <c r="V689" s="1"/>
      <c r="W689" s="1"/>
      <c r="X689" s="1"/>
      <c r="Y689" s="1"/>
      <c r="Z689" s="1"/>
    </row>
    <row r="690" ht="14.25" customHeight="1">
      <c r="A690" s="1"/>
      <c r="B690" s="694"/>
      <c r="C690" s="694"/>
      <c r="D690" s="694"/>
      <c r="E690" s="694"/>
      <c r="F690" s="694"/>
      <c r="G690" s="692"/>
      <c r="H690" s="694"/>
      <c r="I690" s="694"/>
      <c r="J690" s="692"/>
      <c r="K690" s="692"/>
      <c r="L690" s="694"/>
      <c r="M690" s="694"/>
      <c r="N690" s="694"/>
      <c r="O690" s="694"/>
      <c r="P690" s="280"/>
      <c r="Q690" s="280"/>
      <c r="R690" s="280"/>
      <c r="S690" s="694"/>
      <c r="T690" s="694"/>
      <c r="U690" s="694"/>
      <c r="V690" s="1"/>
      <c r="W690" s="1"/>
      <c r="X690" s="1"/>
      <c r="Y690" s="1"/>
      <c r="Z690" s="1"/>
    </row>
    <row r="691" ht="14.25" customHeight="1">
      <c r="A691" s="1"/>
      <c r="B691" s="694"/>
      <c r="C691" s="694"/>
      <c r="D691" s="694"/>
      <c r="E691" s="694"/>
      <c r="F691" s="694"/>
      <c r="G691" s="692"/>
      <c r="H691" s="694"/>
      <c r="I691" s="694"/>
      <c r="J691" s="692"/>
      <c r="K691" s="692"/>
      <c r="L691" s="694"/>
      <c r="M691" s="694"/>
      <c r="N691" s="694"/>
      <c r="O691" s="694"/>
      <c r="P691" s="280"/>
      <c r="Q691" s="280"/>
      <c r="R691" s="280"/>
      <c r="S691" s="694"/>
      <c r="T691" s="694"/>
      <c r="U691" s="694"/>
      <c r="V691" s="1"/>
      <c r="W691" s="1"/>
      <c r="X691" s="1"/>
      <c r="Y691" s="1"/>
      <c r="Z691" s="1"/>
    </row>
    <row r="692" ht="14.25" customHeight="1">
      <c r="A692" s="1"/>
      <c r="B692" s="694"/>
      <c r="C692" s="694"/>
      <c r="D692" s="694"/>
      <c r="E692" s="694"/>
      <c r="F692" s="694"/>
      <c r="G692" s="692"/>
      <c r="H692" s="694"/>
      <c r="I692" s="694"/>
      <c r="J692" s="692"/>
      <c r="K692" s="692"/>
      <c r="L692" s="694"/>
      <c r="M692" s="694"/>
      <c r="N692" s="694"/>
      <c r="O692" s="694"/>
      <c r="P692" s="280"/>
      <c r="Q692" s="280"/>
      <c r="R692" s="280"/>
      <c r="S692" s="694"/>
      <c r="T692" s="694"/>
      <c r="U692" s="694"/>
      <c r="V692" s="1"/>
      <c r="W692" s="1"/>
      <c r="X692" s="1"/>
      <c r="Y692" s="1"/>
      <c r="Z692" s="1"/>
    </row>
    <row r="693" ht="14.25" customHeight="1">
      <c r="A693" s="1"/>
      <c r="B693" s="694"/>
      <c r="C693" s="694"/>
      <c r="D693" s="694"/>
      <c r="E693" s="694"/>
      <c r="F693" s="694"/>
      <c r="G693" s="692"/>
      <c r="H693" s="694"/>
      <c r="I693" s="694"/>
      <c r="J693" s="692"/>
      <c r="K693" s="692"/>
      <c r="L693" s="694"/>
      <c r="M693" s="694"/>
      <c r="N693" s="694"/>
      <c r="O693" s="694"/>
      <c r="P693" s="280"/>
      <c r="Q693" s="280"/>
      <c r="R693" s="280"/>
      <c r="S693" s="694"/>
      <c r="T693" s="694"/>
      <c r="U693" s="694"/>
      <c r="V693" s="1"/>
      <c r="W693" s="1"/>
      <c r="X693" s="1"/>
      <c r="Y693" s="1"/>
      <c r="Z693" s="1"/>
    </row>
    <row r="694" ht="14.25" customHeight="1">
      <c r="A694" s="1"/>
      <c r="B694" s="694"/>
      <c r="C694" s="694"/>
      <c r="D694" s="694"/>
      <c r="E694" s="694"/>
      <c r="F694" s="694"/>
      <c r="G694" s="692"/>
      <c r="H694" s="694"/>
      <c r="I694" s="694"/>
      <c r="J694" s="692"/>
      <c r="K694" s="692"/>
      <c r="L694" s="694"/>
      <c r="M694" s="694"/>
      <c r="N694" s="694"/>
      <c r="O694" s="694"/>
      <c r="P694" s="280"/>
      <c r="Q694" s="280"/>
      <c r="R694" s="280"/>
      <c r="S694" s="694"/>
      <c r="T694" s="694"/>
      <c r="U694" s="694"/>
      <c r="V694" s="1"/>
      <c r="W694" s="1"/>
      <c r="X694" s="1"/>
      <c r="Y694" s="1"/>
      <c r="Z694" s="1"/>
    </row>
    <row r="695" ht="14.25" customHeight="1">
      <c r="A695" s="1"/>
      <c r="B695" s="694"/>
      <c r="C695" s="694"/>
      <c r="D695" s="694"/>
      <c r="E695" s="694"/>
      <c r="F695" s="694"/>
      <c r="G695" s="692"/>
      <c r="H695" s="694"/>
      <c r="I695" s="694"/>
      <c r="J695" s="692"/>
      <c r="K695" s="692"/>
      <c r="L695" s="694"/>
      <c r="M695" s="694"/>
      <c r="N695" s="694"/>
      <c r="O695" s="694"/>
      <c r="P695" s="280"/>
      <c r="Q695" s="280"/>
      <c r="R695" s="280"/>
      <c r="S695" s="694"/>
      <c r="T695" s="694"/>
      <c r="U695" s="694"/>
      <c r="V695" s="1"/>
      <c r="W695" s="1"/>
      <c r="X695" s="1"/>
      <c r="Y695" s="1"/>
      <c r="Z695" s="1"/>
    </row>
    <row r="696" ht="14.25" customHeight="1">
      <c r="A696" s="1"/>
      <c r="B696" s="694"/>
      <c r="C696" s="694"/>
      <c r="D696" s="694"/>
      <c r="E696" s="694"/>
      <c r="F696" s="694"/>
      <c r="G696" s="692"/>
      <c r="H696" s="694"/>
      <c r="I696" s="694"/>
      <c r="J696" s="692"/>
      <c r="K696" s="692"/>
      <c r="L696" s="694"/>
      <c r="M696" s="694"/>
      <c r="N696" s="694"/>
      <c r="O696" s="694"/>
      <c r="P696" s="280"/>
      <c r="Q696" s="280"/>
      <c r="R696" s="280"/>
      <c r="S696" s="694"/>
      <c r="T696" s="694"/>
      <c r="U696" s="694"/>
      <c r="V696" s="1"/>
      <c r="W696" s="1"/>
      <c r="X696" s="1"/>
      <c r="Y696" s="1"/>
      <c r="Z696" s="1"/>
    </row>
    <row r="697" ht="14.25" customHeight="1">
      <c r="A697" s="1"/>
      <c r="B697" s="694"/>
      <c r="C697" s="694"/>
      <c r="D697" s="694"/>
      <c r="E697" s="694"/>
      <c r="F697" s="694"/>
      <c r="G697" s="692"/>
      <c r="H697" s="694"/>
      <c r="I697" s="694"/>
      <c r="J697" s="692"/>
      <c r="K697" s="692"/>
      <c r="L697" s="694"/>
      <c r="M697" s="694"/>
      <c r="N697" s="694"/>
      <c r="O697" s="694"/>
      <c r="P697" s="280"/>
      <c r="Q697" s="280"/>
      <c r="R697" s="280"/>
      <c r="S697" s="694"/>
      <c r="T697" s="694"/>
      <c r="U697" s="694"/>
      <c r="V697" s="1"/>
      <c r="W697" s="1"/>
      <c r="X697" s="1"/>
      <c r="Y697" s="1"/>
      <c r="Z697" s="1"/>
    </row>
    <row r="698" ht="14.25" customHeight="1">
      <c r="A698" s="1"/>
      <c r="B698" s="694"/>
      <c r="C698" s="694"/>
      <c r="D698" s="694"/>
      <c r="E698" s="694"/>
      <c r="F698" s="694"/>
      <c r="G698" s="692"/>
      <c r="H698" s="694"/>
      <c r="I698" s="694"/>
      <c r="J698" s="692"/>
      <c r="K698" s="692"/>
      <c r="L698" s="694"/>
      <c r="M698" s="694"/>
      <c r="N698" s="694"/>
      <c r="O698" s="694"/>
      <c r="P698" s="280"/>
      <c r="Q698" s="280"/>
      <c r="R698" s="280"/>
      <c r="S698" s="694"/>
      <c r="T698" s="694"/>
      <c r="U698" s="694"/>
      <c r="V698" s="1"/>
      <c r="W698" s="1"/>
      <c r="X698" s="1"/>
      <c r="Y698" s="1"/>
      <c r="Z698" s="1"/>
    </row>
    <row r="699" ht="14.25" customHeight="1">
      <c r="A699" s="1"/>
      <c r="B699" s="694"/>
      <c r="C699" s="694"/>
      <c r="D699" s="694"/>
      <c r="E699" s="694"/>
      <c r="F699" s="694"/>
      <c r="G699" s="692"/>
      <c r="H699" s="694"/>
      <c r="I699" s="694"/>
      <c r="J699" s="692"/>
      <c r="K699" s="692"/>
      <c r="L699" s="694"/>
      <c r="M699" s="694"/>
      <c r="N699" s="694"/>
      <c r="O699" s="694"/>
      <c r="P699" s="280"/>
      <c r="Q699" s="280"/>
      <c r="R699" s="280"/>
      <c r="S699" s="694"/>
      <c r="T699" s="694"/>
      <c r="U699" s="694"/>
      <c r="V699" s="1"/>
      <c r="W699" s="1"/>
      <c r="X699" s="1"/>
      <c r="Y699" s="1"/>
      <c r="Z699" s="1"/>
    </row>
    <row r="700" ht="14.25" customHeight="1">
      <c r="A700" s="1"/>
      <c r="B700" s="694"/>
      <c r="C700" s="694"/>
      <c r="D700" s="694"/>
      <c r="E700" s="694"/>
      <c r="F700" s="694"/>
      <c r="G700" s="692"/>
      <c r="H700" s="694"/>
      <c r="I700" s="694"/>
      <c r="J700" s="692"/>
      <c r="K700" s="692"/>
      <c r="L700" s="694"/>
      <c r="M700" s="694"/>
      <c r="N700" s="694"/>
      <c r="O700" s="694"/>
      <c r="P700" s="280"/>
      <c r="Q700" s="280"/>
      <c r="R700" s="280"/>
      <c r="S700" s="694"/>
      <c r="T700" s="694"/>
      <c r="U700" s="694"/>
      <c r="V700" s="1"/>
      <c r="W700" s="1"/>
      <c r="X700" s="1"/>
      <c r="Y700" s="1"/>
      <c r="Z700" s="1"/>
    </row>
    <row r="701" ht="14.25" customHeight="1">
      <c r="A701" s="1"/>
      <c r="B701" s="694"/>
      <c r="C701" s="694"/>
      <c r="D701" s="694"/>
      <c r="E701" s="694"/>
      <c r="F701" s="694"/>
      <c r="G701" s="692"/>
      <c r="H701" s="694"/>
      <c r="I701" s="694"/>
      <c r="J701" s="692"/>
      <c r="K701" s="692"/>
      <c r="L701" s="694"/>
      <c r="M701" s="694"/>
      <c r="N701" s="694"/>
      <c r="O701" s="694"/>
      <c r="P701" s="280"/>
      <c r="Q701" s="280"/>
      <c r="R701" s="280"/>
      <c r="S701" s="694"/>
      <c r="T701" s="694"/>
      <c r="U701" s="694"/>
      <c r="V701" s="1"/>
      <c r="W701" s="1"/>
      <c r="X701" s="1"/>
      <c r="Y701" s="1"/>
      <c r="Z701" s="1"/>
    </row>
    <row r="702" ht="14.25" customHeight="1">
      <c r="A702" s="1"/>
      <c r="B702" s="694"/>
      <c r="C702" s="694"/>
      <c r="D702" s="694"/>
      <c r="E702" s="694"/>
      <c r="F702" s="694"/>
      <c r="G702" s="692"/>
      <c r="H702" s="694"/>
      <c r="I702" s="694"/>
      <c r="J702" s="692"/>
      <c r="K702" s="692"/>
      <c r="L702" s="694"/>
      <c r="M702" s="694"/>
      <c r="N702" s="694"/>
      <c r="O702" s="694"/>
      <c r="P702" s="280"/>
      <c r="Q702" s="280"/>
      <c r="R702" s="280"/>
      <c r="S702" s="694"/>
      <c r="T702" s="694"/>
      <c r="U702" s="694"/>
      <c r="V702" s="1"/>
      <c r="W702" s="1"/>
      <c r="X702" s="1"/>
      <c r="Y702" s="1"/>
      <c r="Z702" s="1"/>
    </row>
    <row r="703" ht="14.25" customHeight="1">
      <c r="A703" s="1"/>
      <c r="B703" s="694"/>
      <c r="C703" s="694"/>
      <c r="D703" s="694"/>
      <c r="E703" s="694"/>
      <c r="F703" s="694"/>
      <c r="G703" s="692"/>
      <c r="H703" s="694"/>
      <c r="I703" s="694"/>
      <c r="J703" s="692"/>
      <c r="K703" s="692"/>
      <c r="L703" s="694"/>
      <c r="M703" s="694"/>
      <c r="N703" s="694"/>
      <c r="O703" s="694"/>
      <c r="P703" s="280"/>
      <c r="Q703" s="280"/>
      <c r="R703" s="280"/>
      <c r="S703" s="694"/>
      <c r="T703" s="694"/>
      <c r="U703" s="694"/>
      <c r="V703" s="1"/>
      <c r="W703" s="1"/>
      <c r="X703" s="1"/>
      <c r="Y703" s="1"/>
      <c r="Z703" s="1"/>
    </row>
    <row r="704" ht="14.25" customHeight="1">
      <c r="A704" s="1"/>
      <c r="B704" s="694"/>
      <c r="C704" s="694"/>
      <c r="D704" s="694"/>
      <c r="E704" s="694"/>
      <c r="F704" s="694"/>
      <c r="G704" s="692"/>
      <c r="H704" s="694"/>
      <c r="I704" s="694"/>
      <c r="J704" s="692"/>
      <c r="K704" s="692"/>
      <c r="L704" s="694"/>
      <c r="M704" s="694"/>
      <c r="N704" s="694"/>
      <c r="O704" s="694"/>
      <c r="P704" s="280"/>
      <c r="Q704" s="280"/>
      <c r="R704" s="280"/>
      <c r="S704" s="694"/>
      <c r="T704" s="694"/>
      <c r="U704" s="694"/>
      <c r="V704" s="1"/>
      <c r="W704" s="1"/>
      <c r="X704" s="1"/>
      <c r="Y704" s="1"/>
      <c r="Z704" s="1"/>
    </row>
    <row r="705" ht="14.25" customHeight="1">
      <c r="A705" s="1"/>
      <c r="B705" s="694"/>
      <c r="C705" s="694"/>
      <c r="D705" s="694"/>
      <c r="E705" s="694"/>
      <c r="F705" s="694"/>
      <c r="G705" s="692"/>
      <c r="H705" s="694"/>
      <c r="I705" s="694"/>
      <c r="J705" s="692"/>
      <c r="K705" s="692"/>
      <c r="L705" s="694"/>
      <c r="M705" s="694"/>
      <c r="N705" s="694"/>
      <c r="O705" s="694"/>
      <c r="P705" s="280"/>
      <c r="Q705" s="280"/>
      <c r="R705" s="280"/>
      <c r="S705" s="694"/>
      <c r="T705" s="694"/>
      <c r="U705" s="694"/>
      <c r="V705" s="1"/>
      <c r="W705" s="1"/>
      <c r="X705" s="1"/>
      <c r="Y705" s="1"/>
      <c r="Z705" s="1"/>
    </row>
    <row r="706" ht="14.25" customHeight="1">
      <c r="A706" s="1"/>
      <c r="B706" s="694"/>
      <c r="C706" s="694"/>
      <c r="D706" s="694"/>
      <c r="E706" s="694"/>
      <c r="F706" s="694"/>
      <c r="G706" s="692"/>
      <c r="H706" s="694"/>
      <c r="I706" s="694"/>
      <c r="J706" s="692"/>
      <c r="K706" s="692"/>
      <c r="L706" s="694"/>
      <c r="M706" s="694"/>
      <c r="N706" s="694"/>
      <c r="O706" s="694"/>
      <c r="P706" s="280"/>
      <c r="Q706" s="280"/>
      <c r="R706" s="280"/>
      <c r="S706" s="694"/>
      <c r="T706" s="694"/>
      <c r="U706" s="694"/>
      <c r="V706" s="1"/>
      <c r="W706" s="1"/>
      <c r="X706" s="1"/>
      <c r="Y706" s="1"/>
      <c r="Z706" s="1"/>
    </row>
    <row r="707" ht="14.25" customHeight="1">
      <c r="A707" s="1"/>
      <c r="B707" s="694"/>
      <c r="C707" s="694"/>
      <c r="D707" s="694"/>
      <c r="E707" s="694"/>
      <c r="F707" s="694"/>
      <c r="G707" s="692"/>
      <c r="H707" s="694"/>
      <c r="I707" s="694"/>
      <c r="J707" s="692"/>
      <c r="K707" s="692"/>
      <c r="L707" s="694"/>
      <c r="M707" s="694"/>
      <c r="N707" s="694"/>
      <c r="O707" s="694"/>
      <c r="P707" s="280"/>
      <c r="Q707" s="280"/>
      <c r="R707" s="280"/>
      <c r="S707" s="694"/>
      <c r="T707" s="694"/>
      <c r="U707" s="694"/>
      <c r="V707" s="1"/>
      <c r="W707" s="1"/>
      <c r="X707" s="1"/>
      <c r="Y707" s="1"/>
      <c r="Z707" s="1"/>
    </row>
    <row r="708" ht="14.25" customHeight="1">
      <c r="A708" s="1"/>
      <c r="B708" s="694"/>
      <c r="C708" s="694"/>
      <c r="D708" s="694"/>
      <c r="E708" s="694"/>
      <c r="F708" s="694"/>
      <c r="G708" s="692"/>
      <c r="H708" s="694"/>
      <c r="I708" s="694"/>
      <c r="J708" s="692"/>
      <c r="K708" s="692"/>
      <c r="L708" s="694"/>
      <c r="M708" s="694"/>
      <c r="N708" s="694"/>
      <c r="O708" s="694"/>
      <c r="P708" s="280"/>
      <c r="Q708" s="280"/>
      <c r="R708" s="280"/>
      <c r="S708" s="694"/>
      <c r="T708" s="694"/>
      <c r="U708" s="694"/>
      <c r="V708" s="1"/>
      <c r="W708" s="1"/>
      <c r="X708" s="1"/>
      <c r="Y708" s="1"/>
      <c r="Z708" s="1"/>
    </row>
    <row r="709" ht="14.25" customHeight="1">
      <c r="A709" s="1"/>
      <c r="B709" s="694"/>
      <c r="C709" s="694"/>
      <c r="D709" s="694"/>
      <c r="E709" s="694"/>
      <c r="F709" s="694"/>
      <c r="G709" s="692"/>
      <c r="H709" s="694"/>
      <c r="I709" s="694"/>
      <c r="J709" s="692"/>
      <c r="K709" s="692"/>
      <c r="L709" s="694"/>
      <c r="M709" s="694"/>
      <c r="N709" s="694"/>
      <c r="O709" s="694"/>
      <c r="P709" s="280"/>
      <c r="Q709" s="280"/>
      <c r="R709" s="280"/>
      <c r="S709" s="694"/>
      <c r="T709" s="694"/>
      <c r="U709" s="694"/>
      <c r="V709" s="1"/>
      <c r="W709" s="1"/>
      <c r="X709" s="1"/>
      <c r="Y709" s="1"/>
      <c r="Z709" s="1"/>
    </row>
    <row r="710" ht="14.25" customHeight="1">
      <c r="A710" s="1"/>
      <c r="B710" s="694"/>
      <c r="C710" s="694"/>
      <c r="D710" s="694"/>
      <c r="E710" s="694"/>
      <c r="F710" s="694"/>
      <c r="G710" s="692"/>
      <c r="H710" s="694"/>
      <c r="I710" s="694"/>
      <c r="J710" s="692"/>
      <c r="K710" s="692"/>
      <c r="L710" s="694"/>
      <c r="M710" s="694"/>
      <c r="N710" s="694"/>
      <c r="O710" s="694"/>
      <c r="P710" s="280"/>
      <c r="Q710" s="280"/>
      <c r="R710" s="280"/>
      <c r="S710" s="694"/>
      <c r="T710" s="694"/>
      <c r="U710" s="694"/>
      <c r="V710" s="1"/>
      <c r="W710" s="1"/>
      <c r="X710" s="1"/>
      <c r="Y710" s="1"/>
      <c r="Z710" s="1"/>
    </row>
    <row r="711" ht="14.25" customHeight="1">
      <c r="A711" s="1"/>
      <c r="B711" s="694"/>
      <c r="C711" s="694"/>
      <c r="D711" s="694"/>
      <c r="E711" s="694"/>
      <c r="F711" s="694"/>
      <c r="G711" s="692"/>
      <c r="H711" s="694"/>
      <c r="I711" s="694"/>
      <c r="J711" s="692"/>
      <c r="K711" s="692"/>
      <c r="L711" s="694"/>
      <c r="M711" s="694"/>
      <c r="N711" s="694"/>
      <c r="O711" s="694"/>
      <c r="P711" s="280"/>
      <c r="Q711" s="280"/>
      <c r="R711" s="280"/>
      <c r="S711" s="694"/>
      <c r="T711" s="694"/>
      <c r="U711" s="694"/>
      <c r="V711" s="1"/>
      <c r="W711" s="1"/>
      <c r="X711" s="1"/>
      <c r="Y711" s="1"/>
      <c r="Z711" s="1"/>
    </row>
    <row r="712" ht="14.25" customHeight="1">
      <c r="A712" s="1"/>
      <c r="B712" s="694"/>
      <c r="C712" s="694"/>
      <c r="D712" s="694"/>
      <c r="E712" s="694"/>
      <c r="F712" s="694"/>
      <c r="G712" s="692"/>
      <c r="H712" s="694"/>
      <c r="I712" s="694"/>
      <c r="J712" s="692"/>
      <c r="K712" s="692"/>
      <c r="L712" s="694"/>
      <c r="M712" s="694"/>
      <c r="N712" s="694"/>
      <c r="O712" s="694"/>
      <c r="P712" s="280"/>
      <c r="Q712" s="280"/>
      <c r="R712" s="280"/>
      <c r="S712" s="694"/>
      <c r="T712" s="694"/>
      <c r="U712" s="694"/>
      <c r="V712" s="1"/>
      <c r="W712" s="1"/>
      <c r="X712" s="1"/>
      <c r="Y712" s="1"/>
      <c r="Z712" s="1"/>
    </row>
    <row r="713" ht="14.25" customHeight="1">
      <c r="A713" s="1"/>
      <c r="B713" s="694"/>
      <c r="C713" s="694"/>
      <c r="D713" s="694"/>
      <c r="E713" s="694"/>
      <c r="F713" s="694"/>
      <c r="G713" s="692"/>
      <c r="H713" s="694"/>
      <c r="I713" s="694"/>
      <c r="J713" s="692"/>
      <c r="K713" s="692"/>
      <c r="L713" s="694"/>
      <c r="M713" s="694"/>
      <c r="N713" s="694"/>
      <c r="O713" s="694"/>
      <c r="P713" s="280"/>
      <c r="Q713" s="280"/>
      <c r="R713" s="280"/>
      <c r="S713" s="694"/>
      <c r="T713" s="694"/>
      <c r="U713" s="694"/>
      <c r="V713" s="1"/>
      <c r="W713" s="1"/>
      <c r="X713" s="1"/>
      <c r="Y713" s="1"/>
      <c r="Z713" s="1"/>
    </row>
    <row r="714" ht="14.25" customHeight="1">
      <c r="A714" s="1"/>
      <c r="B714" s="694"/>
      <c r="C714" s="694"/>
      <c r="D714" s="694"/>
      <c r="E714" s="694"/>
      <c r="F714" s="694"/>
      <c r="G714" s="692"/>
      <c r="H714" s="694"/>
      <c r="I714" s="694"/>
      <c r="J714" s="692"/>
      <c r="K714" s="692"/>
      <c r="L714" s="694"/>
      <c r="M714" s="694"/>
      <c r="N714" s="694"/>
      <c r="O714" s="694"/>
      <c r="P714" s="280"/>
      <c r="Q714" s="280"/>
      <c r="R714" s="280"/>
      <c r="S714" s="694"/>
      <c r="T714" s="694"/>
      <c r="U714" s="694"/>
      <c r="V714" s="1"/>
      <c r="W714" s="1"/>
      <c r="X714" s="1"/>
      <c r="Y714" s="1"/>
      <c r="Z714" s="1"/>
    </row>
    <row r="715" ht="14.25" customHeight="1">
      <c r="A715" s="1"/>
      <c r="B715" s="694"/>
      <c r="C715" s="694"/>
      <c r="D715" s="694"/>
      <c r="E715" s="694"/>
      <c r="F715" s="694"/>
      <c r="G715" s="692"/>
      <c r="H715" s="694"/>
      <c r="I715" s="694"/>
      <c r="J715" s="692"/>
      <c r="K715" s="692"/>
      <c r="L715" s="694"/>
      <c r="M715" s="694"/>
      <c r="N715" s="694"/>
      <c r="O715" s="694"/>
      <c r="P715" s="280"/>
      <c r="Q715" s="280"/>
      <c r="R715" s="280"/>
      <c r="S715" s="694"/>
      <c r="T715" s="694"/>
      <c r="U715" s="694"/>
      <c r="V715" s="1"/>
      <c r="W715" s="1"/>
      <c r="X715" s="1"/>
      <c r="Y715" s="1"/>
      <c r="Z715" s="1"/>
    </row>
    <row r="716" ht="14.25" customHeight="1">
      <c r="A716" s="1"/>
      <c r="B716" s="694"/>
      <c r="C716" s="694"/>
      <c r="D716" s="694"/>
      <c r="E716" s="694"/>
      <c r="F716" s="694"/>
      <c r="G716" s="692"/>
      <c r="H716" s="694"/>
      <c r="I716" s="694"/>
      <c r="J716" s="692"/>
      <c r="K716" s="692"/>
      <c r="L716" s="694"/>
      <c r="M716" s="694"/>
      <c r="N716" s="694"/>
      <c r="O716" s="694"/>
      <c r="P716" s="280"/>
      <c r="Q716" s="280"/>
      <c r="R716" s="280"/>
      <c r="S716" s="694"/>
      <c r="T716" s="694"/>
      <c r="U716" s="694"/>
      <c r="V716" s="1"/>
      <c r="W716" s="1"/>
      <c r="X716" s="1"/>
      <c r="Y716" s="1"/>
      <c r="Z716" s="1"/>
    </row>
    <row r="717" ht="14.25" customHeight="1">
      <c r="A717" s="1"/>
      <c r="B717" s="694"/>
      <c r="C717" s="694"/>
      <c r="D717" s="694"/>
      <c r="E717" s="694"/>
      <c r="F717" s="694"/>
      <c r="G717" s="692"/>
      <c r="H717" s="694"/>
      <c r="I717" s="694"/>
      <c r="J717" s="692"/>
      <c r="K717" s="692"/>
      <c r="L717" s="694"/>
      <c r="M717" s="694"/>
      <c r="N717" s="694"/>
      <c r="O717" s="694"/>
      <c r="P717" s="280"/>
      <c r="Q717" s="280"/>
      <c r="R717" s="280"/>
      <c r="S717" s="694"/>
      <c r="T717" s="694"/>
      <c r="U717" s="694"/>
      <c r="V717" s="1"/>
      <c r="W717" s="1"/>
      <c r="X717" s="1"/>
      <c r="Y717" s="1"/>
      <c r="Z717" s="1"/>
    </row>
    <row r="718" ht="14.25" customHeight="1">
      <c r="A718" s="1"/>
      <c r="B718" s="694"/>
      <c r="C718" s="694"/>
      <c r="D718" s="694"/>
      <c r="E718" s="694"/>
      <c r="F718" s="694"/>
      <c r="G718" s="692"/>
      <c r="H718" s="694"/>
      <c r="I718" s="694"/>
      <c r="J718" s="692"/>
      <c r="K718" s="692"/>
      <c r="L718" s="694"/>
      <c r="M718" s="694"/>
      <c r="N718" s="694"/>
      <c r="O718" s="694"/>
      <c r="P718" s="280"/>
      <c r="Q718" s="280"/>
      <c r="R718" s="280"/>
      <c r="S718" s="694"/>
      <c r="T718" s="694"/>
      <c r="U718" s="694"/>
      <c r="V718" s="1"/>
      <c r="W718" s="1"/>
      <c r="X718" s="1"/>
      <c r="Y718" s="1"/>
      <c r="Z718" s="1"/>
    </row>
    <row r="719" ht="14.25" customHeight="1">
      <c r="A719" s="1"/>
      <c r="B719" s="694"/>
      <c r="C719" s="694"/>
      <c r="D719" s="694"/>
      <c r="E719" s="694"/>
      <c r="F719" s="694"/>
      <c r="G719" s="692"/>
      <c r="H719" s="694"/>
      <c r="I719" s="694"/>
      <c r="J719" s="692"/>
      <c r="K719" s="692"/>
      <c r="L719" s="694"/>
      <c r="M719" s="694"/>
      <c r="N719" s="694"/>
      <c r="O719" s="694"/>
      <c r="P719" s="280"/>
      <c r="Q719" s="280"/>
      <c r="R719" s="280"/>
      <c r="S719" s="694"/>
      <c r="T719" s="694"/>
      <c r="U719" s="694"/>
      <c r="V719" s="1"/>
      <c r="W719" s="1"/>
      <c r="X719" s="1"/>
      <c r="Y719" s="1"/>
      <c r="Z719" s="1"/>
    </row>
    <row r="720" ht="14.25" customHeight="1">
      <c r="A720" s="1"/>
      <c r="B720" s="694"/>
      <c r="C720" s="694"/>
      <c r="D720" s="694"/>
      <c r="E720" s="694"/>
      <c r="F720" s="694"/>
      <c r="G720" s="692"/>
      <c r="H720" s="694"/>
      <c r="I720" s="694"/>
      <c r="J720" s="692"/>
      <c r="K720" s="692"/>
      <c r="L720" s="694"/>
      <c r="M720" s="694"/>
      <c r="N720" s="694"/>
      <c r="O720" s="694"/>
      <c r="P720" s="280"/>
      <c r="Q720" s="280"/>
      <c r="R720" s="280"/>
      <c r="S720" s="694"/>
      <c r="T720" s="694"/>
      <c r="U720" s="694"/>
      <c r="V720" s="1"/>
      <c r="W720" s="1"/>
      <c r="X720" s="1"/>
      <c r="Y720" s="1"/>
      <c r="Z720" s="1"/>
    </row>
    <row r="721" ht="14.25" customHeight="1">
      <c r="A721" s="1"/>
      <c r="B721" s="694"/>
      <c r="C721" s="694"/>
      <c r="D721" s="694"/>
      <c r="E721" s="694"/>
      <c r="F721" s="694"/>
      <c r="G721" s="692"/>
      <c r="H721" s="694"/>
      <c r="I721" s="694"/>
      <c r="J721" s="692"/>
      <c r="K721" s="692"/>
      <c r="L721" s="694"/>
      <c r="M721" s="694"/>
      <c r="N721" s="694"/>
      <c r="O721" s="694"/>
      <c r="P721" s="280"/>
      <c r="Q721" s="280"/>
      <c r="R721" s="280"/>
      <c r="S721" s="694"/>
      <c r="T721" s="694"/>
      <c r="U721" s="694"/>
      <c r="V721" s="1"/>
      <c r="W721" s="1"/>
      <c r="X721" s="1"/>
      <c r="Y721" s="1"/>
      <c r="Z721" s="1"/>
    </row>
    <row r="722" ht="14.25" customHeight="1">
      <c r="A722" s="1"/>
      <c r="B722" s="694"/>
      <c r="C722" s="694"/>
      <c r="D722" s="694"/>
      <c r="E722" s="694"/>
      <c r="F722" s="694"/>
      <c r="G722" s="692"/>
      <c r="H722" s="694"/>
      <c r="I722" s="694"/>
      <c r="J722" s="692"/>
      <c r="K722" s="692"/>
      <c r="L722" s="694"/>
      <c r="M722" s="694"/>
      <c r="N722" s="694"/>
      <c r="O722" s="694"/>
      <c r="P722" s="280"/>
      <c r="Q722" s="280"/>
      <c r="R722" s="280"/>
      <c r="S722" s="694"/>
      <c r="T722" s="694"/>
      <c r="U722" s="694"/>
      <c r="V722" s="1"/>
      <c r="W722" s="1"/>
      <c r="X722" s="1"/>
      <c r="Y722" s="1"/>
      <c r="Z722" s="1"/>
    </row>
    <row r="723" ht="14.25" customHeight="1">
      <c r="A723" s="1"/>
      <c r="B723" s="694"/>
      <c r="C723" s="694"/>
      <c r="D723" s="694"/>
      <c r="E723" s="694"/>
      <c r="F723" s="694"/>
      <c r="G723" s="692"/>
      <c r="H723" s="694"/>
      <c r="I723" s="694"/>
      <c r="J723" s="692"/>
      <c r="K723" s="692"/>
      <c r="L723" s="694"/>
      <c r="M723" s="694"/>
      <c r="N723" s="694"/>
      <c r="O723" s="694"/>
      <c r="P723" s="280"/>
      <c r="Q723" s="280"/>
      <c r="R723" s="280"/>
      <c r="S723" s="694"/>
      <c r="T723" s="694"/>
      <c r="U723" s="694"/>
      <c r="V723" s="1"/>
      <c r="W723" s="1"/>
      <c r="X723" s="1"/>
      <c r="Y723" s="1"/>
      <c r="Z723" s="1"/>
    </row>
    <row r="724" ht="14.25" customHeight="1">
      <c r="A724" s="1"/>
      <c r="B724" s="694"/>
      <c r="C724" s="694"/>
      <c r="D724" s="694"/>
      <c r="E724" s="694"/>
      <c r="F724" s="694"/>
      <c r="G724" s="692"/>
      <c r="H724" s="694"/>
      <c r="I724" s="694"/>
      <c r="J724" s="692"/>
      <c r="K724" s="692"/>
      <c r="L724" s="694"/>
      <c r="M724" s="694"/>
      <c r="N724" s="694"/>
      <c r="O724" s="694"/>
      <c r="P724" s="280"/>
      <c r="Q724" s="280"/>
      <c r="R724" s="280"/>
      <c r="S724" s="694"/>
      <c r="T724" s="694"/>
      <c r="U724" s="694"/>
      <c r="V724" s="1"/>
      <c r="W724" s="1"/>
      <c r="X724" s="1"/>
      <c r="Y724" s="1"/>
      <c r="Z724" s="1"/>
    </row>
    <row r="725" ht="14.25" customHeight="1">
      <c r="A725" s="1"/>
      <c r="B725" s="694"/>
      <c r="C725" s="694"/>
      <c r="D725" s="694"/>
      <c r="E725" s="694"/>
      <c r="F725" s="694"/>
      <c r="G725" s="692"/>
      <c r="H725" s="694"/>
      <c r="I725" s="694"/>
      <c r="J725" s="692"/>
      <c r="K725" s="692"/>
      <c r="L725" s="694"/>
      <c r="M725" s="694"/>
      <c r="N725" s="694"/>
      <c r="O725" s="694"/>
      <c r="P725" s="280"/>
      <c r="Q725" s="280"/>
      <c r="R725" s="280"/>
      <c r="S725" s="694"/>
      <c r="T725" s="694"/>
      <c r="U725" s="694"/>
      <c r="V725" s="1"/>
      <c r="W725" s="1"/>
      <c r="X725" s="1"/>
      <c r="Y725" s="1"/>
      <c r="Z725" s="1"/>
    </row>
    <row r="726" ht="14.25" customHeight="1">
      <c r="A726" s="1"/>
      <c r="B726" s="694"/>
      <c r="C726" s="694"/>
      <c r="D726" s="694"/>
      <c r="E726" s="694"/>
      <c r="F726" s="694"/>
      <c r="G726" s="692"/>
      <c r="H726" s="694"/>
      <c r="I726" s="694"/>
      <c r="J726" s="692"/>
      <c r="K726" s="692"/>
      <c r="L726" s="694"/>
      <c r="M726" s="694"/>
      <c r="N726" s="694"/>
      <c r="O726" s="694"/>
      <c r="P726" s="280"/>
      <c r="Q726" s="280"/>
      <c r="R726" s="280"/>
      <c r="S726" s="694"/>
      <c r="T726" s="694"/>
      <c r="U726" s="694"/>
      <c r="V726" s="1"/>
      <c r="W726" s="1"/>
      <c r="X726" s="1"/>
      <c r="Y726" s="1"/>
      <c r="Z726" s="1"/>
    </row>
    <row r="727" ht="14.25" customHeight="1">
      <c r="A727" s="1"/>
      <c r="B727" s="694"/>
      <c r="C727" s="694"/>
      <c r="D727" s="694"/>
      <c r="E727" s="694"/>
      <c r="F727" s="694"/>
      <c r="G727" s="692"/>
      <c r="H727" s="694"/>
      <c r="I727" s="694"/>
      <c r="J727" s="692"/>
      <c r="K727" s="692"/>
      <c r="L727" s="694"/>
      <c r="M727" s="694"/>
      <c r="N727" s="694"/>
      <c r="O727" s="694"/>
      <c r="P727" s="280"/>
      <c r="Q727" s="280"/>
      <c r="R727" s="280"/>
      <c r="S727" s="694"/>
      <c r="T727" s="694"/>
      <c r="U727" s="694"/>
      <c r="V727" s="1"/>
      <c r="W727" s="1"/>
      <c r="X727" s="1"/>
      <c r="Y727" s="1"/>
      <c r="Z727" s="1"/>
    </row>
    <row r="728" ht="14.25" customHeight="1">
      <c r="A728" s="1"/>
      <c r="B728" s="694"/>
      <c r="C728" s="694"/>
      <c r="D728" s="694"/>
      <c r="E728" s="694"/>
      <c r="F728" s="694"/>
      <c r="G728" s="692"/>
      <c r="H728" s="694"/>
      <c r="I728" s="694"/>
      <c r="J728" s="692"/>
      <c r="K728" s="692"/>
      <c r="L728" s="694"/>
      <c r="M728" s="694"/>
      <c r="N728" s="694"/>
      <c r="O728" s="694"/>
      <c r="P728" s="280"/>
      <c r="Q728" s="280"/>
      <c r="R728" s="280"/>
      <c r="S728" s="694"/>
      <c r="T728" s="694"/>
      <c r="U728" s="694"/>
      <c r="V728" s="1"/>
      <c r="W728" s="1"/>
      <c r="X728" s="1"/>
      <c r="Y728" s="1"/>
      <c r="Z728" s="1"/>
    </row>
    <row r="729" ht="14.25" customHeight="1">
      <c r="A729" s="1"/>
      <c r="B729" s="694"/>
      <c r="C729" s="694"/>
      <c r="D729" s="694"/>
      <c r="E729" s="694"/>
      <c r="F729" s="694"/>
      <c r="G729" s="692"/>
      <c r="H729" s="694"/>
      <c r="I729" s="694"/>
      <c r="J729" s="692"/>
      <c r="K729" s="692"/>
      <c r="L729" s="694"/>
      <c r="M729" s="694"/>
      <c r="N729" s="694"/>
      <c r="O729" s="694"/>
      <c r="P729" s="280"/>
      <c r="Q729" s="280"/>
      <c r="R729" s="280"/>
      <c r="S729" s="694"/>
      <c r="T729" s="694"/>
      <c r="U729" s="694"/>
      <c r="V729" s="1"/>
      <c r="W729" s="1"/>
      <c r="X729" s="1"/>
      <c r="Y729" s="1"/>
      <c r="Z729" s="1"/>
    </row>
    <row r="730" ht="14.25" customHeight="1">
      <c r="A730" s="1"/>
      <c r="B730" s="694"/>
      <c r="C730" s="694"/>
      <c r="D730" s="694"/>
      <c r="E730" s="694"/>
      <c r="F730" s="694"/>
      <c r="G730" s="692"/>
      <c r="H730" s="694"/>
      <c r="I730" s="694"/>
      <c r="J730" s="692"/>
      <c r="K730" s="692"/>
      <c r="L730" s="694"/>
      <c r="M730" s="694"/>
      <c r="N730" s="694"/>
      <c r="O730" s="694"/>
      <c r="P730" s="280"/>
      <c r="Q730" s="280"/>
      <c r="R730" s="280"/>
      <c r="S730" s="694"/>
      <c r="T730" s="694"/>
      <c r="U730" s="694"/>
      <c r="V730" s="1"/>
      <c r="W730" s="1"/>
      <c r="X730" s="1"/>
      <c r="Y730" s="1"/>
      <c r="Z730" s="1"/>
    </row>
    <row r="731" ht="14.25" customHeight="1">
      <c r="A731" s="1"/>
      <c r="B731" s="694"/>
      <c r="C731" s="694"/>
      <c r="D731" s="694"/>
      <c r="E731" s="694"/>
      <c r="F731" s="694"/>
      <c r="G731" s="692"/>
      <c r="H731" s="694"/>
      <c r="I731" s="694"/>
      <c r="J731" s="692"/>
      <c r="K731" s="692"/>
      <c r="L731" s="694"/>
      <c r="M731" s="694"/>
      <c r="N731" s="694"/>
      <c r="O731" s="694"/>
      <c r="P731" s="280"/>
      <c r="Q731" s="280"/>
      <c r="R731" s="280"/>
      <c r="S731" s="694"/>
      <c r="T731" s="694"/>
      <c r="U731" s="694"/>
      <c r="V731" s="1"/>
      <c r="W731" s="1"/>
      <c r="X731" s="1"/>
      <c r="Y731" s="1"/>
      <c r="Z731" s="1"/>
    </row>
    <row r="732" ht="14.25" customHeight="1">
      <c r="A732" s="1"/>
      <c r="B732" s="694"/>
      <c r="C732" s="694"/>
      <c r="D732" s="694"/>
      <c r="E732" s="694"/>
      <c r="F732" s="694"/>
      <c r="G732" s="692"/>
      <c r="H732" s="694"/>
      <c r="I732" s="694"/>
      <c r="J732" s="692"/>
      <c r="K732" s="692"/>
      <c r="L732" s="694"/>
      <c r="M732" s="694"/>
      <c r="N732" s="694"/>
      <c r="O732" s="694"/>
      <c r="P732" s="280"/>
      <c r="Q732" s="280"/>
      <c r="R732" s="280"/>
      <c r="S732" s="694"/>
      <c r="T732" s="694"/>
      <c r="U732" s="694"/>
      <c r="V732" s="1"/>
      <c r="W732" s="1"/>
      <c r="X732" s="1"/>
      <c r="Y732" s="1"/>
      <c r="Z732" s="1"/>
    </row>
    <row r="733" ht="14.25" customHeight="1">
      <c r="A733" s="1"/>
      <c r="B733" s="694"/>
      <c r="C733" s="694"/>
      <c r="D733" s="694"/>
      <c r="E733" s="694"/>
      <c r="F733" s="694"/>
      <c r="G733" s="692"/>
      <c r="H733" s="694"/>
      <c r="I733" s="694"/>
      <c r="J733" s="692"/>
      <c r="K733" s="692"/>
      <c r="L733" s="694"/>
      <c r="M733" s="694"/>
      <c r="N733" s="694"/>
      <c r="O733" s="694"/>
      <c r="P733" s="280"/>
      <c r="Q733" s="280"/>
      <c r="R733" s="280"/>
      <c r="S733" s="694"/>
      <c r="T733" s="694"/>
      <c r="U733" s="694"/>
      <c r="V733" s="1"/>
      <c r="W733" s="1"/>
      <c r="X733" s="1"/>
      <c r="Y733" s="1"/>
      <c r="Z733" s="1"/>
    </row>
    <row r="734" ht="14.25" customHeight="1">
      <c r="A734" s="1"/>
      <c r="B734" s="694"/>
      <c r="C734" s="694"/>
      <c r="D734" s="694"/>
      <c r="E734" s="694"/>
      <c r="F734" s="694"/>
      <c r="G734" s="692"/>
      <c r="H734" s="694"/>
      <c r="I734" s="694"/>
      <c r="J734" s="692"/>
      <c r="K734" s="692"/>
      <c r="L734" s="694"/>
      <c r="M734" s="694"/>
      <c r="N734" s="694"/>
      <c r="O734" s="694"/>
      <c r="P734" s="280"/>
      <c r="Q734" s="280"/>
      <c r="R734" s="280"/>
      <c r="S734" s="694"/>
      <c r="T734" s="694"/>
      <c r="U734" s="694"/>
      <c r="V734" s="1"/>
      <c r="W734" s="1"/>
      <c r="X734" s="1"/>
      <c r="Y734" s="1"/>
      <c r="Z734" s="1"/>
    </row>
    <row r="735" ht="14.25" customHeight="1">
      <c r="A735" s="1"/>
      <c r="B735" s="694"/>
      <c r="C735" s="694"/>
      <c r="D735" s="694"/>
      <c r="E735" s="694"/>
      <c r="F735" s="694"/>
      <c r="G735" s="692"/>
      <c r="H735" s="694"/>
      <c r="I735" s="694"/>
      <c r="J735" s="692"/>
      <c r="K735" s="692"/>
      <c r="L735" s="694"/>
      <c r="M735" s="694"/>
      <c r="N735" s="694"/>
      <c r="O735" s="694"/>
      <c r="P735" s="280"/>
      <c r="Q735" s="280"/>
      <c r="R735" s="280"/>
      <c r="S735" s="694"/>
      <c r="T735" s="694"/>
      <c r="U735" s="694"/>
      <c r="V735" s="1"/>
      <c r="W735" s="1"/>
      <c r="X735" s="1"/>
      <c r="Y735" s="1"/>
      <c r="Z735" s="1"/>
    </row>
    <row r="736" ht="14.25" customHeight="1">
      <c r="A736" s="1"/>
      <c r="B736" s="694"/>
      <c r="C736" s="694"/>
      <c r="D736" s="694"/>
      <c r="E736" s="694"/>
      <c r="F736" s="694"/>
      <c r="G736" s="692"/>
      <c r="H736" s="694"/>
      <c r="I736" s="694"/>
      <c r="J736" s="692"/>
      <c r="K736" s="692"/>
      <c r="L736" s="694"/>
      <c r="M736" s="694"/>
      <c r="N736" s="694"/>
      <c r="O736" s="694"/>
      <c r="P736" s="280"/>
      <c r="Q736" s="280"/>
      <c r="R736" s="280"/>
      <c r="S736" s="694"/>
      <c r="T736" s="694"/>
      <c r="U736" s="694"/>
      <c r="V736" s="1"/>
      <c r="W736" s="1"/>
      <c r="X736" s="1"/>
      <c r="Y736" s="1"/>
      <c r="Z736" s="1"/>
    </row>
    <row r="737" ht="14.25" customHeight="1">
      <c r="A737" s="1"/>
      <c r="B737" s="694"/>
      <c r="C737" s="694"/>
      <c r="D737" s="694"/>
      <c r="E737" s="694"/>
      <c r="F737" s="694"/>
      <c r="G737" s="692"/>
      <c r="H737" s="694"/>
      <c r="I737" s="694"/>
      <c r="J737" s="692"/>
      <c r="K737" s="692"/>
      <c r="L737" s="694"/>
      <c r="M737" s="694"/>
      <c r="N737" s="694"/>
      <c r="O737" s="694"/>
      <c r="P737" s="280"/>
      <c r="Q737" s="280"/>
      <c r="R737" s="280"/>
      <c r="S737" s="694"/>
      <c r="T737" s="694"/>
      <c r="U737" s="694"/>
      <c r="V737" s="1"/>
      <c r="W737" s="1"/>
      <c r="X737" s="1"/>
      <c r="Y737" s="1"/>
      <c r="Z737" s="1"/>
    </row>
    <row r="738" ht="14.25" customHeight="1">
      <c r="A738" s="1"/>
      <c r="B738" s="694"/>
      <c r="C738" s="694"/>
      <c r="D738" s="694"/>
      <c r="E738" s="694"/>
      <c r="F738" s="694"/>
      <c r="G738" s="692"/>
      <c r="H738" s="694"/>
      <c r="I738" s="694"/>
      <c r="J738" s="692"/>
      <c r="K738" s="692"/>
      <c r="L738" s="694"/>
      <c r="M738" s="694"/>
      <c r="N738" s="694"/>
      <c r="O738" s="694"/>
      <c r="P738" s="280"/>
      <c r="Q738" s="280"/>
      <c r="R738" s="280"/>
      <c r="S738" s="694"/>
      <c r="T738" s="694"/>
      <c r="U738" s="694"/>
      <c r="V738" s="1"/>
      <c r="W738" s="1"/>
      <c r="X738" s="1"/>
      <c r="Y738" s="1"/>
      <c r="Z738" s="1"/>
    </row>
    <row r="739" ht="14.25" customHeight="1">
      <c r="A739" s="1"/>
      <c r="B739" s="694"/>
      <c r="C739" s="694"/>
      <c r="D739" s="694"/>
      <c r="E739" s="694"/>
      <c r="F739" s="694"/>
      <c r="G739" s="692"/>
      <c r="H739" s="694"/>
      <c r="I739" s="694"/>
      <c r="J739" s="692"/>
      <c r="K739" s="692"/>
      <c r="L739" s="694"/>
      <c r="M739" s="694"/>
      <c r="N739" s="694"/>
      <c r="O739" s="694"/>
      <c r="P739" s="280"/>
      <c r="Q739" s="280"/>
      <c r="R739" s="280"/>
      <c r="S739" s="694"/>
      <c r="T739" s="694"/>
      <c r="U739" s="694"/>
      <c r="V739" s="1"/>
      <c r="W739" s="1"/>
      <c r="X739" s="1"/>
      <c r="Y739" s="1"/>
      <c r="Z739" s="1"/>
    </row>
    <row r="740" ht="14.25" customHeight="1">
      <c r="A740" s="1"/>
      <c r="B740" s="694"/>
      <c r="C740" s="694"/>
      <c r="D740" s="694"/>
      <c r="E740" s="694"/>
      <c r="F740" s="694"/>
      <c r="G740" s="692"/>
      <c r="H740" s="694"/>
      <c r="I740" s="694"/>
      <c r="J740" s="692"/>
      <c r="K740" s="692"/>
      <c r="L740" s="694"/>
      <c r="M740" s="694"/>
      <c r="N740" s="694"/>
      <c r="O740" s="694"/>
      <c r="P740" s="280"/>
      <c r="Q740" s="280"/>
      <c r="R740" s="280"/>
      <c r="S740" s="694"/>
      <c r="T740" s="694"/>
      <c r="U740" s="694"/>
      <c r="V740" s="1"/>
      <c r="W740" s="1"/>
      <c r="X740" s="1"/>
      <c r="Y740" s="1"/>
      <c r="Z740" s="1"/>
    </row>
    <row r="741" ht="14.25" customHeight="1">
      <c r="A741" s="1"/>
      <c r="B741" s="694"/>
      <c r="C741" s="694"/>
      <c r="D741" s="694"/>
      <c r="E741" s="694"/>
      <c r="F741" s="694"/>
      <c r="G741" s="692"/>
      <c r="H741" s="694"/>
      <c r="I741" s="694"/>
      <c r="J741" s="692"/>
      <c r="K741" s="692"/>
      <c r="L741" s="694"/>
      <c r="M741" s="694"/>
      <c r="N741" s="694"/>
      <c r="O741" s="694"/>
      <c r="P741" s="280"/>
      <c r="Q741" s="280"/>
      <c r="R741" s="280"/>
      <c r="S741" s="694"/>
      <c r="T741" s="694"/>
      <c r="U741" s="694"/>
      <c r="V741" s="1"/>
      <c r="W741" s="1"/>
      <c r="X741" s="1"/>
      <c r="Y741" s="1"/>
      <c r="Z741" s="1"/>
    </row>
    <row r="742" ht="14.25" customHeight="1">
      <c r="A742" s="1"/>
      <c r="B742" s="694"/>
      <c r="C742" s="694"/>
      <c r="D742" s="694"/>
      <c r="E742" s="694"/>
      <c r="F742" s="694"/>
      <c r="G742" s="692"/>
      <c r="H742" s="694"/>
      <c r="I742" s="694"/>
      <c r="J742" s="692"/>
      <c r="K742" s="692"/>
      <c r="L742" s="694"/>
      <c r="M742" s="694"/>
      <c r="N742" s="694"/>
      <c r="O742" s="694"/>
      <c r="P742" s="280"/>
      <c r="Q742" s="280"/>
      <c r="R742" s="280"/>
      <c r="S742" s="694"/>
      <c r="T742" s="694"/>
      <c r="U742" s="694"/>
      <c r="V742" s="1"/>
      <c r="W742" s="1"/>
      <c r="X742" s="1"/>
      <c r="Y742" s="1"/>
      <c r="Z742" s="1"/>
    </row>
    <row r="743" ht="14.25" customHeight="1">
      <c r="A743" s="1"/>
      <c r="B743" s="694"/>
      <c r="C743" s="694"/>
      <c r="D743" s="694"/>
      <c r="E743" s="694"/>
      <c r="F743" s="694"/>
      <c r="G743" s="692"/>
      <c r="H743" s="694"/>
      <c r="I743" s="694"/>
      <c r="J743" s="692"/>
      <c r="K743" s="692"/>
      <c r="L743" s="694"/>
      <c r="M743" s="694"/>
      <c r="N743" s="694"/>
      <c r="O743" s="694"/>
      <c r="P743" s="280"/>
      <c r="Q743" s="280"/>
      <c r="R743" s="280"/>
      <c r="S743" s="694"/>
      <c r="T743" s="694"/>
      <c r="U743" s="694"/>
      <c r="V743" s="1"/>
      <c r="W743" s="1"/>
      <c r="X743" s="1"/>
      <c r="Y743" s="1"/>
      <c r="Z743" s="1"/>
    </row>
    <row r="744" ht="14.25" customHeight="1">
      <c r="A744" s="1"/>
      <c r="B744" s="694"/>
      <c r="C744" s="694"/>
      <c r="D744" s="694"/>
      <c r="E744" s="694"/>
      <c r="F744" s="694"/>
      <c r="G744" s="692"/>
      <c r="H744" s="694"/>
      <c r="I744" s="694"/>
      <c r="J744" s="692"/>
      <c r="K744" s="692"/>
      <c r="L744" s="694"/>
      <c r="M744" s="694"/>
      <c r="N744" s="694"/>
      <c r="O744" s="694"/>
      <c r="P744" s="280"/>
      <c r="Q744" s="280"/>
      <c r="R744" s="280"/>
      <c r="S744" s="694"/>
      <c r="T744" s="694"/>
      <c r="U744" s="694"/>
      <c r="V744" s="1"/>
      <c r="W744" s="1"/>
      <c r="X744" s="1"/>
      <c r="Y744" s="1"/>
      <c r="Z744" s="1"/>
    </row>
    <row r="745" ht="14.25" customHeight="1">
      <c r="A745" s="1"/>
      <c r="B745" s="694"/>
      <c r="C745" s="694"/>
      <c r="D745" s="694"/>
      <c r="E745" s="694"/>
      <c r="F745" s="694"/>
      <c r="G745" s="692"/>
      <c r="H745" s="694"/>
      <c r="I745" s="694"/>
      <c r="J745" s="692"/>
      <c r="K745" s="692"/>
      <c r="L745" s="694"/>
      <c r="M745" s="694"/>
      <c r="N745" s="694"/>
      <c r="O745" s="694"/>
      <c r="P745" s="280"/>
      <c r="Q745" s="280"/>
      <c r="R745" s="280"/>
      <c r="S745" s="694"/>
      <c r="T745" s="694"/>
      <c r="U745" s="694"/>
      <c r="V745" s="1"/>
      <c r="W745" s="1"/>
      <c r="X745" s="1"/>
      <c r="Y745" s="1"/>
      <c r="Z745" s="1"/>
    </row>
    <row r="746" ht="14.25" customHeight="1">
      <c r="A746" s="1"/>
      <c r="B746" s="694"/>
      <c r="C746" s="694"/>
      <c r="D746" s="694"/>
      <c r="E746" s="694"/>
      <c r="F746" s="694"/>
      <c r="G746" s="692"/>
      <c r="H746" s="694"/>
      <c r="I746" s="694"/>
      <c r="J746" s="692"/>
      <c r="K746" s="692"/>
      <c r="L746" s="694"/>
      <c r="M746" s="694"/>
      <c r="N746" s="694"/>
      <c r="O746" s="694"/>
      <c r="P746" s="280"/>
      <c r="Q746" s="280"/>
      <c r="R746" s="280"/>
      <c r="S746" s="694"/>
      <c r="T746" s="694"/>
      <c r="U746" s="694"/>
      <c r="V746" s="1"/>
      <c r="W746" s="1"/>
      <c r="X746" s="1"/>
      <c r="Y746" s="1"/>
      <c r="Z746" s="1"/>
    </row>
    <row r="747" ht="14.25" customHeight="1">
      <c r="A747" s="1"/>
      <c r="B747" s="694"/>
      <c r="C747" s="694"/>
      <c r="D747" s="694"/>
      <c r="E747" s="694"/>
      <c r="F747" s="694"/>
      <c r="G747" s="692"/>
      <c r="H747" s="694"/>
      <c r="I747" s="694"/>
      <c r="J747" s="692"/>
      <c r="K747" s="692"/>
      <c r="L747" s="694"/>
      <c r="M747" s="694"/>
      <c r="N747" s="694"/>
      <c r="O747" s="694"/>
      <c r="P747" s="280"/>
      <c r="Q747" s="280"/>
      <c r="R747" s="280"/>
      <c r="S747" s="694"/>
      <c r="T747" s="694"/>
      <c r="U747" s="694"/>
      <c r="V747" s="1"/>
      <c r="W747" s="1"/>
      <c r="X747" s="1"/>
      <c r="Y747" s="1"/>
      <c r="Z747" s="1"/>
    </row>
    <row r="748" ht="14.25" customHeight="1">
      <c r="A748" s="1"/>
      <c r="B748" s="694"/>
      <c r="C748" s="694"/>
      <c r="D748" s="694"/>
      <c r="E748" s="694"/>
      <c r="F748" s="694"/>
      <c r="G748" s="692"/>
      <c r="H748" s="694"/>
      <c r="I748" s="694"/>
      <c r="J748" s="692"/>
      <c r="K748" s="692"/>
      <c r="L748" s="694"/>
      <c r="M748" s="694"/>
      <c r="N748" s="694"/>
      <c r="O748" s="694"/>
      <c r="P748" s="280"/>
      <c r="Q748" s="280"/>
      <c r="R748" s="280"/>
      <c r="S748" s="694"/>
      <c r="T748" s="694"/>
      <c r="U748" s="694"/>
      <c r="V748" s="1"/>
      <c r="W748" s="1"/>
      <c r="X748" s="1"/>
      <c r="Y748" s="1"/>
      <c r="Z748" s="1"/>
    </row>
    <row r="749" ht="14.25" customHeight="1">
      <c r="A749" s="1"/>
      <c r="B749" s="694"/>
      <c r="C749" s="694"/>
      <c r="D749" s="694"/>
      <c r="E749" s="694"/>
      <c r="F749" s="694"/>
      <c r="G749" s="692"/>
      <c r="H749" s="694"/>
      <c r="I749" s="694"/>
      <c r="J749" s="692"/>
      <c r="K749" s="692"/>
      <c r="L749" s="694"/>
      <c r="M749" s="694"/>
      <c r="N749" s="694"/>
      <c r="O749" s="694"/>
      <c r="P749" s="280"/>
      <c r="Q749" s="280"/>
      <c r="R749" s="280"/>
      <c r="S749" s="694"/>
      <c r="T749" s="694"/>
      <c r="U749" s="694"/>
      <c r="V749" s="1"/>
      <c r="W749" s="1"/>
      <c r="X749" s="1"/>
      <c r="Y749" s="1"/>
      <c r="Z749" s="1"/>
    </row>
    <row r="750" ht="14.25" customHeight="1">
      <c r="A750" s="1"/>
      <c r="B750" s="694"/>
      <c r="C750" s="694"/>
      <c r="D750" s="694"/>
      <c r="E750" s="694"/>
      <c r="F750" s="694"/>
      <c r="G750" s="692"/>
      <c r="H750" s="694"/>
      <c r="I750" s="694"/>
      <c r="J750" s="692"/>
      <c r="K750" s="692"/>
      <c r="L750" s="694"/>
      <c r="M750" s="694"/>
      <c r="N750" s="694"/>
      <c r="O750" s="694"/>
      <c r="P750" s="280"/>
      <c r="Q750" s="280"/>
      <c r="R750" s="280"/>
      <c r="S750" s="694"/>
      <c r="T750" s="694"/>
      <c r="U750" s="694"/>
      <c r="V750" s="1"/>
      <c r="W750" s="1"/>
      <c r="X750" s="1"/>
      <c r="Y750" s="1"/>
      <c r="Z750" s="1"/>
    </row>
    <row r="751" ht="14.25" customHeight="1">
      <c r="A751" s="1"/>
      <c r="B751" s="694"/>
      <c r="C751" s="694"/>
      <c r="D751" s="694"/>
      <c r="E751" s="694"/>
      <c r="F751" s="694"/>
      <c r="G751" s="692"/>
      <c r="H751" s="694"/>
      <c r="I751" s="694"/>
      <c r="J751" s="692"/>
      <c r="K751" s="692"/>
      <c r="L751" s="694"/>
      <c r="M751" s="694"/>
      <c r="N751" s="694"/>
      <c r="O751" s="694"/>
      <c r="P751" s="280"/>
      <c r="Q751" s="280"/>
      <c r="R751" s="280"/>
      <c r="S751" s="694"/>
      <c r="T751" s="694"/>
      <c r="U751" s="694"/>
      <c r="V751" s="1"/>
      <c r="W751" s="1"/>
      <c r="X751" s="1"/>
      <c r="Y751" s="1"/>
      <c r="Z751" s="1"/>
    </row>
    <row r="752" ht="14.25" customHeight="1">
      <c r="A752" s="1"/>
      <c r="B752" s="694"/>
      <c r="C752" s="694"/>
      <c r="D752" s="694"/>
      <c r="E752" s="694"/>
      <c r="F752" s="694"/>
      <c r="G752" s="692"/>
      <c r="H752" s="694"/>
      <c r="I752" s="694"/>
      <c r="J752" s="692"/>
      <c r="K752" s="692"/>
      <c r="L752" s="694"/>
      <c r="M752" s="694"/>
      <c r="N752" s="694"/>
      <c r="O752" s="694"/>
      <c r="P752" s="280"/>
      <c r="Q752" s="280"/>
      <c r="R752" s="280"/>
      <c r="S752" s="694"/>
      <c r="T752" s="694"/>
      <c r="U752" s="694"/>
      <c r="V752" s="1"/>
      <c r="W752" s="1"/>
      <c r="X752" s="1"/>
      <c r="Y752" s="1"/>
      <c r="Z752" s="1"/>
    </row>
    <row r="753" ht="14.25" customHeight="1">
      <c r="A753" s="1"/>
      <c r="B753" s="694"/>
      <c r="C753" s="694"/>
      <c r="D753" s="694"/>
      <c r="E753" s="694"/>
      <c r="F753" s="694"/>
      <c r="G753" s="692"/>
      <c r="H753" s="694"/>
      <c r="I753" s="694"/>
      <c r="J753" s="692"/>
      <c r="K753" s="692"/>
      <c r="L753" s="694"/>
      <c r="M753" s="694"/>
      <c r="N753" s="694"/>
      <c r="O753" s="694"/>
      <c r="P753" s="280"/>
      <c r="Q753" s="280"/>
      <c r="R753" s="280"/>
      <c r="S753" s="694"/>
      <c r="T753" s="694"/>
      <c r="U753" s="694"/>
      <c r="V753" s="1"/>
      <c r="W753" s="1"/>
      <c r="X753" s="1"/>
      <c r="Y753" s="1"/>
      <c r="Z753" s="1"/>
    </row>
    <row r="754" ht="14.25" customHeight="1">
      <c r="A754" s="1"/>
      <c r="B754" s="694"/>
      <c r="C754" s="694"/>
      <c r="D754" s="694"/>
      <c r="E754" s="694"/>
      <c r="F754" s="694"/>
      <c r="G754" s="692"/>
      <c r="H754" s="694"/>
      <c r="I754" s="694"/>
      <c r="J754" s="692"/>
      <c r="K754" s="692"/>
      <c r="L754" s="694"/>
      <c r="M754" s="694"/>
      <c r="N754" s="694"/>
      <c r="O754" s="694"/>
      <c r="P754" s="280"/>
      <c r="Q754" s="280"/>
      <c r="R754" s="280"/>
      <c r="S754" s="694"/>
      <c r="T754" s="694"/>
      <c r="U754" s="694"/>
      <c r="V754" s="1"/>
      <c r="W754" s="1"/>
      <c r="X754" s="1"/>
      <c r="Y754" s="1"/>
      <c r="Z754" s="1"/>
    </row>
    <row r="755" ht="14.25" customHeight="1">
      <c r="A755" s="1"/>
      <c r="B755" s="694"/>
      <c r="C755" s="694"/>
      <c r="D755" s="694"/>
      <c r="E755" s="694"/>
      <c r="F755" s="694"/>
      <c r="G755" s="692"/>
      <c r="H755" s="694"/>
      <c r="I755" s="694"/>
      <c r="J755" s="692"/>
      <c r="K755" s="692"/>
      <c r="L755" s="694"/>
      <c r="M755" s="694"/>
      <c r="N755" s="694"/>
      <c r="O755" s="694"/>
      <c r="P755" s="280"/>
      <c r="Q755" s="280"/>
      <c r="R755" s="280"/>
      <c r="S755" s="694"/>
      <c r="T755" s="694"/>
      <c r="U755" s="694"/>
      <c r="V755" s="1"/>
      <c r="W755" s="1"/>
      <c r="X755" s="1"/>
      <c r="Y755" s="1"/>
      <c r="Z755" s="1"/>
    </row>
    <row r="756" ht="14.25" customHeight="1">
      <c r="A756" s="1"/>
      <c r="B756" s="694"/>
      <c r="C756" s="694"/>
      <c r="D756" s="694"/>
      <c r="E756" s="694"/>
      <c r="F756" s="694"/>
      <c r="G756" s="692"/>
      <c r="H756" s="694"/>
      <c r="I756" s="694"/>
      <c r="J756" s="692"/>
      <c r="K756" s="692"/>
      <c r="L756" s="694"/>
      <c r="M756" s="694"/>
      <c r="N756" s="694"/>
      <c r="O756" s="694"/>
      <c r="P756" s="280"/>
      <c r="Q756" s="280"/>
      <c r="R756" s="280"/>
      <c r="S756" s="694"/>
      <c r="T756" s="694"/>
      <c r="U756" s="694"/>
      <c r="V756" s="1"/>
      <c r="W756" s="1"/>
      <c r="X756" s="1"/>
      <c r="Y756" s="1"/>
      <c r="Z756" s="1"/>
    </row>
    <row r="757" ht="14.25" customHeight="1">
      <c r="A757" s="1"/>
      <c r="B757" s="694"/>
      <c r="C757" s="694"/>
      <c r="D757" s="694"/>
      <c r="E757" s="694"/>
      <c r="F757" s="694"/>
      <c r="G757" s="692"/>
      <c r="H757" s="694"/>
      <c r="I757" s="694"/>
      <c r="J757" s="692"/>
      <c r="K757" s="692"/>
      <c r="L757" s="694"/>
      <c r="M757" s="694"/>
      <c r="N757" s="694"/>
      <c r="O757" s="694"/>
      <c r="P757" s="280"/>
      <c r="Q757" s="280"/>
      <c r="R757" s="280"/>
      <c r="S757" s="694"/>
      <c r="T757" s="694"/>
      <c r="U757" s="694"/>
      <c r="V757" s="1"/>
      <c r="W757" s="1"/>
      <c r="X757" s="1"/>
      <c r="Y757" s="1"/>
      <c r="Z757" s="1"/>
    </row>
    <row r="758" ht="14.25" customHeight="1">
      <c r="A758" s="1"/>
      <c r="B758" s="694"/>
      <c r="C758" s="694"/>
      <c r="D758" s="694"/>
      <c r="E758" s="694"/>
      <c r="F758" s="694"/>
      <c r="G758" s="692"/>
      <c r="H758" s="694"/>
      <c r="I758" s="694"/>
      <c r="J758" s="692"/>
      <c r="K758" s="692"/>
      <c r="L758" s="694"/>
      <c r="M758" s="694"/>
      <c r="N758" s="694"/>
      <c r="O758" s="694"/>
      <c r="P758" s="280"/>
      <c r="Q758" s="280"/>
      <c r="R758" s="280"/>
      <c r="S758" s="694"/>
      <c r="T758" s="694"/>
      <c r="U758" s="694"/>
      <c r="V758" s="1"/>
      <c r="W758" s="1"/>
      <c r="X758" s="1"/>
      <c r="Y758" s="1"/>
      <c r="Z758" s="1"/>
    </row>
    <row r="759" ht="14.25" customHeight="1">
      <c r="A759" s="1"/>
      <c r="B759" s="694"/>
      <c r="C759" s="694"/>
      <c r="D759" s="694"/>
      <c r="E759" s="694"/>
      <c r="F759" s="694"/>
      <c r="G759" s="692"/>
      <c r="H759" s="694"/>
      <c r="I759" s="694"/>
      <c r="J759" s="692"/>
      <c r="K759" s="692"/>
      <c r="L759" s="694"/>
      <c r="M759" s="694"/>
      <c r="N759" s="694"/>
      <c r="O759" s="694"/>
      <c r="P759" s="280"/>
      <c r="Q759" s="280"/>
      <c r="R759" s="280"/>
      <c r="S759" s="694"/>
      <c r="T759" s="694"/>
      <c r="U759" s="694"/>
      <c r="V759" s="1"/>
      <c r="W759" s="1"/>
      <c r="X759" s="1"/>
      <c r="Y759" s="1"/>
      <c r="Z759" s="1"/>
    </row>
    <row r="760" ht="14.25" customHeight="1">
      <c r="A760" s="1"/>
      <c r="B760" s="694"/>
      <c r="C760" s="694"/>
      <c r="D760" s="694"/>
      <c r="E760" s="694"/>
      <c r="F760" s="694"/>
      <c r="G760" s="692"/>
      <c r="H760" s="694"/>
      <c r="I760" s="694"/>
      <c r="J760" s="692"/>
      <c r="K760" s="692"/>
      <c r="L760" s="694"/>
      <c r="M760" s="694"/>
      <c r="N760" s="694"/>
      <c r="O760" s="694"/>
      <c r="P760" s="280"/>
      <c r="Q760" s="280"/>
      <c r="R760" s="280"/>
      <c r="S760" s="694"/>
      <c r="T760" s="694"/>
      <c r="U760" s="694"/>
      <c r="V760" s="1"/>
      <c r="W760" s="1"/>
      <c r="X760" s="1"/>
      <c r="Y760" s="1"/>
      <c r="Z760" s="1"/>
    </row>
    <row r="761" ht="14.25" customHeight="1">
      <c r="A761" s="1"/>
      <c r="B761" s="694"/>
      <c r="C761" s="694"/>
      <c r="D761" s="694"/>
      <c r="E761" s="694"/>
      <c r="F761" s="694"/>
      <c r="G761" s="692"/>
      <c r="H761" s="694"/>
      <c r="I761" s="694"/>
      <c r="J761" s="692"/>
      <c r="K761" s="692"/>
      <c r="L761" s="694"/>
      <c r="M761" s="694"/>
      <c r="N761" s="694"/>
      <c r="O761" s="694"/>
      <c r="P761" s="280"/>
      <c r="Q761" s="280"/>
      <c r="R761" s="280"/>
      <c r="S761" s="694"/>
      <c r="T761" s="694"/>
      <c r="U761" s="694"/>
      <c r="V761" s="1"/>
      <c r="W761" s="1"/>
      <c r="X761" s="1"/>
      <c r="Y761" s="1"/>
      <c r="Z761" s="1"/>
    </row>
    <row r="762" ht="14.25" customHeight="1">
      <c r="A762" s="1"/>
      <c r="B762" s="694"/>
      <c r="C762" s="694"/>
      <c r="D762" s="694"/>
      <c r="E762" s="694"/>
      <c r="F762" s="694"/>
      <c r="G762" s="692"/>
      <c r="H762" s="694"/>
      <c r="I762" s="694"/>
      <c r="J762" s="692"/>
      <c r="K762" s="692"/>
      <c r="L762" s="694"/>
      <c r="M762" s="694"/>
      <c r="N762" s="694"/>
      <c r="O762" s="694"/>
      <c r="P762" s="280"/>
      <c r="Q762" s="280"/>
      <c r="R762" s="280"/>
      <c r="S762" s="694"/>
      <c r="T762" s="694"/>
      <c r="U762" s="694"/>
      <c r="V762" s="1"/>
      <c r="W762" s="1"/>
      <c r="X762" s="1"/>
      <c r="Y762" s="1"/>
      <c r="Z762" s="1"/>
    </row>
    <row r="763" ht="14.25" customHeight="1">
      <c r="A763" s="1"/>
      <c r="B763" s="694"/>
      <c r="C763" s="694"/>
      <c r="D763" s="694"/>
      <c r="E763" s="694"/>
      <c r="F763" s="694"/>
      <c r="G763" s="692"/>
      <c r="H763" s="694"/>
      <c r="I763" s="694"/>
      <c r="J763" s="692"/>
      <c r="K763" s="692"/>
      <c r="L763" s="694"/>
      <c r="M763" s="694"/>
      <c r="N763" s="694"/>
      <c r="O763" s="694"/>
      <c r="P763" s="280"/>
      <c r="Q763" s="280"/>
      <c r="R763" s="280"/>
      <c r="S763" s="694"/>
      <c r="T763" s="694"/>
      <c r="U763" s="694"/>
      <c r="V763" s="1"/>
      <c r="W763" s="1"/>
      <c r="X763" s="1"/>
      <c r="Y763" s="1"/>
      <c r="Z763" s="1"/>
    </row>
    <row r="764" ht="14.25" customHeight="1">
      <c r="A764" s="1"/>
      <c r="B764" s="694"/>
      <c r="C764" s="694"/>
      <c r="D764" s="694"/>
      <c r="E764" s="694"/>
      <c r="F764" s="694"/>
      <c r="G764" s="692"/>
      <c r="H764" s="694"/>
      <c r="I764" s="694"/>
      <c r="J764" s="692"/>
      <c r="K764" s="692"/>
      <c r="L764" s="694"/>
      <c r="M764" s="694"/>
      <c r="N764" s="694"/>
      <c r="O764" s="694"/>
      <c r="P764" s="280"/>
      <c r="Q764" s="280"/>
      <c r="R764" s="280"/>
      <c r="S764" s="694"/>
      <c r="T764" s="694"/>
      <c r="U764" s="694"/>
      <c r="V764" s="1"/>
      <c r="W764" s="1"/>
      <c r="X764" s="1"/>
      <c r="Y764" s="1"/>
      <c r="Z764" s="1"/>
    </row>
    <row r="765" ht="14.25" customHeight="1">
      <c r="A765" s="1"/>
      <c r="B765" s="694"/>
      <c r="C765" s="694"/>
      <c r="D765" s="694"/>
      <c r="E765" s="694"/>
      <c r="F765" s="694"/>
      <c r="G765" s="692"/>
      <c r="H765" s="694"/>
      <c r="I765" s="694"/>
      <c r="J765" s="692"/>
      <c r="K765" s="692"/>
      <c r="L765" s="694"/>
      <c r="M765" s="694"/>
      <c r="N765" s="694"/>
      <c r="O765" s="694"/>
      <c r="P765" s="280"/>
      <c r="Q765" s="280"/>
      <c r="R765" s="280"/>
      <c r="S765" s="694"/>
      <c r="T765" s="694"/>
      <c r="U765" s="694"/>
      <c r="V765" s="1"/>
      <c r="W765" s="1"/>
      <c r="X765" s="1"/>
      <c r="Y765" s="1"/>
      <c r="Z765" s="1"/>
    </row>
    <row r="766" ht="14.25" customHeight="1">
      <c r="A766" s="1"/>
      <c r="B766" s="694"/>
      <c r="C766" s="694"/>
      <c r="D766" s="694"/>
      <c r="E766" s="694"/>
      <c r="F766" s="694"/>
      <c r="G766" s="692"/>
      <c r="H766" s="694"/>
      <c r="I766" s="694"/>
      <c r="J766" s="692"/>
      <c r="K766" s="692"/>
      <c r="L766" s="694"/>
      <c r="M766" s="694"/>
      <c r="N766" s="694"/>
      <c r="O766" s="694"/>
      <c r="P766" s="280"/>
      <c r="Q766" s="280"/>
      <c r="R766" s="280"/>
      <c r="S766" s="694"/>
      <c r="T766" s="694"/>
      <c r="U766" s="694"/>
      <c r="V766" s="1"/>
      <c r="W766" s="1"/>
      <c r="X766" s="1"/>
      <c r="Y766" s="1"/>
      <c r="Z766" s="1"/>
    </row>
    <row r="767" ht="14.25" customHeight="1">
      <c r="A767" s="1"/>
      <c r="B767" s="694"/>
      <c r="C767" s="694"/>
      <c r="D767" s="694"/>
      <c r="E767" s="694"/>
      <c r="F767" s="694"/>
      <c r="G767" s="692"/>
      <c r="H767" s="694"/>
      <c r="I767" s="694"/>
      <c r="J767" s="692"/>
      <c r="K767" s="692"/>
      <c r="L767" s="694"/>
      <c r="M767" s="694"/>
      <c r="N767" s="694"/>
      <c r="O767" s="694"/>
      <c r="P767" s="280"/>
      <c r="Q767" s="280"/>
      <c r="R767" s="280"/>
      <c r="S767" s="694"/>
      <c r="T767" s="694"/>
      <c r="U767" s="694"/>
      <c r="V767" s="1"/>
      <c r="W767" s="1"/>
      <c r="X767" s="1"/>
      <c r="Y767" s="1"/>
      <c r="Z767" s="1"/>
    </row>
    <row r="768" ht="14.25" customHeight="1">
      <c r="A768" s="1"/>
      <c r="B768" s="694"/>
      <c r="C768" s="694"/>
      <c r="D768" s="694"/>
      <c r="E768" s="694"/>
      <c r="F768" s="694"/>
      <c r="G768" s="692"/>
      <c r="H768" s="694"/>
      <c r="I768" s="694"/>
      <c r="J768" s="692"/>
      <c r="K768" s="692"/>
      <c r="L768" s="694"/>
      <c r="M768" s="694"/>
      <c r="N768" s="694"/>
      <c r="O768" s="694"/>
      <c r="P768" s="280"/>
      <c r="Q768" s="280"/>
      <c r="R768" s="280"/>
      <c r="S768" s="694"/>
      <c r="T768" s="694"/>
      <c r="U768" s="694"/>
      <c r="V768" s="1"/>
      <c r="W768" s="1"/>
      <c r="X768" s="1"/>
      <c r="Y768" s="1"/>
      <c r="Z768" s="1"/>
    </row>
    <row r="769" ht="14.25" customHeight="1">
      <c r="A769" s="1"/>
      <c r="B769" s="694"/>
      <c r="C769" s="694"/>
      <c r="D769" s="694"/>
      <c r="E769" s="694"/>
      <c r="F769" s="694"/>
      <c r="G769" s="692"/>
      <c r="H769" s="694"/>
      <c r="I769" s="694"/>
      <c r="J769" s="692"/>
      <c r="K769" s="692"/>
      <c r="L769" s="694"/>
      <c r="M769" s="694"/>
      <c r="N769" s="694"/>
      <c r="O769" s="694"/>
      <c r="P769" s="280"/>
      <c r="Q769" s="280"/>
      <c r="R769" s="280"/>
      <c r="S769" s="694"/>
      <c r="T769" s="694"/>
      <c r="U769" s="694"/>
      <c r="V769" s="1"/>
      <c r="W769" s="1"/>
      <c r="X769" s="1"/>
      <c r="Y769" s="1"/>
      <c r="Z769" s="1"/>
    </row>
    <row r="770" ht="14.25" customHeight="1">
      <c r="A770" s="1"/>
      <c r="B770" s="694"/>
      <c r="C770" s="694"/>
      <c r="D770" s="694"/>
      <c r="E770" s="694"/>
      <c r="F770" s="694"/>
      <c r="G770" s="692"/>
      <c r="H770" s="694"/>
      <c r="I770" s="694"/>
      <c r="J770" s="692"/>
      <c r="K770" s="692"/>
      <c r="L770" s="694"/>
      <c r="M770" s="694"/>
      <c r="N770" s="694"/>
      <c r="O770" s="694"/>
      <c r="P770" s="280"/>
      <c r="Q770" s="280"/>
      <c r="R770" s="280"/>
      <c r="S770" s="694"/>
      <c r="T770" s="694"/>
      <c r="U770" s="694"/>
      <c r="V770" s="1"/>
      <c r="W770" s="1"/>
      <c r="X770" s="1"/>
      <c r="Y770" s="1"/>
      <c r="Z770" s="1"/>
    </row>
    <row r="771" ht="14.25" customHeight="1">
      <c r="A771" s="1"/>
      <c r="B771" s="694"/>
      <c r="C771" s="694"/>
      <c r="D771" s="694"/>
      <c r="E771" s="694"/>
      <c r="F771" s="694"/>
      <c r="G771" s="692"/>
      <c r="H771" s="694"/>
      <c r="I771" s="694"/>
      <c r="J771" s="692"/>
      <c r="K771" s="692"/>
      <c r="L771" s="694"/>
      <c r="M771" s="694"/>
      <c r="N771" s="694"/>
      <c r="O771" s="694"/>
      <c r="P771" s="280"/>
      <c r="Q771" s="280"/>
      <c r="R771" s="280"/>
      <c r="S771" s="694"/>
      <c r="T771" s="694"/>
      <c r="U771" s="694"/>
      <c r="V771" s="1"/>
      <c r="W771" s="1"/>
      <c r="X771" s="1"/>
      <c r="Y771" s="1"/>
      <c r="Z771" s="1"/>
    </row>
    <row r="772" ht="14.25" customHeight="1">
      <c r="A772" s="1"/>
      <c r="B772" s="694"/>
      <c r="C772" s="694"/>
      <c r="D772" s="694"/>
      <c r="E772" s="694"/>
      <c r="F772" s="694"/>
      <c r="G772" s="692"/>
      <c r="H772" s="694"/>
      <c r="I772" s="694"/>
      <c r="J772" s="692"/>
      <c r="K772" s="692"/>
      <c r="L772" s="694"/>
      <c r="M772" s="694"/>
      <c r="N772" s="694"/>
      <c r="O772" s="694"/>
      <c r="P772" s="280"/>
      <c r="Q772" s="280"/>
      <c r="R772" s="280"/>
      <c r="S772" s="694"/>
      <c r="T772" s="694"/>
      <c r="U772" s="694"/>
      <c r="V772" s="1"/>
      <c r="W772" s="1"/>
      <c r="X772" s="1"/>
      <c r="Y772" s="1"/>
      <c r="Z772" s="1"/>
    </row>
    <row r="773" ht="14.25" customHeight="1">
      <c r="A773" s="1"/>
      <c r="B773" s="694"/>
      <c r="C773" s="694"/>
      <c r="D773" s="694"/>
      <c r="E773" s="694"/>
      <c r="F773" s="694"/>
      <c r="G773" s="692"/>
      <c r="H773" s="694"/>
      <c r="I773" s="694"/>
      <c r="J773" s="692"/>
      <c r="K773" s="692"/>
      <c r="L773" s="694"/>
      <c r="M773" s="694"/>
      <c r="N773" s="694"/>
      <c r="O773" s="694"/>
      <c r="P773" s="280"/>
      <c r="Q773" s="280"/>
      <c r="R773" s="280"/>
      <c r="S773" s="694"/>
      <c r="T773" s="694"/>
      <c r="U773" s="694"/>
      <c r="V773" s="1"/>
      <c r="W773" s="1"/>
      <c r="X773" s="1"/>
      <c r="Y773" s="1"/>
      <c r="Z773" s="1"/>
    </row>
    <row r="774" ht="14.25" customHeight="1">
      <c r="A774" s="1"/>
      <c r="B774" s="694"/>
      <c r="C774" s="694"/>
      <c r="D774" s="694"/>
      <c r="E774" s="694"/>
      <c r="F774" s="694"/>
      <c r="G774" s="692"/>
      <c r="H774" s="694"/>
      <c r="I774" s="694"/>
      <c r="J774" s="692"/>
      <c r="K774" s="692"/>
      <c r="L774" s="694"/>
      <c r="M774" s="694"/>
      <c r="N774" s="694"/>
      <c r="O774" s="694"/>
      <c r="P774" s="280"/>
      <c r="Q774" s="280"/>
      <c r="R774" s="280"/>
      <c r="S774" s="694"/>
      <c r="T774" s="694"/>
      <c r="U774" s="694"/>
      <c r="V774" s="1"/>
      <c r="W774" s="1"/>
      <c r="X774" s="1"/>
      <c r="Y774" s="1"/>
      <c r="Z774" s="1"/>
    </row>
    <row r="775" ht="14.25" customHeight="1">
      <c r="A775" s="1"/>
      <c r="B775" s="694"/>
      <c r="C775" s="694"/>
      <c r="D775" s="694"/>
      <c r="E775" s="694"/>
      <c r="F775" s="694"/>
      <c r="G775" s="692"/>
      <c r="H775" s="694"/>
      <c r="I775" s="694"/>
      <c r="J775" s="692"/>
      <c r="K775" s="692"/>
      <c r="L775" s="694"/>
      <c r="M775" s="694"/>
      <c r="N775" s="694"/>
      <c r="O775" s="694"/>
      <c r="P775" s="280"/>
      <c r="Q775" s="280"/>
      <c r="R775" s="280"/>
      <c r="S775" s="694"/>
      <c r="T775" s="694"/>
      <c r="U775" s="694"/>
      <c r="V775" s="1"/>
      <c r="W775" s="1"/>
      <c r="X775" s="1"/>
      <c r="Y775" s="1"/>
      <c r="Z775" s="1"/>
    </row>
    <row r="776" ht="14.25" customHeight="1">
      <c r="A776" s="1"/>
      <c r="B776" s="694"/>
      <c r="C776" s="694"/>
      <c r="D776" s="694"/>
      <c r="E776" s="694"/>
      <c r="F776" s="694"/>
      <c r="G776" s="692"/>
      <c r="H776" s="694"/>
      <c r="I776" s="694"/>
      <c r="J776" s="692"/>
      <c r="K776" s="692"/>
      <c r="L776" s="694"/>
      <c r="M776" s="694"/>
      <c r="N776" s="694"/>
      <c r="O776" s="694"/>
      <c r="P776" s="280"/>
      <c r="Q776" s="280"/>
      <c r="R776" s="280"/>
      <c r="S776" s="694"/>
      <c r="T776" s="694"/>
      <c r="U776" s="694"/>
      <c r="V776" s="1"/>
      <c r="W776" s="1"/>
      <c r="X776" s="1"/>
      <c r="Y776" s="1"/>
      <c r="Z776" s="1"/>
    </row>
    <row r="777" ht="14.25" customHeight="1">
      <c r="A777" s="1"/>
      <c r="B777" s="694"/>
      <c r="C777" s="694"/>
      <c r="D777" s="694"/>
      <c r="E777" s="694"/>
      <c r="F777" s="694"/>
      <c r="G777" s="692"/>
      <c r="H777" s="694"/>
      <c r="I777" s="694"/>
      <c r="J777" s="692"/>
      <c r="K777" s="692"/>
      <c r="L777" s="694"/>
      <c r="M777" s="694"/>
      <c r="N777" s="694"/>
      <c r="O777" s="694"/>
      <c r="P777" s="280"/>
      <c r="Q777" s="280"/>
      <c r="R777" s="280"/>
      <c r="S777" s="694"/>
      <c r="T777" s="694"/>
      <c r="U777" s="694"/>
      <c r="V777" s="1"/>
      <c r="W777" s="1"/>
      <c r="X777" s="1"/>
      <c r="Y777" s="1"/>
      <c r="Z777" s="1"/>
    </row>
    <row r="778" ht="14.25" customHeight="1">
      <c r="A778" s="1"/>
      <c r="B778" s="694"/>
      <c r="C778" s="694"/>
      <c r="D778" s="694"/>
      <c r="E778" s="694"/>
      <c r="F778" s="694"/>
      <c r="G778" s="692"/>
      <c r="H778" s="694"/>
      <c r="I778" s="694"/>
      <c r="J778" s="692"/>
      <c r="K778" s="692"/>
      <c r="L778" s="694"/>
      <c r="M778" s="694"/>
      <c r="N778" s="694"/>
      <c r="O778" s="694"/>
      <c r="P778" s="280"/>
      <c r="Q778" s="280"/>
      <c r="R778" s="280"/>
      <c r="S778" s="694"/>
      <c r="T778" s="694"/>
      <c r="U778" s="694"/>
      <c r="V778" s="1"/>
      <c r="W778" s="1"/>
      <c r="X778" s="1"/>
      <c r="Y778" s="1"/>
      <c r="Z778" s="1"/>
    </row>
    <row r="779" ht="14.25" customHeight="1">
      <c r="A779" s="1"/>
      <c r="B779" s="694"/>
      <c r="C779" s="694"/>
      <c r="D779" s="694"/>
      <c r="E779" s="694"/>
      <c r="F779" s="694"/>
      <c r="G779" s="692"/>
      <c r="H779" s="694"/>
      <c r="I779" s="694"/>
      <c r="J779" s="692"/>
      <c r="K779" s="692"/>
      <c r="L779" s="694"/>
      <c r="M779" s="694"/>
      <c r="N779" s="694"/>
      <c r="O779" s="694"/>
      <c r="P779" s="280"/>
      <c r="Q779" s="280"/>
      <c r="R779" s="280"/>
      <c r="S779" s="694"/>
      <c r="T779" s="694"/>
      <c r="U779" s="694"/>
      <c r="V779" s="1"/>
      <c r="W779" s="1"/>
      <c r="X779" s="1"/>
      <c r="Y779" s="1"/>
      <c r="Z779" s="1"/>
    </row>
    <row r="780" ht="14.25" customHeight="1">
      <c r="A780" s="1"/>
      <c r="B780" s="694"/>
      <c r="C780" s="694"/>
      <c r="D780" s="694"/>
      <c r="E780" s="694"/>
      <c r="F780" s="694"/>
      <c r="G780" s="692"/>
      <c r="H780" s="694"/>
      <c r="I780" s="694"/>
      <c r="J780" s="692"/>
      <c r="K780" s="692"/>
      <c r="L780" s="694"/>
      <c r="M780" s="694"/>
      <c r="N780" s="694"/>
      <c r="O780" s="694"/>
      <c r="P780" s="280"/>
      <c r="Q780" s="280"/>
      <c r="R780" s="280"/>
      <c r="S780" s="694"/>
      <c r="T780" s="694"/>
      <c r="U780" s="694"/>
      <c r="V780" s="1"/>
      <c r="W780" s="1"/>
      <c r="X780" s="1"/>
      <c r="Y780" s="1"/>
      <c r="Z780" s="1"/>
    </row>
    <row r="781" ht="14.25" customHeight="1">
      <c r="A781" s="1"/>
      <c r="B781" s="694"/>
      <c r="C781" s="694"/>
      <c r="D781" s="694"/>
      <c r="E781" s="694"/>
      <c r="F781" s="694"/>
      <c r="G781" s="692"/>
      <c r="H781" s="694"/>
      <c r="I781" s="694"/>
      <c r="J781" s="692"/>
      <c r="K781" s="692"/>
      <c r="L781" s="694"/>
      <c r="M781" s="694"/>
      <c r="N781" s="694"/>
      <c r="O781" s="694"/>
      <c r="P781" s="280"/>
      <c r="Q781" s="280"/>
      <c r="R781" s="280"/>
      <c r="S781" s="694"/>
      <c r="T781" s="694"/>
      <c r="U781" s="694"/>
      <c r="V781" s="1"/>
      <c r="W781" s="1"/>
      <c r="X781" s="1"/>
      <c r="Y781" s="1"/>
      <c r="Z781" s="1"/>
    </row>
    <row r="782" ht="14.25" customHeight="1">
      <c r="A782" s="1"/>
      <c r="B782" s="694"/>
      <c r="C782" s="694"/>
      <c r="D782" s="694"/>
      <c r="E782" s="694"/>
      <c r="F782" s="694"/>
      <c r="G782" s="692"/>
      <c r="H782" s="694"/>
      <c r="I782" s="694"/>
      <c r="J782" s="692"/>
      <c r="K782" s="692"/>
      <c r="L782" s="694"/>
      <c r="M782" s="694"/>
      <c r="N782" s="694"/>
      <c r="O782" s="694"/>
      <c r="P782" s="280"/>
      <c r="Q782" s="280"/>
      <c r="R782" s="280"/>
      <c r="S782" s="694"/>
      <c r="T782" s="694"/>
      <c r="U782" s="694"/>
      <c r="V782" s="1"/>
      <c r="W782" s="1"/>
      <c r="X782" s="1"/>
      <c r="Y782" s="1"/>
      <c r="Z782" s="1"/>
    </row>
    <row r="783" ht="14.25" customHeight="1">
      <c r="A783" s="1"/>
      <c r="B783" s="694"/>
      <c r="C783" s="694"/>
      <c r="D783" s="694"/>
      <c r="E783" s="694"/>
      <c r="F783" s="694"/>
      <c r="G783" s="692"/>
      <c r="H783" s="694"/>
      <c r="I783" s="694"/>
      <c r="J783" s="692"/>
      <c r="K783" s="692"/>
      <c r="L783" s="694"/>
      <c r="M783" s="694"/>
      <c r="N783" s="694"/>
      <c r="O783" s="694"/>
      <c r="P783" s="280"/>
      <c r="Q783" s="280"/>
      <c r="R783" s="280"/>
      <c r="S783" s="694"/>
      <c r="T783" s="694"/>
      <c r="U783" s="694"/>
      <c r="V783" s="1"/>
      <c r="W783" s="1"/>
      <c r="X783" s="1"/>
      <c r="Y783" s="1"/>
      <c r="Z783" s="1"/>
    </row>
    <row r="784" ht="14.25" customHeight="1">
      <c r="A784" s="1"/>
      <c r="B784" s="694"/>
      <c r="C784" s="694"/>
      <c r="D784" s="694"/>
      <c r="E784" s="694"/>
      <c r="F784" s="694"/>
      <c r="G784" s="692"/>
      <c r="H784" s="694"/>
      <c r="I784" s="694"/>
      <c r="J784" s="692"/>
      <c r="K784" s="692"/>
      <c r="L784" s="694"/>
      <c r="M784" s="694"/>
      <c r="N784" s="694"/>
      <c r="O784" s="694"/>
      <c r="P784" s="280"/>
      <c r="Q784" s="280"/>
      <c r="R784" s="280"/>
      <c r="S784" s="694"/>
      <c r="T784" s="694"/>
      <c r="U784" s="694"/>
      <c r="V784" s="1"/>
      <c r="W784" s="1"/>
      <c r="X784" s="1"/>
      <c r="Y784" s="1"/>
      <c r="Z784" s="1"/>
    </row>
    <row r="785" ht="14.25" customHeight="1">
      <c r="A785" s="1"/>
      <c r="B785" s="694"/>
      <c r="C785" s="694"/>
      <c r="D785" s="694"/>
      <c r="E785" s="694"/>
      <c r="F785" s="694"/>
      <c r="G785" s="692"/>
      <c r="H785" s="694"/>
      <c r="I785" s="694"/>
      <c r="J785" s="692"/>
      <c r="K785" s="692"/>
      <c r="L785" s="694"/>
      <c r="M785" s="694"/>
      <c r="N785" s="694"/>
      <c r="O785" s="694"/>
      <c r="P785" s="280"/>
      <c r="Q785" s="280"/>
      <c r="R785" s="280"/>
      <c r="S785" s="694"/>
      <c r="T785" s="694"/>
      <c r="U785" s="694"/>
      <c r="V785" s="1"/>
      <c r="W785" s="1"/>
      <c r="X785" s="1"/>
      <c r="Y785" s="1"/>
      <c r="Z785" s="1"/>
    </row>
    <row r="786" ht="14.25" customHeight="1">
      <c r="A786" s="1"/>
      <c r="B786" s="694"/>
      <c r="C786" s="694"/>
      <c r="D786" s="694"/>
      <c r="E786" s="694"/>
      <c r="F786" s="694"/>
      <c r="G786" s="692"/>
      <c r="H786" s="694"/>
      <c r="I786" s="694"/>
      <c r="J786" s="692"/>
      <c r="K786" s="692"/>
      <c r="L786" s="694"/>
      <c r="M786" s="694"/>
      <c r="N786" s="694"/>
      <c r="O786" s="694"/>
      <c r="P786" s="280"/>
      <c r="Q786" s="280"/>
      <c r="R786" s="280"/>
      <c r="S786" s="694"/>
      <c r="T786" s="694"/>
      <c r="U786" s="694"/>
      <c r="V786" s="1"/>
      <c r="W786" s="1"/>
      <c r="X786" s="1"/>
      <c r="Y786" s="1"/>
      <c r="Z786" s="1"/>
    </row>
    <row r="787" ht="14.25" customHeight="1">
      <c r="A787" s="1"/>
      <c r="B787" s="694"/>
      <c r="C787" s="694"/>
      <c r="D787" s="694"/>
      <c r="E787" s="694"/>
      <c r="F787" s="694"/>
      <c r="G787" s="692"/>
      <c r="H787" s="694"/>
      <c r="I787" s="694"/>
      <c r="J787" s="692"/>
      <c r="K787" s="692"/>
      <c r="L787" s="694"/>
      <c r="M787" s="694"/>
      <c r="N787" s="694"/>
      <c r="O787" s="694"/>
      <c r="P787" s="280"/>
      <c r="Q787" s="280"/>
      <c r="R787" s="280"/>
      <c r="S787" s="694"/>
      <c r="T787" s="694"/>
      <c r="U787" s="694"/>
      <c r="V787" s="1"/>
      <c r="W787" s="1"/>
      <c r="X787" s="1"/>
      <c r="Y787" s="1"/>
      <c r="Z787" s="1"/>
    </row>
    <row r="788" ht="14.25" customHeight="1">
      <c r="A788" s="1"/>
      <c r="B788" s="694"/>
      <c r="C788" s="694"/>
      <c r="D788" s="694"/>
      <c r="E788" s="694"/>
      <c r="F788" s="694"/>
      <c r="G788" s="692"/>
      <c r="H788" s="694"/>
      <c r="I788" s="694"/>
      <c r="J788" s="692"/>
      <c r="K788" s="692"/>
      <c r="L788" s="694"/>
      <c r="M788" s="694"/>
      <c r="N788" s="694"/>
      <c r="O788" s="694"/>
      <c r="P788" s="280"/>
      <c r="Q788" s="280"/>
      <c r="R788" s="280"/>
      <c r="S788" s="694"/>
      <c r="T788" s="694"/>
      <c r="U788" s="694"/>
      <c r="V788" s="1"/>
      <c r="W788" s="1"/>
      <c r="X788" s="1"/>
      <c r="Y788" s="1"/>
      <c r="Z788" s="1"/>
    </row>
    <row r="789" ht="14.25" customHeight="1">
      <c r="A789" s="1"/>
      <c r="B789" s="694"/>
      <c r="C789" s="694"/>
      <c r="D789" s="694"/>
      <c r="E789" s="694"/>
      <c r="F789" s="694"/>
      <c r="G789" s="692"/>
      <c r="H789" s="694"/>
      <c r="I789" s="694"/>
      <c r="J789" s="692"/>
      <c r="K789" s="692"/>
      <c r="L789" s="694"/>
      <c r="M789" s="694"/>
      <c r="N789" s="694"/>
      <c r="O789" s="694"/>
      <c r="P789" s="280"/>
      <c r="Q789" s="280"/>
      <c r="R789" s="280"/>
      <c r="S789" s="694"/>
      <c r="T789" s="694"/>
      <c r="U789" s="694"/>
      <c r="V789" s="1"/>
      <c r="W789" s="1"/>
      <c r="X789" s="1"/>
      <c r="Y789" s="1"/>
      <c r="Z789" s="1"/>
    </row>
    <row r="790" ht="14.25" customHeight="1">
      <c r="A790" s="1"/>
      <c r="B790" s="694"/>
      <c r="C790" s="694"/>
      <c r="D790" s="694"/>
      <c r="E790" s="694"/>
      <c r="F790" s="694"/>
      <c r="G790" s="692"/>
      <c r="H790" s="694"/>
      <c r="I790" s="694"/>
      <c r="J790" s="692"/>
      <c r="K790" s="692"/>
      <c r="L790" s="694"/>
      <c r="M790" s="694"/>
      <c r="N790" s="694"/>
      <c r="O790" s="694"/>
      <c r="P790" s="280"/>
      <c r="Q790" s="280"/>
      <c r="R790" s="280"/>
      <c r="S790" s="694"/>
      <c r="T790" s="694"/>
      <c r="U790" s="694"/>
      <c r="V790" s="1"/>
      <c r="W790" s="1"/>
      <c r="X790" s="1"/>
      <c r="Y790" s="1"/>
      <c r="Z790" s="1"/>
    </row>
    <row r="791" ht="14.25" customHeight="1">
      <c r="A791" s="1"/>
      <c r="B791" s="694"/>
      <c r="C791" s="694"/>
      <c r="D791" s="694"/>
      <c r="E791" s="694"/>
      <c r="F791" s="694"/>
      <c r="G791" s="692"/>
      <c r="H791" s="694"/>
      <c r="I791" s="694"/>
      <c r="J791" s="692"/>
      <c r="K791" s="692"/>
      <c r="L791" s="694"/>
      <c r="M791" s="694"/>
      <c r="N791" s="694"/>
      <c r="O791" s="694"/>
      <c r="P791" s="280"/>
      <c r="Q791" s="280"/>
      <c r="R791" s="280"/>
      <c r="S791" s="694"/>
      <c r="T791" s="694"/>
      <c r="U791" s="694"/>
      <c r="V791" s="1"/>
      <c r="W791" s="1"/>
      <c r="X791" s="1"/>
      <c r="Y791" s="1"/>
      <c r="Z791" s="1"/>
    </row>
    <row r="792" ht="14.25" customHeight="1">
      <c r="A792" s="1"/>
      <c r="B792" s="694"/>
      <c r="C792" s="694"/>
      <c r="D792" s="694"/>
      <c r="E792" s="694"/>
      <c r="F792" s="694"/>
      <c r="G792" s="692"/>
      <c r="H792" s="694"/>
      <c r="I792" s="694"/>
      <c r="J792" s="692"/>
      <c r="K792" s="692"/>
      <c r="L792" s="694"/>
      <c r="M792" s="694"/>
      <c r="N792" s="694"/>
      <c r="O792" s="694"/>
      <c r="P792" s="280"/>
      <c r="Q792" s="280"/>
      <c r="R792" s="280"/>
      <c r="S792" s="694"/>
      <c r="T792" s="694"/>
      <c r="U792" s="694"/>
      <c r="V792" s="1"/>
      <c r="W792" s="1"/>
      <c r="X792" s="1"/>
      <c r="Y792" s="1"/>
      <c r="Z792" s="1"/>
    </row>
    <row r="793" ht="14.25" customHeight="1">
      <c r="A793" s="1"/>
      <c r="B793" s="694"/>
      <c r="C793" s="694"/>
      <c r="D793" s="694"/>
      <c r="E793" s="694"/>
      <c r="F793" s="694"/>
      <c r="G793" s="692"/>
      <c r="H793" s="694"/>
      <c r="I793" s="694"/>
      <c r="J793" s="692"/>
      <c r="K793" s="692"/>
      <c r="L793" s="694"/>
      <c r="M793" s="694"/>
      <c r="N793" s="694"/>
      <c r="O793" s="694"/>
      <c r="P793" s="280"/>
      <c r="Q793" s="280"/>
      <c r="R793" s="280"/>
      <c r="S793" s="694"/>
      <c r="T793" s="694"/>
      <c r="U793" s="694"/>
      <c r="V793" s="1"/>
      <c r="W793" s="1"/>
      <c r="X793" s="1"/>
      <c r="Y793" s="1"/>
      <c r="Z793" s="1"/>
    </row>
    <row r="794" ht="14.25" customHeight="1">
      <c r="A794" s="1"/>
      <c r="B794" s="694"/>
      <c r="C794" s="694"/>
      <c r="D794" s="694"/>
      <c r="E794" s="694"/>
      <c r="F794" s="694"/>
      <c r="G794" s="692"/>
      <c r="H794" s="694"/>
      <c r="I794" s="694"/>
      <c r="J794" s="692"/>
      <c r="K794" s="692"/>
      <c r="L794" s="694"/>
      <c r="M794" s="694"/>
      <c r="N794" s="694"/>
      <c r="O794" s="694"/>
      <c r="P794" s="280"/>
      <c r="Q794" s="280"/>
      <c r="R794" s="280"/>
      <c r="S794" s="694"/>
      <c r="T794" s="694"/>
      <c r="U794" s="694"/>
      <c r="V794" s="1"/>
      <c r="W794" s="1"/>
      <c r="X794" s="1"/>
      <c r="Y794" s="1"/>
      <c r="Z794" s="1"/>
    </row>
    <row r="795" ht="14.25" customHeight="1">
      <c r="A795" s="1"/>
      <c r="B795" s="694"/>
      <c r="C795" s="694"/>
      <c r="D795" s="694"/>
      <c r="E795" s="694"/>
      <c r="F795" s="694"/>
      <c r="G795" s="692"/>
      <c r="H795" s="694"/>
      <c r="I795" s="694"/>
      <c r="J795" s="692"/>
      <c r="K795" s="692"/>
      <c r="L795" s="694"/>
      <c r="M795" s="694"/>
      <c r="N795" s="694"/>
      <c r="O795" s="694"/>
      <c r="P795" s="280"/>
      <c r="Q795" s="280"/>
      <c r="R795" s="280"/>
      <c r="S795" s="694"/>
      <c r="T795" s="694"/>
      <c r="U795" s="694"/>
      <c r="V795" s="1"/>
      <c r="W795" s="1"/>
      <c r="X795" s="1"/>
      <c r="Y795" s="1"/>
      <c r="Z795" s="1"/>
    </row>
    <row r="796" ht="14.25" customHeight="1">
      <c r="A796" s="1"/>
      <c r="B796" s="694"/>
      <c r="C796" s="694"/>
      <c r="D796" s="694"/>
      <c r="E796" s="694"/>
      <c r="F796" s="694"/>
      <c r="G796" s="692"/>
      <c r="H796" s="694"/>
      <c r="I796" s="694"/>
      <c r="J796" s="692"/>
      <c r="K796" s="692"/>
      <c r="L796" s="694"/>
      <c r="M796" s="694"/>
      <c r="N796" s="694"/>
      <c r="O796" s="694"/>
      <c r="P796" s="280"/>
      <c r="Q796" s="280"/>
      <c r="R796" s="280"/>
      <c r="S796" s="694"/>
      <c r="T796" s="694"/>
      <c r="U796" s="694"/>
      <c r="V796" s="1"/>
      <c r="W796" s="1"/>
      <c r="X796" s="1"/>
      <c r="Y796" s="1"/>
      <c r="Z796" s="1"/>
    </row>
    <row r="797" ht="14.25" customHeight="1">
      <c r="A797" s="1"/>
      <c r="B797" s="694"/>
      <c r="C797" s="694"/>
      <c r="D797" s="694"/>
      <c r="E797" s="694"/>
      <c r="F797" s="694"/>
      <c r="G797" s="692"/>
      <c r="H797" s="694"/>
      <c r="I797" s="694"/>
      <c r="J797" s="692"/>
      <c r="K797" s="692"/>
      <c r="L797" s="694"/>
      <c r="M797" s="694"/>
      <c r="N797" s="694"/>
      <c r="O797" s="694"/>
      <c r="P797" s="280"/>
      <c r="Q797" s="280"/>
      <c r="R797" s="280"/>
      <c r="S797" s="694"/>
      <c r="T797" s="694"/>
      <c r="U797" s="694"/>
      <c r="V797" s="1"/>
      <c r="W797" s="1"/>
      <c r="X797" s="1"/>
      <c r="Y797" s="1"/>
      <c r="Z797" s="1"/>
    </row>
    <row r="798" ht="14.25" customHeight="1">
      <c r="A798" s="1"/>
      <c r="B798" s="694"/>
      <c r="C798" s="694"/>
      <c r="D798" s="694"/>
      <c r="E798" s="694"/>
      <c r="F798" s="694"/>
      <c r="G798" s="692"/>
      <c r="H798" s="694"/>
      <c r="I798" s="694"/>
      <c r="J798" s="692"/>
      <c r="K798" s="692"/>
      <c r="L798" s="694"/>
      <c r="M798" s="694"/>
      <c r="N798" s="694"/>
      <c r="O798" s="694"/>
      <c r="P798" s="280"/>
      <c r="Q798" s="280"/>
      <c r="R798" s="280"/>
      <c r="S798" s="694"/>
      <c r="T798" s="694"/>
      <c r="U798" s="694"/>
      <c r="V798" s="1"/>
      <c r="W798" s="1"/>
      <c r="X798" s="1"/>
      <c r="Y798" s="1"/>
      <c r="Z798" s="1"/>
    </row>
    <row r="799" ht="14.25" customHeight="1">
      <c r="A799" s="1"/>
      <c r="B799" s="694"/>
      <c r="C799" s="694"/>
      <c r="D799" s="694"/>
      <c r="E799" s="694"/>
      <c r="F799" s="694"/>
      <c r="G799" s="692"/>
      <c r="H799" s="694"/>
      <c r="I799" s="694"/>
      <c r="J799" s="692"/>
      <c r="K799" s="692"/>
      <c r="L799" s="694"/>
      <c r="M799" s="694"/>
      <c r="N799" s="694"/>
      <c r="O799" s="694"/>
      <c r="P799" s="280"/>
      <c r="Q799" s="280"/>
      <c r="R799" s="280"/>
      <c r="S799" s="694"/>
      <c r="T799" s="694"/>
      <c r="U799" s="694"/>
      <c r="V799" s="1"/>
      <c r="W799" s="1"/>
      <c r="X799" s="1"/>
      <c r="Y799" s="1"/>
      <c r="Z799" s="1"/>
    </row>
    <row r="800" ht="14.25" customHeight="1">
      <c r="A800" s="1"/>
      <c r="B800" s="694"/>
      <c r="C800" s="694"/>
      <c r="D800" s="694"/>
      <c r="E800" s="694"/>
      <c r="F800" s="694"/>
      <c r="G800" s="692"/>
      <c r="H800" s="694"/>
      <c r="I800" s="694"/>
      <c r="J800" s="692"/>
      <c r="K800" s="692"/>
      <c r="L800" s="694"/>
      <c r="M800" s="694"/>
      <c r="N800" s="694"/>
      <c r="O800" s="694"/>
      <c r="P800" s="280"/>
      <c r="Q800" s="280"/>
      <c r="R800" s="280"/>
      <c r="S800" s="694"/>
      <c r="T800" s="694"/>
      <c r="U800" s="694"/>
      <c r="V800" s="1"/>
      <c r="W800" s="1"/>
      <c r="X800" s="1"/>
      <c r="Y800" s="1"/>
      <c r="Z800" s="1"/>
    </row>
    <row r="801" ht="14.25" customHeight="1">
      <c r="A801" s="1"/>
      <c r="B801" s="694"/>
      <c r="C801" s="694"/>
      <c r="D801" s="694"/>
      <c r="E801" s="694"/>
      <c r="F801" s="694"/>
      <c r="G801" s="692"/>
      <c r="H801" s="694"/>
      <c r="I801" s="694"/>
      <c r="J801" s="692"/>
      <c r="K801" s="692"/>
      <c r="L801" s="694"/>
      <c r="M801" s="694"/>
      <c r="N801" s="694"/>
      <c r="O801" s="694"/>
      <c r="P801" s="280"/>
      <c r="Q801" s="280"/>
      <c r="R801" s="280"/>
      <c r="S801" s="694"/>
      <c r="T801" s="694"/>
      <c r="U801" s="694"/>
      <c r="V801" s="1"/>
      <c r="W801" s="1"/>
      <c r="X801" s="1"/>
      <c r="Y801" s="1"/>
      <c r="Z801" s="1"/>
    </row>
    <row r="802" ht="14.25" customHeight="1">
      <c r="A802" s="1"/>
      <c r="B802" s="694"/>
      <c r="C802" s="694"/>
      <c r="D802" s="694"/>
      <c r="E802" s="694"/>
      <c r="F802" s="694"/>
      <c r="G802" s="692"/>
      <c r="H802" s="694"/>
      <c r="I802" s="694"/>
      <c r="J802" s="692"/>
      <c r="K802" s="692"/>
      <c r="L802" s="694"/>
      <c r="M802" s="694"/>
      <c r="N802" s="694"/>
      <c r="O802" s="694"/>
      <c r="P802" s="280"/>
      <c r="Q802" s="280"/>
      <c r="R802" s="280"/>
      <c r="S802" s="694"/>
      <c r="T802" s="694"/>
      <c r="U802" s="694"/>
      <c r="V802" s="1"/>
      <c r="W802" s="1"/>
      <c r="X802" s="1"/>
      <c r="Y802" s="1"/>
      <c r="Z802" s="1"/>
    </row>
    <row r="803" ht="14.25" customHeight="1">
      <c r="A803" s="1"/>
      <c r="B803" s="694"/>
      <c r="C803" s="694"/>
      <c r="D803" s="694"/>
      <c r="E803" s="694"/>
      <c r="F803" s="694"/>
      <c r="G803" s="692"/>
      <c r="H803" s="694"/>
      <c r="I803" s="694"/>
      <c r="J803" s="692"/>
      <c r="K803" s="692"/>
      <c r="L803" s="694"/>
      <c r="M803" s="694"/>
      <c r="N803" s="694"/>
      <c r="O803" s="694"/>
      <c r="P803" s="280"/>
      <c r="Q803" s="280"/>
      <c r="R803" s="280"/>
      <c r="S803" s="694"/>
      <c r="T803" s="694"/>
      <c r="U803" s="694"/>
      <c r="V803" s="1"/>
      <c r="W803" s="1"/>
      <c r="X803" s="1"/>
      <c r="Y803" s="1"/>
      <c r="Z803" s="1"/>
    </row>
    <row r="804" ht="14.25" customHeight="1">
      <c r="A804" s="1"/>
      <c r="B804" s="694"/>
      <c r="C804" s="694"/>
      <c r="D804" s="694"/>
      <c r="E804" s="694"/>
      <c r="F804" s="694"/>
      <c r="G804" s="692"/>
      <c r="H804" s="694"/>
      <c r="I804" s="694"/>
      <c r="J804" s="692"/>
      <c r="K804" s="692"/>
      <c r="L804" s="694"/>
      <c r="M804" s="694"/>
      <c r="N804" s="694"/>
      <c r="O804" s="694"/>
      <c r="P804" s="280"/>
      <c r="Q804" s="280"/>
      <c r="R804" s="280"/>
      <c r="S804" s="694"/>
      <c r="T804" s="694"/>
      <c r="U804" s="694"/>
      <c r="V804" s="1"/>
      <c r="W804" s="1"/>
      <c r="X804" s="1"/>
      <c r="Y804" s="1"/>
      <c r="Z804" s="1"/>
    </row>
    <row r="805" ht="14.25" customHeight="1">
      <c r="A805" s="1"/>
      <c r="B805" s="694"/>
      <c r="C805" s="694"/>
      <c r="D805" s="694"/>
      <c r="E805" s="694"/>
      <c r="F805" s="694"/>
      <c r="G805" s="692"/>
      <c r="H805" s="694"/>
      <c r="I805" s="694"/>
      <c r="J805" s="692"/>
      <c r="K805" s="692"/>
      <c r="L805" s="694"/>
      <c r="M805" s="694"/>
      <c r="N805" s="694"/>
      <c r="O805" s="694"/>
      <c r="P805" s="280"/>
      <c r="Q805" s="280"/>
      <c r="R805" s="280"/>
      <c r="S805" s="694"/>
      <c r="T805" s="694"/>
      <c r="U805" s="694"/>
      <c r="V805" s="1"/>
      <c r="W805" s="1"/>
      <c r="X805" s="1"/>
      <c r="Y805" s="1"/>
      <c r="Z805" s="1"/>
    </row>
    <row r="806" ht="14.25" customHeight="1">
      <c r="A806" s="1"/>
      <c r="B806" s="694"/>
      <c r="C806" s="694"/>
      <c r="D806" s="694"/>
      <c r="E806" s="694"/>
      <c r="F806" s="694"/>
      <c r="G806" s="692"/>
      <c r="H806" s="694"/>
      <c r="I806" s="694"/>
      <c r="J806" s="692"/>
      <c r="K806" s="692"/>
      <c r="L806" s="694"/>
      <c r="M806" s="694"/>
      <c r="N806" s="694"/>
      <c r="O806" s="694"/>
      <c r="P806" s="280"/>
      <c r="Q806" s="280"/>
      <c r="R806" s="280"/>
      <c r="S806" s="694"/>
      <c r="T806" s="694"/>
      <c r="U806" s="694"/>
      <c r="V806" s="1"/>
      <c r="W806" s="1"/>
      <c r="X806" s="1"/>
      <c r="Y806" s="1"/>
      <c r="Z806" s="1"/>
    </row>
    <row r="807" ht="14.25" customHeight="1">
      <c r="A807" s="1"/>
      <c r="B807" s="694"/>
      <c r="C807" s="694"/>
      <c r="D807" s="694"/>
      <c r="E807" s="694"/>
      <c r="F807" s="694"/>
      <c r="G807" s="692"/>
      <c r="H807" s="694"/>
      <c r="I807" s="694"/>
      <c r="J807" s="692"/>
      <c r="K807" s="692"/>
      <c r="L807" s="694"/>
      <c r="M807" s="694"/>
      <c r="N807" s="694"/>
      <c r="O807" s="694"/>
      <c r="P807" s="280"/>
      <c r="Q807" s="280"/>
      <c r="R807" s="280"/>
      <c r="S807" s="694"/>
      <c r="T807" s="694"/>
      <c r="U807" s="694"/>
      <c r="V807" s="1"/>
      <c r="W807" s="1"/>
      <c r="X807" s="1"/>
      <c r="Y807" s="1"/>
      <c r="Z807" s="1"/>
    </row>
    <row r="808" ht="14.25" customHeight="1">
      <c r="A808" s="1"/>
      <c r="B808" s="694"/>
      <c r="C808" s="694"/>
      <c r="D808" s="694"/>
      <c r="E808" s="694"/>
      <c r="F808" s="694"/>
      <c r="G808" s="692"/>
      <c r="H808" s="694"/>
      <c r="I808" s="694"/>
      <c r="J808" s="692"/>
      <c r="K808" s="692"/>
      <c r="L808" s="694"/>
      <c r="M808" s="694"/>
      <c r="N808" s="694"/>
      <c r="O808" s="694"/>
      <c r="P808" s="280"/>
      <c r="Q808" s="280"/>
      <c r="R808" s="280"/>
      <c r="S808" s="694"/>
      <c r="T808" s="694"/>
      <c r="U808" s="694"/>
      <c r="V808" s="1"/>
      <c r="W808" s="1"/>
      <c r="X808" s="1"/>
      <c r="Y808" s="1"/>
      <c r="Z808" s="1"/>
    </row>
    <row r="809" ht="14.25" customHeight="1">
      <c r="A809" s="1"/>
      <c r="B809" s="694"/>
      <c r="C809" s="694"/>
      <c r="D809" s="694"/>
      <c r="E809" s="694"/>
      <c r="F809" s="694"/>
      <c r="G809" s="692"/>
      <c r="H809" s="694"/>
      <c r="I809" s="694"/>
      <c r="J809" s="692"/>
      <c r="K809" s="692"/>
      <c r="L809" s="694"/>
      <c r="M809" s="694"/>
      <c r="N809" s="694"/>
      <c r="O809" s="694"/>
      <c r="P809" s="280"/>
      <c r="Q809" s="280"/>
      <c r="R809" s="280"/>
      <c r="S809" s="694"/>
      <c r="T809" s="694"/>
      <c r="U809" s="694"/>
      <c r="V809" s="1"/>
      <c r="W809" s="1"/>
      <c r="X809" s="1"/>
      <c r="Y809" s="1"/>
      <c r="Z809" s="1"/>
    </row>
    <row r="810" ht="14.25" customHeight="1">
      <c r="A810" s="1"/>
      <c r="B810" s="694"/>
      <c r="C810" s="694"/>
      <c r="D810" s="694"/>
      <c r="E810" s="694"/>
      <c r="F810" s="694"/>
      <c r="G810" s="692"/>
      <c r="H810" s="694"/>
      <c r="I810" s="694"/>
      <c r="J810" s="692"/>
      <c r="K810" s="692"/>
      <c r="L810" s="694"/>
      <c r="M810" s="694"/>
      <c r="N810" s="694"/>
      <c r="O810" s="694"/>
      <c r="P810" s="280"/>
      <c r="Q810" s="280"/>
      <c r="R810" s="280"/>
      <c r="S810" s="694"/>
      <c r="T810" s="694"/>
      <c r="U810" s="694"/>
      <c r="V810" s="1"/>
      <c r="W810" s="1"/>
      <c r="X810" s="1"/>
      <c r="Y810" s="1"/>
      <c r="Z810" s="1"/>
    </row>
    <row r="811" ht="14.25" customHeight="1">
      <c r="A811" s="1"/>
      <c r="B811" s="694"/>
      <c r="C811" s="694"/>
      <c r="D811" s="694"/>
      <c r="E811" s="694"/>
      <c r="F811" s="694"/>
      <c r="G811" s="692"/>
      <c r="H811" s="694"/>
      <c r="I811" s="694"/>
      <c r="J811" s="692"/>
      <c r="K811" s="692"/>
      <c r="L811" s="694"/>
      <c r="M811" s="694"/>
      <c r="N811" s="694"/>
      <c r="O811" s="694"/>
      <c r="P811" s="280"/>
      <c r="Q811" s="280"/>
      <c r="R811" s="280"/>
      <c r="S811" s="694"/>
      <c r="T811" s="694"/>
      <c r="U811" s="694"/>
      <c r="V811" s="1"/>
      <c r="W811" s="1"/>
      <c r="X811" s="1"/>
      <c r="Y811" s="1"/>
      <c r="Z811" s="1"/>
    </row>
    <row r="812" ht="14.25" customHeight="1">
      <c r="A812" s="1"/>
      <c r="B812" s="694"/>
      <c r="C812" s="694"/>
      <c r="D812" s="694"/>
      <c r="E812" s="694"/>
      <c r="F812" s="694"/>
      <c r="G812" s="692"/>
      <c r="H812" s="694"/>
      <c r="I812" s="694"/>
      <c r="J812" s="692"/>
      <c r="K812" s="692"/>
      <c r="L812" s="694"/>
      <c r="M812" s="694"/>
      <c r="N812" s="694"/>
      <c r="O812" s="694"/>
      <c r="P812" s="280"/>
      <c r="Q812" s="280"/>
      <c r="R812" s="280"/>
      <c r="S812" s="694"/>
      <c r="T812" s="694"/>
      <c r="U812" s="694"/>
      <c r="V812" s="1"/>
      <c r="W812" s="1"/>
      <c r="X812" s="1"/>
      <c r="Y812" s="1"/>
      <c r="Z812" s="1"/>
    </row>
    <row r="813" ht="14.25" customHeight="1">
      <c r="A813" s="1"/>
      <c r="B813" s="694"/>
      <c r="C813" s="694"/>
      <c r="D813" s="694"/>
      <c r="E813" s="694"/>
      <c r="F813" s="694"/>
      <c r="G813" s="692"/>
      <c r="H813" s="694"/>
      <c r="I813" s="694"/>
      <c r="J813" s="692"/>
      <c r="K813" s="692"/>
      <c r="L813" s="694"/>
      <c r="M813" s="694"/>
      <c r="N813" s="694"/>
      <c r="O813" s="694"/>
      <c r="P813" s="280"/>
      <c r="Q813" s="280"/>
      <c r="R813" s="280"/>
      <c r="S813" s="694"/>
      <c r="T813" s="694"/>
      <c r="U813" s="694"/>
      <c r="V813" s="1"/>
      <c r="W813" s="1"/>
      <c r="X813" s="1"/>
      <c r="Y813" s="1"/>
      <c r="Z813" s="1"/>
    </row>
    <row r="814" ht="14.25" customHeight="1">
      <c r="A814" s="1"/>
      <c r="B814" s="694"/>
      <c r="C814" s="694"/>
      <c r="D814" s="694"/>
      <c r="E814" s="694"/>
      <c r="F814" s="694"/>
      <c r="G814" s="692"/>
      <c r="H814" s="694"/>
      <c r="I814" s="694"/>
      <c r="J814" s="692"/>
      <c r="K814" s="692"/>
      <c r="L814" s="694"/>
      <c r="M814" s="694"/>
      <c r="N814" s="694"/>
      <c r="O814" s="694"/>
      <c r="P814" s="280"/>
      <c r="Q814" s="280"/>
      <c r="R814" s="280"/>
      <c r="S814" s="694"/>
      <c r="T814" s="694"/>
      <c r="U814" s="694"/>
      <c r="V814" s="1"/>
      <c r="W814" s="1"/>
      <c r="X814" s="1"/>
      <c r="Y814" s="1"/>
      <c r="Z814" s="1"/>
    </row>
    <row r="815" ht="14.25" customHeight="1">
      <c r="A815" s="1"/>
      <c r="B815" s="694"/>
      <c r="C815" s="694"/>
      <c r="D815" s="694"/>
      <c r="E815" s="694"/>
      <c r="F815" s="694"/>
      <c r="G815" s="692"/>
      <c r="H815" s="694"/>
      <c r="I815" s="694"/>
      <c r="J815" s="692"/>
      <c r="K815" s="692"/>
      <c r="L815" s="694"/>
      <c r="M815" s="694"/>
      <c r="N815" s="694"/>
      <c r="O815" s="694"/>
      <c r="P815" s="280"/>
      <c r="Q815" s="280"/>
      <c r="R815" s="280"/>
      <c r="S815" s="694"/>
      <c r="T815" s="694"/>
      <c r="U815" s="694"/>
      <c r="V815" s="1"/>
      <c r="W815" s="1"/>
      <c r="X815" s="1"/>
      <c r="Y815" s="1"/>
      <c r="Z815" s="1"/>
    </row>
    <row r="816" ht="14.25" customHeight="1">
      <c r="A816" s="1"/>
      <c r="B816" s="694"/>
      <c r="C816" s="694"/>
      <c r="D816" s="694"/>
      <c r="E816" s="694"/>
      <c r="F816" s="694"/>
      <c r="G816" s="692"/>
      <c r="H816" s="694"/>
      <c r="I816" s="694"/>
      <c r="J816" s="692"/>
      <c r="K816" s="692"/>
      <c r="L816" s="694"/>
      <c r="M816" s="694"/>
      <c r="N816" s="694"/>
      <c r="O816" s="694"/>
      <c r="P816" s="280"/>
      <c r="Q816" s="280"/>
      <c r="R816" s="280"/>
      <c r="S816" s="694"/>
      <c r="T816" s="694"/>
      <c r="U816" s="694"/>
      <c r="V816" s="1"/>
      <c r="W816" s="1"/>
      <c r="X816" s="1"/>
      <c r="Y816" s="1"/>
      <c r="Z816" s="1"/>
    </row>
    <row r="817" ht="14.25" customHeight="1">
      <c r="A817" s="1"/>
      <c r="B817" s="694"/>
      <c r="C817" s="694"/>
      <c r="D817" s="694"/>
      <c r="E817" s="694"/>
      <c r="F817" s="694"/>
      <c r="G817" s="692"/>
      <c r="H817" s="694"/>
      <c r="I817" s="694"/>
      <c r="J817" s="692"/>
      <c r="K817" s="692"/>
      <c r="L817" s="694"/>
      <c r="M817" s="694"/>
      <c r="N817" s="694"/>
      <c r="O817" s="694"/>
      <c r="P817" s="280"/>
      <c r="Q817" s="280"/>
      <c r="R817" s="280"/>
      <c r="S817" s="694"/>
      <c r="T817" s="694"/>
      <c r="U817" s="694"/>
      <c r="V817" s="1"/>
      <c r="W817" s="1"/>
      <c r="X817" s="1"/>
      <c r="Y817" s="1"/>
      <c r="Z817" s="1"/>
    </row>
    <row r="818" ht="14.25" customHeight="1">
      <c r="A818" s="1"/>
      <c r="B818" s="694"/>
      <c r="C818" s="694"/>
      <c r="D818" s="694"/>
      <c r="E818" s="694"/>
      <c r="F818" s="694"/>
      <c r="G818" s="692"/>
      <c r="H818" s="694"/>
      <c r="I818" s="694"/>
      <c r="J818" s="692"/>
      <c r="K818" s="692"/>
      <c r="L818" s="694"/>
      <c r="M818" s="694"/>
      <c r="N818" s="694"/>
      <c r="O818" s="694"/>
      <c r="P818" s="280"/>
      <c r="Q818" s="280"/>
      <c r="R818" s="280"/>
      <c r="S818" s="694"/>
      <c r="T818" s="694"/>
      <c r="U818" s="694"/>
      <c r="V818" s="1"/>
      <c r="W818" s="1"/>
      <c r="X818" s="1"/>
      <c r="Y818" s="1"/>
      <c r="Z818" s="1"/>
    </row>
    <row r="819" ht="14.25" customHeight="1">
      <c r="A819" s="1"/>
      <c r="B819" s="694"/>
      <c r="C819" s="694"/>
      <c r="D819" s="694"/>
      <c r="E819" s="694"/>
      <c r="F819" s="694"/>
      <c r="G819" s="692"/>
      <c r="H819" s="694"/>
      <c r="I819" s="694"/>
      <c r="J819" s="692"/>
      <c r="K819" s="692"/>
      <c r="L819" s="694"/>
      <c r="M819" s="694"/>
      <c r="N819" s="694"/>
      <c r="O819" s="694"/>
      <c r="P819" s="280"/>
      <c r="Q819" s="280"/>
      <c r="R819" s="280"/>
      <c r="S819" s="694"/>
      <c r="T819" s="694"/>
      <c r="U819" s="694"/>
      <c r="V819" s="1"/>
      <c r="W819" s="1"/>
      <c r="X819" s="1"/>
      <c r="Y819" s="1"/>
      <c r="Z819" s="1"/>
    </row>
    <row r="820" ht="14.25" customHeight="1">
      <c r="A820" s="1"/>
      <c r="B820" s="694"/>
      <c r="C820" s="694"/>
      <c r="D820" s="694"/>
      <c r="E820" s="694"/>
      <c r="F820" s="694"/>
      <c r="G820" s="692"/>
      <c r="H820" s="694"/>
      <c r="I820" s="694"/>
      <c r="J820" s="692"/>
      <c r="K820" s="692"/>
      <c r="L820" s="694"/>
      <c r="M820" s="694"/>
      <c r="N820" s="694"/>
      <c r="O820" s="694"/>
      <c r="P820" s="280"/>
      <c r="Q820" s="280"/>
      <c r="R820" s="280"/>
      <c r="S820" s="694"/>
      <c r="T820" s="694"/>
      <c r="U820" s="694"/>
      <c r="V820" s="1"/>
      <c r="W820" s="1"/>
      <c r="X820" s="1"/>
      <c r="Y820" s="1"/>
      <c r="Z820" s="1"/>
    </row>
    <row r="821" ht="14.25" customHeight="1">
      <c r="A821" s="1"/>
      <c r="B821" s="694"/>
      <c r="C821" s="694"/>
      <c r="D821" s="694"/>
      <c r="E821" s="694"/>
      <c r="F821" s="694"/>
      <c r="G821" s="692"/>
      <c r="H821" s="694"/>
      <c r="I821" s="694"/>
      <c r="J821" s="692"/>
      <c r="K821" s="692"/>
      <c r="L821" s="694"/>
      <c r="M821" s="694"/>
      <c r="N821" s="694"/>
      <c r="O821" s="694"/>
      <c r="P821" s="280"/>
      <c r="Q821" s="280"/>
      <c r="R821" s="280"/>
      <c r="S821" s="694"/>
      <c r="T821" s="694"/>
      <c r="U821" s="694"/>
      <c r="V821" s="1"/>
      <c r="W821" s="1"/>
      <c r="X821" s="1"/>
      <c r="Y821" s="1"/>
      <c r="Z821" s="1"/>
    </row>
    <row r="822" ht="14.25" customHeight="1">
      <c r="A822" s="1"/>
      <c r="B822" s="694"/>
      <c r="C822" s="694"/>
      <c r="D822" s="694"/>
      <c r="E822" s="694"/>
      <c r="F822" s="694"/>
      <c r="G822" s="692"/>
      <c r="H822" s="694"/>
      <c r="I822" s="694"/>
      <c r="J822" s="692"/>
      <c r="K822" s="692"/>
      <c r="L822" s="694"/>
      <c r="M822" s="694"/>
      <c r="N822" s="694"/>
      <c r="O822" s="694"/>
      <c r="P822" s="280"/>
      <c r="Q822" s="280"/>
      <c r="R822" s="280"/>
      <c r="S822" s="694"/>
      <c r="T822" s="694"/>
      <c r="U822" s="694"/>
      <c r="V822" s="1"/>
      <c r="W822" s="1"/>
      <c r="X822" s="1"/>
      <c r="Y822" s="1"/>
      <c r="Z822" s="1"/>
    </row>
    <row r="823" ht="14.25" customHeight="1">
      <c r="A823" s="1"/>
      <c r="B823" s="694"/>
      <c r="C823" s="694"/>
      <c r="D823" s="694"/>
      <c r="E823" s="694"/>
      <c r="F823" s="694"/>
      <c r="G823" s="692"/>
      <c r="H823" s="694"/>
      <c r="I823" s="694"/>
      <c r="J823" s="692"/>
      <c r="K823" s="692"/>
      <c r="L823" s="694"/>
      <c r="M823" s="694"/>
      <c r="N823" s="694"/>
      <c r="O823" s="694"/>
      <c r="P823" s="280"/>
      <c r="Q823" s="280"/>
      <c r="R823" s="280"/>
      <c r="S823" s="694"/>
      <c r="T823" s="694"/>
      <c r="U823" s="694"/>
      <c r="V823" s="1"/>
      <c r="W823" s="1"/>
      <c r="X823" s="1"/>
      <c r="Y823" s="1"/>
      <c r="Z823" s="1"/>
    </row>
    <row r="824" ht="14.25" customHeight="1">
      <c r="A824" s="1"/>
      <c r="B824" s="694"/>
      <c r="C824" s="694"/>
      <c r="D824" s="694"/>
      <c r="E824" s="694"/>
      <c r="F824" s="694"/>
      <c r="G824" s="692"/>
      <c r="H824" s="694"/>
      <c r="I824" s="694"/>
      <c r="J824" s="692"/>
      <c r="K824" s="692"/>
      <c r="L824" s="694"/>
      <c r="M824" s="694"/>
      <c r="N824" s="694"/>
      <c r="O824" s="694"/>
      <c r="P824" s="280"/>
      <c r="Q824" s="280"/>
      <c r="R824" s="280"/>
      <c r="S824" s="694"/>
      <c r="T824" s="694"/>
      <c r="U824" s="694"/>
      <c r="V824" s="1"/>
      <c r="W824" s="1"/>
      <c r="X824" s="1"/>
      <c r="Y824" s="1"/>
      <c r="Z824" s="1"/>
    </row>
    <row r="825" ht="14.25" customHeight="1">
      <c r="A825" s="1"/>
      <c r="B825" s="694"/>
      <c r="C825" s="694"/>
      <c r="D825" s="694"/>
      <c r="E825" s="694"/>
      <c r="F825" s="694"/>
      <c r="G825" s="692"/>
      <c r="H825" s="694"/>
      <c r="I825" s="694"/>
      <c r="J825" s="692"/>
      <c r="K825" s="692"/>
      <c r="L825" s="694"/>
      <c r="M825" s="694"/>
      <c r="N825" s="694"/>
      <c r="O825" s="694"/>
      <c r="P825" s="280"/>
      <c r="Q825" s="280"/>
      <c r="R825" s="280"/>
      <c r="S825" s="694"/>
      <c r="T825" s="694"/>
      <c r="U825" s="694"/>
      <c r="V825" s="1"/>
      <c r="W825" s="1"/>
      <c r="X825" s="1"/>
      <c r="Y825" s="1"/>
      <c r="Z825" s="1"/>
    </row>
    <row r="826" ht="14.25" customHeight="1">
      <c r="A826" s="1"/>
      <c r="B826" s="694"/>
      <c r="C826" s="694"/>
      <c r="D826" s="694"/>
      <c r="E826" s="694"/>
      <c r="F826" s="694"/>
      <c r="G826" s="692"/>
      <c r="H826" s="694"/>
      <c r="I826" s="694"/>
      <c r="J826" s="692"/>
      <c r="K826" s="692"/>
      <c r="L826" s="694"/>
      <c r="M826" s="694"/>
      <c r="N826" s="694"/>
      <c r="O826" s="694"/>
      <c r="P826" s="280"/>
      <c r="Q826" s="280"/>
      <c r="R826" s="280"/>
      <c r="S826" s="694"/>
      <c r="T826" s="694"/>
      <c r="U826" s="694"/>
      <c r="V826" s="1"/>
      <c r="W826" s="1"/>
      <c r="X826" s="1"/>
      <c r="Y826" s="1"/>
      <c r="Z826" s="1"/>
    </row>
    <row r="827" ht="14.25" customHeight="1">
      <c r="A827" s="1"/>
      <c r="B827" s="694"/>
      <c r="C827" s="694"/>
      <c r="D827" s="694"/>
      <c r="E827" s="694"/>
      <c r="F827" s="694"/>
      <c r="G827" s="692"/>
      <c r="H827" s="694"/>
      <c r="I827" s="694"/>
      <c r="J827" s="692"/>
      <c r="K827" s="692"/>
      <c r="L827" s="694"/>
      <c r="M827" s="694"/>
      <c r="N827" s="694"/>
      <c r="O827" s="694"/>
      <c r="P827" s="280"/>
      <c r="Q827" s="280"/>
      <c r="R827" s="280"/>
      <c r="S827" s="694"/>
      <c r="T827" s="694"/>
      <c r="U827" s="694"/>
      <c r="V827" s="1"/>
      <c r="W827" s="1"/>
      <c r="X827" s="1"/>
      <c r="Y827" s="1"/>
      <c r="Z827" s="1"/>
    </row>
    <row r="828" ht="14.25" customHeight="1">
      <c r="A828" s="1"/>
      <c r="B828" s="694"/>
      <c r="C828" s="694"/>
      <c r="D828" s="694"/>
      <c r="E828" s="694"/>
      <c r="F828" s="694"/>
      <c r="G828" s="692"/>
      <c r="H828" s="694"/>
      <c r="I828" s="694"/>
      <c r="J828" s="692"/>
      <c r="K828" s="692"/>
      <c r="L828" s="694"/>
      <c r="M828" s="694"/>
      <c r="N828" s="694"/>
      <c r="O828" s="694"/>
      <c r="P828" s="280"/>
      <c r="Q828" s="280"/>
      <c r="R828" s="280"/>
      <c r="S828" s="694"/>
      <c r="T828" s="694"/>
      <c r="U828" s="694"/>
      <c r="V828" s="1"/>
      <c r="W828" s="1"/>
      <c r="X828" s="1"/>
      <c r="Y828" s="1"/>
      <c r="Z828" s="1"/>
    </row>
    <row r="829" ht="14.25" customHeight="1">
      <c r="A829" s="1"/>
      <c r="B829" s="694"/>
      <c r="C829" s="694"/>
      <c r="D829" s="694"/>
      <c r="E829" s="694"/>
      <c r="F829" s="694"/>
      <c r="G829" s="692"/>
      <c r="H829" s="694"/>
      <c r="I829" s="694"/>
      <c r="J829" s="692"/>
      <c r="K829" s="692"/>
      <c r="L829" s="694"/>
      <c r="M829" s="694"/>
      <c r="N829" s="694"/>
      <c r="O829" s="694"/>
      <c r="P829" s="280"/>
      <c r="Q829" s="280"/>
      <c r="R829" s="280"/>
      <c r="S829" s="694"/>
      <c r="T829" s="694"/>
      <c r="U829" s="694"/>
      <c r="V829" s="1"/>
      <c r="W829" s="1"/>
      <c r="X829" s="1"/>
      <c r="Y829" s="1"/>
      <c r="Z829" s="1"/>
    </row>
    <row r="830" ht="14.25" customHeight="1">
      <c r="A830" s="1"/>
      <c r="B830" s="694"/>
      <c r="C830" s="694"/>
      <c r="D830" s="694"/>
      <c r="E830" s="694"/>
      <c r="F830" s="694"/>
      <c r="G830" s="692"/>
      <c r="H830" s="694"/>
      <c r="I830" s="694"/>
      <c r="J830" s="692"/>
      <c r="K830" s="692"/>
      <c r="L830" s="694"/>
      <c r="M830" s="694"/>
      <c r="N830" s="694"/>
      <c r="O830" s="694"/>
      <c r="P830" s="280"/>
      <c r="Q830" s="280"/>
      <c r="R830" s="280"/>
      <c r="S830" s="694"/>
      <c r="T830" s="694"/>
      <c r="U830" s="694"/>
      <c r="V830" s="1"/>
      <c r="W830" s="1"/>
      <c r="X830" s="1"/>
      <c r="Y830" s="1"/>
      <c r="Z830" s="1"/>
    </row>
    <row r="831" ht="14.25" customHeight="1">
      <c r="A831" s="1"/>
      <c r="B831" s="694"/>
      <c r="C831" s="694"/>
      <c r="D831" s="694"/>
      <c r="E831" s="694"/>
      <c r="F831" s="694"/>
      <c r="G831" s="692"/>
      <c r="H831" s="694"/>
      <c r="I831" s="694"/>
      <c r="J831" s="692"/>
      <c r="K831" s="692"/>
      <c r="L831" s="694"/>
      <c r="M831" s="694"/>
      <c r="N831" s="694"/>
      <c r="O831" s="694"/>
      <c r="P831" s="280"/>
      <c r="Q831" s="280"/>
      <c r="R831" s="280"/>
      <c r="S831" s="694"/>
      <c r="T831" s="694"/>
      <c r="U831" s="694"/>
      <c r="V831" s="1"/>
      <c r="W831" s="1"/>
      <c r="X831" s="1"/>
      <c r="Y831" s="1"/>
      <c r="Z831" s="1"/>
    </row>
    <row r="832" ht="14.25" customHeight="1">
      <c r="A832" s="1"/>
      <c r="B832" s="694"/>
      <c r="C832" s="694"/>
      <c r="D832" s="694"/>
      <c r="E832" s="694"/>
      <c r="F832" s="694"/>
      <c r="G832" s="692"/>
      <c r="H832" s="694"/>
      <c r="I832" s="694"/>
      <c r="J832" s="692"/>
      <c r="K832" s="692"/>
      <c r="L832" s="694"/>
      <c r="M832" s="694"/>
      <c r="N832" s="694"/>
      <c r="O832" s="694"/>
      <c r="P832" s="280"/>
      <c r="Q832" s="280"/>
      <c r="R832" s="280"/>
      <c r="S832" s="694"/>
      <c r="T832" s="694"/>
      <c r="U832" s="694"/>
      <c r="V832" s="1"/>
      <c r="W832" s="1"/>
      <c r="X832" s="1"/>
      <c r="Y832" s="1"/>
      <c r="Z832" s="1"/>
    </row>
    <row r="833" ht="14.25" customHeight="1">
      <c r="A833" s="1"/>
      <c r="B833" s="694"/>
      <c r="C833" s="694"/>
      <c r="D833" s="694"/>
      <c r="E833" s="694"/>
      <c r="F833" s="694"/>
      <c r="G833" s="692"/>
      <c r="H833" s="694"/>
      <c r="I833" s="694"/>
      <c r="J833" s="692"/>
      <c r="K833" s="692"/>
      <c r="L833" s="694"/>
      <c r="M833" s="694"/>
      <c r="N833" s="694"/>
      <c r="O833" s="694"/>
      <c r="P833" s="280"/>
      <c r="Q833" s="280"/>
      <c r="R833" s="280"/>
      <c r="S833" s="694"/>
      <c r="T833" s="694"/>
      <c r="U833" s="694"/>
      <c r="V833" s="1"/>
      <c r="W833" s="1"/>
      <c r="X833" s="1"/>
      <c r="Y833" s="1"/>
      <c r="Z833" s="1"/>
    </row>
    <row r="834" ht="14.25" customHeight="1">
      <c r="A834" s="1"/>
      <c r="B834" s="694"/>
      <c r="C834" s="694"/>
      <c r="D834" s="694"/>
      <c r="E834" s="694"/>
      <c r="F834" s="694"/>
      <c r="G834" s="692"/>
      <c r="H834" s="694"/>
      <c r="I834" s="694"/>
      <c r="J834" s="692"/>
      <c r="K834" s="692"/>
      <c r="L834" s="694"/>
      <c r="M834" s="694"/>
      <c r="N834" s="694"/>
      <c r="O834" s="694"/>
      <c r="P834" s="280"/>
      <c r="Q834" s="280"/>
      <c r="R834" s="280"/>
      <c r="S834" s="694"/>
      <c r="T834" s="694"/>
      <c r="U834" s="694"/>
      <c r="V834" s="1"/>
      <c r="W834" s="1"/>
      <c r="X834" s="1"/>
      <c r="Y834" s="1"/>
      <c r="Z834" s="1"/>
    </row>
    <row r="835" ht="14.25" customHeight="1">
      <c r="A835" s="1"/>
      <c r="B835" s="694"/>
      <c r="C835" s="694"/>
      <c r="D835" s="694"/>
      <c r="E835" s="694"/>
      <c r="F835" s="694"/>
      <c r="G835" s="692"/>
      <c r="H835" s="694"/>
      <c r="I835" s="694"/>
      <c r="J835" s="692"/>
      <c r="K835" s="692"/>
      <c r="L835" s="694"/>
      <c r="M835" s="694"/>
      <c r="N835" s="694"/>
      <c r="O835" s="694"/>
      <c r="P835" s="280"/>
      <c r="Q835" s="280"/>
      <c r="R835" s="280"/>
      <c r="S835" s="694"/>
      <c r="T835" s="694"/>
      <c r="U835" s="694"/>
      <c r="V835" s="1"/>
      <c r="W835" s="1"/>
      <c r="X835" s="1"/>
      <c r="Y835" s="1"/>
      <c r="Z835" s="1"/>
    </row>
    <row r="836" ht="14.25" customHeight="1">
      <c r="A836" s="1"/>
      <c r="B836" s="694"/>
      <c r="C836" s="694"/>
      <c r="D836" s="694"/>
      <c r="E836" s="694"/>
      <c r="F836" s="694"/>
      <c r="G836" s="692"/>
      <c r="H836" s="694"/>
      <c r="I836" s="694"/>
      <c r="J836" s="692"/>
      <c r="K836" s="692"/>
      <c r="L836" s="694"/>
      <c r="M836" s="694"/>
      <c r="N836" s="694"/>
      <c r="O836" s="694"/>
      <c r="P836" s="280"/>
      <c r="Q836" s="280"/>
      <c r="R836" s="280"/>
      <c r="S836" s="694"/>
      <c r="T836" s="694"/>
      <c r="U836" s="694"/>
      <c r="V836" s="1"/>
      <c r="W836" s="1"/>
      <c r="X836" s="1"/>
      <c r="Y836" s="1"/>
      <c r="Z836" s="1"/>
    </row>
    <row r="837" ht="14.25" customHeight="1">
      <c r="A837" s="1"/>
      <c r="B837" s="694"/>
      <c r="C837" s="694"/>
      <c r="D837" s="694"/>
      <c r="E837" s="694"/>
      <c r="F837" s="694"/>
      <c r="G837" s="692"/>
      <c r="H837" s="694"/>
      <c r="I837" s="694"/>
      <c r="J837" s="692"/>
      <c r="K837" s="692"/>
      <c r="L837" s="694"/>
      <c r="M837" s="694"/>
      <c r="N837" s="694"/>
      <c r="O837" s="694"/>
      <c r="P837" s="280"/>
      <c r="Q837" s="280"/>
      <c r="R837" s="280"/>
      <c r="S837" s="694"/>
      <c r="T837" s="694"/>
      <c r="U837" s="694"/>
      <c r="V837" s="1"/>
      <c r="W837" s="1"/>
      <c r="X837" s="1"/>
      <c r="Y837" s="1"/>
      <c r="Z837" s="1"/>
    </row>
    <row r="838" ht="14.25" customHeight="1">
      <c r="A838" s="1"/>
      <c r="B838" s="694"/>
      <c r="C838" s="694"/>
      <c r="D838" s="694"/>
      <c r="E838" s="694"/>
      <c r="F838" s="694"/>
      <c r="G838" s="692"/>
      <c r="H838" s="694"/>
      <c r="I838" s="694"/>
      <c r="J838" s="692"/>
      <c r="K838" s="692"/>
      <c r="L838" s="694"/>
      <c r="M838" s="694"/>
      <c r="N838" s="694"/>
      <c r="O838" s="694"/>
      <c r="P838" s="280"/>
      <c r="Q838" s="280"/>
      <c r="R838" s="280"/>
      <c r="S838" s="694"/>
      <c r="T838" s="694"/>
      <c r="U838" s="694"/>
      <c r="V838" s="1"/>
      <c r="W838" s="1"/>
      <c r="X838" s="1"/>
      <c r="Y838" s="1"/>
      <c r="Z838" s="1"/>
    </row>
    <row r="839" ht="14.25" customHeight="1">
      <c r="A839" s="1"/>
      <c r="B839" s="694"/>
      <c r="C839" s="694"/>
      <c r="D839" s="694"/>
      <c r="E839" s="694"/>
      <c r="F839" s="694"/>
      <c r="G839" s="692"/>
      <c r="H839" s="694"/>
      <c r="I839" s="694"/>
      <c r="J839" s="692"/>
      <c r="K839" s="692"/>
      <c r="L839" s="694"/>
      <c r="M839" s="694"/>
      <c r="N839" s="694"/>
      <c r="O839" s="694"/>
      <c r="P839" s="280"/>
      <c r="Q839" s="280"/>
      <c r="R839" s="280"/>
      <c r="S839" s="694"/>
      <c r="T839" s="694"/>
      <c r="U839" s="694"/>
      <c r="V839" s="1"/>
      <c r="W839" s="1"/>
      <c r="X839" s="1"/>
      <c r="Y839" s="1"/>
      <c r="Z839" s="1"/>
    </row>
    <row r="840" ht="14.25" customHeight="1">
      <c r="A840" s="1"/>
      <c r="B840" s="694"/>
      <c r="C840" s="694"/>
      <c r="D840" s="694"/>
      <c r="E840" s="694"/>
      <c r="F840" s="694"/>
      <c r="G840" s="692"/>
      <c r="H840" s="694"/>
      <c r="I840" s="694"/>
      <c r="J840" s="692"/>
      <c r="K840" s="692"/>
      <c r="L840" s="694"/>
      <c r="M840" s="694"/>
      <c r="N840" s="694"/>
      <c r="O840" s="694"/>
      <c r="P840" s="280"/>
      <c r="Q840" s="280"/>
      <c r="R840" s="280"/>
      <c r="S840" s="694"/>
      <c r="T840" s="694"/>
      <c r="U840" s="694"/>
      <c r="V840" s="1"/>
      <c r="W840" s="1"/>
      <c r="X840" s="1"/>
      <c r="Y840" s="1"/>
      <c r="Z840" s="1"/>
    </row>
    <row r="841" ht="14.25" customHeight="1">
      <c r="A841" s="1"/>
      <c r="B841" s="694"/>
      <c r="C841" s="694"/>
      <c r="D841" s="694"/>
      <c r="E841" s="694"/>
      <c r="F841" s="694"/>
      <c r="G841" s="692"/>
      <c r="H841" s="694"/>
      <c r="I841" s="694"/>
      <c r="J841" s="692"/>
      <c r="K841" s="692"/>
      <c r="L841" s="694"/>
      <c r="M841" s="694"/>
      <c r="N841" s="694"/>
      <c r="O841" s="694"/>
      <c r="P841" s="280"/>
      <c r="Q841" s="280"/>
      <c r="R841" s="280"/>
      <c r="S841" s="694"/>
      <c r="T841" s="694"/>
      <c r="U841" s="694"/>
      <c r="V841" s="1"/>
      <c r="W841" s="1"/>
      <c r="X841" s="1"/>
      <c r="Y841" s="1"/>
      <c r="Z841" s="1"/>
    </row>
    <row r="842" ht="14.25" customHeight="1">
      <c r="A842" s="1"/>
      <c r="B842" s="694"/>
      <c r="C842" s="694"/>
      <c r="D842" s="694"/>
      <c r="E842" s="694"/>
      <c r="F842" s="694"/>
      <c r="G842" s="692"/>
      <c r="H842" s="694"/>
      <c r="I842" s="694"/>
      <c r="J842" s="692"/>
      <c r="K842" s="692"/>
      <c r="L842" s="694"/>
      <c r="M842" s="694"/>
      <c r="N842" s="694"/>
      <c r="O842" s="694"/>
      <c r="P842" s="280"/>
      <c r="Q842" s="280"/>
      <c r="R842" s="280"/>
      <c r="S842" s="694"/>
      <c r="T842" s="694"/>
      <c r="U842" s="694"/>
      <c r="V842" s="1"/>
      <c r="W842" s="1"/>
      <c r="X842" s="1"/>
      <c r="Y842" s="1"/>
      <c r="Z842" s="1"/>
    </row>
    <row r="843" ht="14.25" customHeight="1">
      <c r="A843" s="1"/>
      <c r="B843" s="694"/>
      <c r="C843" s="694"/>
      <c r="D843" s="694"/>
      <c r="E843" s="694"/>
      <c r="F843" s="694"/>
      <c r="G843" s="692"/>
      <c r="H843" s="694"/>
      <c r="I843" s="694"/>
      <c r="J843" s="692"/>
      <c r="K843" s="692"/>
      <c r="L843" s="694"/>
      <c r="M843" s="694"/>
      <c r="N843" s="694"/>
      <c r="O843" s="694"/>
      <c r="P843" s="280"/>
      <c r="Q843" s="280"/>
      <c r="R843" s="280"/>
      <c r="S843" s="694"/>
      <c r="T843" s="694"/>
      <c r="U843" s="694"/>
      <c r="V843" s="1"/>
      <c r="W843" s="1"/>
      <c r="X843" s="1"/>
      <c r="Y843" s="1"/>
      <c r="Z843" s="1"/>
    </row>
    <row r="844" ht="14.25" customHeight="1">
      <c r="A844" s="1"/>
      <c r="B844" s="694"/>
      <c r="C844" s="694"/>
      <c r="D844" s="694"/>
      <c r="E844" s="694"/>
      <c r="F844" s="694"/>
      <c r="G844" s="692"/>
      <c r="H844" s="694"/>
      <c r="I844" s="694"/>
      <c r="J844" s="692"/>
      <c r="K844" s="692"/>
      <c r="L844" s="694"/>
      <c r="M844" s="694"/>
      <c r="N844" s="694"/>
      <c r="O844" s="694"/>
      <c r="P844" s="280"/>
      <c r="Q844" s="280"/>
      <c r="R844" s="280"/>
      <c r="S844" s="694"/>
      <c r="T844" s="694"/>
      <c r="U844" s="694"/>
      <c r="V844" s="1"/>
      <c r="W844" s="1"/>
      <c r="X844" s="1"/>
      <c r="Y844" s="1"/>
      <c r="Z844" s="1"/>
    </row>
    <row r="845" ht="14.25" customHeight="1">
      <c r="A845" s="1"/>
      <c r="B845" s="694"/>
      <c r="C845" s="694"/>
      <c r="D845" s="694"/>
      <c r="E845" s="694"/>
      <c r="F845" s="694"/>
      <c r="G845" s="692"/>
      <c r="H845" s="694"/>
      <c r="I845" s="694"/>
      <c r="J845" s="692"/>
      <c r="K845" s="692"/>
      <c r="L845" s="694"/>
      <c r="M845" s="694"/>
      <c r="N845" s="694"/>
      <c r="O845" s="694"/>
      <c r="P845" s="280"/>
      <c r="Q845" s="280"/>
      <c r="R845" s="280"/>
      <c r="S845" s="694"/>
      <c r="T845" s="694"/>
      <c r="U845" s="694"/>
      <c r="V845" s="1"/>
      <c r="W845" s="1"/>
      <c r="X845" s="1"/>
      <c r="Y845" s="1"/>
      <c r="Z845" s="1"/>
    </row>
    <row r="846" ht="14.25" customHeight="1">
      <c r="A846" s="1"/>
      <c r="B846" s="694"/>
      <c r="C846" s="694"/>
      <c r="D846" s="694"/>
      <c r="E846" s="694"/>
      <c r="F846" s="694"/>
      <c r="G846" s="692"/>
      <c r="H846" s="694"/>
      <c r="I846" s="694"/>
      <c r="J846" s="692"/>
      <c r="K846" s="692"/>
      <c r="L846" s="694"/>
      <c r="M846" s="694"/>
      <c r="N846" s="694"/>
      <c r="O846" s="694"/>
      <c r="P846" s="280"/>
      <c r="Q846" s="280"/>
      <c r="R846" s="280"/>
      <c r="S846" s="694"/>
      <c r="T846" s="694"/>
      <c r="U846" s="694"/>
      <c r="V846" s="1"/>
      <c r="W846" s="1"/>
      <c r="X846" s="1"/>
      <c r="Y846" s="1"/>
      <c r="Z846" s="1"/>
    </row>
    <row r="847" ht="14.25" customHeight="1">
      <c r="A847" s="1"/>
      <c r="B847" s="694"/>
      <c r="C847" s="694"/>
      <c r="D847" s="694"/>
      <c r="E847" s="694"/>
      <c r="F847" s="694"/>
      <c r="G847" s="692"/>
      <c r="H847" s="694"/>
      <c r="I847" s="694"/>
      <c r="J847" s="692"/>
      <c r="K847" s="692"/>
      <c r="L847" s="694"/>
      <c r="M847" s="694"/>
      <c r="N847" s="694"/>
      <c r="O847" s="694"/>
      <c r="P847" s="280"/>
      <c r="Q847" s="280"/>
      <c r="R847" s="280"/>
      <c r="S847" s="694"/>
      <c r="T847" s="694"/>
      <c r="U847" s="694"/>
      <c r="V847" s="1"/>
      <c r="W847" s="1"/>
      <c r="X847" s="1"/>
      <c r="Y847" s="1"/>
      <c r="Z847" s="1"/>
    </row>
    <row r="848" ht="14.25" customHeight="1">
      <c r="A848" s="1"/>
      <c r="B848" s="694"/>
      <c r="C848" s="694"/>
      <c r="D848" s="694"/>
      <c r="E848" s="694"/>
      <c r="F848" s="694"/>
      <c r="G848" s="692"/>
      <c r="H848" s="694"/>
      <c r="I848" s="694"/>
      <c r="J848" s="692"/>
      <c r="K848" s="692"/>
      <c r="L848" s="694"/>
      <c r="M848" s="694"/>
      <c r="N848" s="694"/>
      <c r="O848" s="694"/>
      <c r="P848" s="280"/>
      <c r="Q848" s="280"/>
      <c r="R848" s="280"/>
      <c r="S848" s="694"/>
      <c r="T848" s="694"/>
      <c r="U848" s="694"/>
      <c r="V848" s="1"/>
      <c r="W848" s="1"/>
      <c r="X848" s="1"/>
      <c r="Y848" s="1"/>
      <c r="Z848" s="1"/>
    </row>
    <row r="849" ht="14.25" customHeight="1">
      <c r="A849" s="1"/>
      <c r="B849" s="694"/>
      <c r="C849" s="694"/>
      <c r="D849" s="694"/>
      <c r="E849" s="694"/>
      <c r="F849" s="694"/>
      <c r="G849" s="692"/>
      <c r="H849" s="694"/>
      <c r="I849" s="694"/>
      <c r="J849" s="692"/>
      <c r="K849" s="692"/>
      <c r="L849" s="694"/>
      <c r="M849" s="694"/>
      <c r="N849" s="694"/>
      <c r="O849" s="694"/>
      <c r="P849" s="280"/>
      <c r="Q849" s="280"/>
      <c r="R849" s="280"/>
      <c r="S849" s="694"/>
      <c r="T849" s="694"/>
      <c r="U849" s="694"/>
      <c r="V849" s="1"/>
      <c r="W849" s="1"/>
      <c r="X849" s="1"/>
      <c r="Y849" s="1"/>
      <c r="Z849" s="1"/>
    </row>
    <row r="850" ht="14.25" customHeight="1">
      <c r="A850" s="1"/>
      <c r="B850" s="694"/>
      <c r="C850" s="694"/>
      <c r="D850" s="694"/>
      <c r="E850" s="694"/>
      <c r="F850" s="694"/>
      <c r="G850" s="692"/>
      <c r="H850" s="694"/>
      <c r="I850" s="694"/>
      <c r="J850" s="692"/>
      <c r="K850" s="692"/>
      <c r="L850" s="694"/>
      <c r="M850" s="694"/>
      <c r="N850" s="694"/>
      <c r="O850" s="694"/>
      <c r="P850" s="280"/>
      <c r="Q850" s="280"/>
      <c r="R850" s="280"/>
      <c r="S850" s="694"/>
      <c r="T850" s="694"/>
      <c r="U850" s="694"/>
      <c r="V850" s="1"/>
      <c r="W850" s="1"/>
      <c r="X850" s="1"/>
      <c r="Y850" s="1"/>
      <c r="Z850" s="1"/>
    </row>
    <row r="851" ht="14.25" customHeight="1">
      <c r="A851" s="1"/>
      <c r="B851" s="694"/>
      <c r="C851" s="694"/>
      <c r="D851" s="694"/>
      <c r="E851" s="694"/>
      <c r="F851" s="694"/>
      <c r="G851" s="692"/>
      <c r="H851" s="694"/>
      <c r="I851" s="694"/>
      <c r="J851" s="692"/>
      <c r="K851" s="692"/>
      <c r="L851" s="694"/>
      <c r="M851" s="694"/>
      <c r="N851" s="694"/>
      <c r="O851" s="694"/>
      <c r="P851" s="280"/>
      <c r="Q851" s="280"/>
      <c r="R851" s="280"/>
      <c r="S851" s="694"/>
      <c r="T851" s="694"/>
      <c r="U851" s="694"/>
      <c r="V851" s="1"/>
      <c r="W851" s="1"/>
      <c r="X851" s="1"/>
      <c r="Y851" s="1"/>
      <c r="Z851" s="1"/>
    </row>
    <row r="852" ht="14.25" customHeight="1">
      <c r="A852" s="1"/>
      <c r="B852" s="694"/>
      <c r="C852" s="694"/>
      <c r="D852" s="694"/>
      <c r="E852" s="694"/>
      <c r="F852" s="694"/>
      <c r="G852" s="692"/>
      <c r="H852" s="694"/>
      <c r="I852" s="694"/>
      <c r="J852" s="692"/>
      <c r="K852" s="692"/>
      <c r="L852" s="694"/>
      <c r="M852" s="694"/>
      <c r="N852" s="694"/>
      <c r="O852" s="694"/>
      <c r="P852" s="280"/>
      <c r="Q852" s="280"/>
      <c r="R852" s="280"/>
      <c r="S852" s="694"/>
      <c r="T852" s="694"/>
      <c r="U852" s="694"/>
      <c r="V852" s="1"/>
      <c r="W852" s="1"/>
      <c r="X852" s="1"/>
      <c r="Y852" s="1"/>
      <c r="Z852" s="1"/>
    </row>
    <row r="853" ht="14.25" customHeight="1">
      <c r="A853" s="1"/>
      <c r="B853" s="694"/>
      <c r="C853" s="694"/>
      <c r="D853" s="694"/>
      <c r="E853" s="694"/>
      <c r="F853" s="694"/>
      <c r="G853" s="692"/>
      <c r="H853" s="694"/>
      <c r="I853" s="694"/>
      <c r="J853" s="692"/>
      <c r="K853" s="692"/>
      <c r="L853" s="694"/>
      <c r="M853" s="694"/>
      <c r="N853" s="694"/>
      <c r="O853" s="694"/>
      <c r="P853" s="280"/>
      <c r="Q853" s="280"/>
      <c r="R853" s="280"/>
      <c r="S853" s="694"/>
      <c r="T853" s="694"/>
      <c r="U853" s="694"/>
      <c r="V853" s="1"/>
      <c r="W853" s="1"/>
      <c r="X853" s="1"/>
      <c r="Y853" s="1"/>
      <c r="Z853" s="1"/>
    </row>
    <row r="854" ht="14.25" customHeight="1">
      <c r="A854" s="1"/>
      <c r="B854" s="694"/>
      <c r="C854" s="694"/>
      <c r="D854" s="694"/>
      <c r="E854" s="694"/>
      <c r="F854" s="694"/>
      <c r="G854" s="692"/>
      <c r="H854" s="694"/>
      <c r="I854" s="694"/>
      <c r="J854" s="692"/>
      <c r="K854" s="692"/>
      <c r="L854" s="694"/>
      <c r="M854" s="694"/>
      <c r="N854" s="694"/>
      <c r="O854" s="694"/>
      <c r="P854" s="280"/>
      <c r="Q854" s="280"/>
      <c r="R854" s="280"/>
      <c r="S854" s="694"/>
      <c r="T854" s="694"/>
      <c r="U854" s="694"/>
      <c r="V854" s="1"/>
      <c r="W854" s="1"/>
      <c r="X854" s="1"/>
      <c r="Y854" s="1"/>
      <c r="Z854" s="1"/>
    </row>
    <row r="855" ht="14.25" customHeight="1">
      <c r="A855" s="1"/>
      <c r="B855" s="694"/>
      <c r="C855" s="694"/>
      <c r="D855" s="694"/>
      <c r="E855" s="694"/>
      <c r="F855" s="694"/>
      <c r="G855" s="692"/>
      <c r="H855" s="694"/>
      <c r="I855" s="694"/>
      <c r="J855" s="692"/>
      <c r="K855" s="692"/>
      <c r="L855" s="694"/>
      <c r="M855" s="694"/>
      <c r="N855" s="694"/>
      <c r="O855" s="694"/>
      <c r="P855" s="280"/>
      <c r="Q855" s="280"/>
      <c r="R855" s="280"/>
      <c r="S855" s="694"/>
      <c r="T855" s="694"/>
      <c r="U855" s="694"/>
      <c r="V855" s="1"/>
      <c r="W855" s="1"/>
      <c r="X855" s="1"/>
      <c r="Y855" s="1"/>
      <c r="Z855" s="1"/>
    </row>
    <row r="856" ht="14.25" customHeight="1">
      <c r="A856" s="1"/>
      <c r="B856" s="694"/>
      <c r="C856" s="694"/>
      <c r="D856" s="694"/>
      <c r="E856" s="694"/>
      <c r="F856" s="694"/>
      <c r="G856" s="692"/>
      <c r="H856" s="694"/>
      <c r="I856" s="694"/>
      <c r="J856" s="692"/>
      <c r="K856" s="692"/>
      <c r="L856" s="694"/>
      <c r="M856" s="694"/>
      <c r="N856" s="694"/>
      <c r="O856" s="694"/>
      <c r="P856" s="280"/>
      <c r="Q856" s="280"/>
      <c r="R856" s="280"/>
      <c r="S856" s="694"/>
      <c r="T856" s="694"/>
      <c r="U856" s="694"/>
      <c r="V856" s="1"/>
      <c r="W856" s="1"/>
      <c r="X856" s="1"/>
      <c r="Y856" s="1"/>
      <c r="Z856" s="1"/>
    </row>
    <row r="857" ht="14.25" customHeight="1">
      <c r="A857" s="1"/>
      <c r="B857" s="694"/>
      <c r="C857" s="694"/>
      <c r="D857" s="694"/>
      <c r="E857" s="694"/>
      <c r="F857" s="694"/>
      <c r="G857" s="692"/>
      <c r="H857" s="694"/>
      <c r="I857" s="694"/>
      <c r="J857" s="692"/>
      <c r="K857" s="692"/>
      <c r="L857" s="694"/>
      <c r="M857" s="694"/>
      <c r="N857" s="694"/>
      <c r="O857" s="694"/>
      <c r="P857" s="280"/>
      <c r="Q857" s="280"/>
      <c r="R857" s="280"/>
      <c r="S857" s="694"/>
      <c r="T857" s="694"/>
      <c r="U857" s="694"/>
      <c r="V857" s="1"/>
      <c r="W857" s="1"/>
      <c r="X857" s="1"/>
      <c r="Y857" s="1"/>
      <c r="Z857" s="1"/>
    </row>
    <row r="858" ht="14.25" customHeight="1">
      <c r="A858" s="1"/>
      <c r="B858" s="694"/>
      <c r="C858" s="694"/>
      <c r="D858" s="694"/>
      <c r="E858" s="694"/>
      <c r="F858" s="694"/>
      <c r="G858" s="692"/>
      <c r="H858" s="694"/>
      <c r="I858" s="694"/>
      <c r="J858" s="692"/>
      <c r="K858" s="692"/>
      <c r="L858" s="694"/>
      <c r="M858" s="694"/>
      <c r="N858" s="694"/>
      <c r="O858" s="694"/>
      <c r="P858" s="280"/>
      <c r="Q858" s="280"/>
      <c r="R858" s="280"/>
      <c r="S858" s="694"/>
      <c r="T858" s="694"/>
      <c r="U858" s="694"/>
      <c r="V858" s="1"/>
      <c r="W858" s="1"/>
      <c r="X858" s="1"/>
      <c r="Y858" s="1"/>
      <c r="Z858" s="1"/>
    </row>
    <row r="859" ht="14.25" customHeight="1">
      <c r="A859" s="1"/>
      <c r="B859" s="694"/>
      <c r="C859" s="694"/>
      <c r="D859" s="694"/>
      <c r="E859" s="694"/>
      <c r="F859" s="694"/>
      <c r="G859" s="692"/>
      <c r="H859" s="694"/>
      <c r="I859" s="694"/>
      <c r="J859" s="692"/>
      <c r="K859" s="692"/>
      <c r="L859" s="694"/>
      <c r="M859" s="694"/>
      <c r="N859" s="694"/>
      <c r="O859" s="694"/>
      <c r="P859" s="280"/>
      <c r="Q859" s="280"/>
      <c r="R859" s="280"/>
      <c r="S859" s="694"/>
      <c r="T859" s="694"/>
      <c r="U859" s="694"/>
      <c r="V859" s="1"/>
      <c r="W859" s="1"/>
      <c r="X859" s="1"/>
      <c r="Y859" s="1"/>
      <c r="Z859" s="1"/>
    </row>
    <row r="860" ht="14.25" customHeight="1">
      <c r="A860" s="1"/>
      <c r="B860" s="694"/>
      <c r="C860" s="694"/>
      <c r="D860" s="694"/>
      <c r="E860" s="694"/>
      <c r="F860" s="694"/>
      <c r="G860" s="692"/>
      <c r="H860" s="694"/>
      <c r="I860" s="694"/>
      <c r="J860" s="692"/>
      <c r="K860" s="692"/>
      <c r="L860" s="694"/>
      <c r="M860" s="694"/>
      <c r="N860" s="694"/>
      <c r="O860" s="694"/>
      <c r="P860" s="280"/>
      <c r="Q860" s="280"/>
      <c r="R860" s="280"/>
      <c r="S860" s="694"/>
      <c r="T860" s="694"/>
      <c r="U860" s="694"/>
      <c r="V860" s="1"/>
      <c r="W860" s="1"/>
      <c r="X860" s="1"/>
      <c r="Y860" s="1"/>
      <c r="Z860" s="1"/>
    </row>
    <row r="861" ht="14.25" customHeight="1">
      <c r="A861" s="1"/>
      <c r="B861" s="694"/>
      <c r="C861" s="694"/>
      <c r="D861" s="694"/>
      <c r="E861" s="694"/>
      <c r="F861" s="694"/>
      <c r="G861" s="692"/>
      <c r="H861" s="694"/>
      <c r="I861" s="694"/>
      <c r="J861" s="692"/>
      <c r="K861" s="692"/>
      <c r="L861" s="694"/>
      <c r="M861" s="694"/>
      <c r="N861" s="694"/>
      <c r="O861" s="694"/>
      <c r="P861" s="280"/>
      <c r="Q861" s="280"/>
      <c r="R861" s="280"/>
      <c r="S861" s="694"/>
      <c r="T861" s="694"/>
      <c r="U861" s="694"/>
      <c r="V861" s="1"/>
      <c r="W861" s="1"/>
      <c r="X861" s="1"/>
      <c r="Y861" s="1"/>
      <c r="Z861" s="1"/>
    </row>
    <row r="862" ht="14.25" customHeight="1">
      <c r="A862" s="1"/>
      <c r="B862" s="694"/>
      <c r="C862" s="694"/>
      <c r="D862" s="694"/>
      <c r="E862" s="694"/>
      <c r="F862" s="694"/>
      <c r="G862" s="692"/>
      <c r="H862" s="694"/>
      <c r="I862" s="694"/>
      <c r="J862" s="692"/>
      <c r="K862" s="692"/>
      <c r="L862" s="694"/>
      <c r="M862" s="694"/>
      <c r="N862" s="694"/>
      <c r="O862" s="694"/>
      <c r="P862" s="280"/>
      <c r="Q862" s="280"/>
      <c r="R862" s="280"/>
      <c r="S862" s="694"/>
      <c r="T862" s="694"/>
      <c r="U862" s="694"/>
      <c r="V862" s="1"/>
      <c r="W862" s="1"/>
      <c r="X862" s="1"/>
      <c r="Y862" s="1"/>
      <c r="Z862" s="1"/>
    </row>
    <row r="863" ht="14.25" customHeight="1">
      <c r="A863" s="1"/>
      <c r="B863" s="694"/>
      <c r="C863" s="694"/>
      <c r="D863" s="694"/>
      <c r="E863" s="694"/>
      <c r="F863" s="694"/>
      <c r="G863" s="692"/>
      <c r="H863" s="694"/>
      <c r="I863" s="694"/>
      <c r="J863" s="692"/>
      <c r="K863" s="692"/>
      <c r="L863" s="694"/>
      <c r="M863" s="694"/>
      <c r="N863" s="694"/>
      <c r="O863" s="694"/>
      <c r="P863" s="280"/>
      <c r="Q863" s="280"/>
      <c r="R863" s="280"/>
      <c r="S863" s="694"/>
      <c r="T863" s="694"/>
      <c r="U863" s="694"/>
      <c r="V863" s="1"/>
      <c r="W863" s="1"/>
      <c r="X863" s="1"/>
      <c r="Y863" s="1"/>
      <c r="Z863" s="1"/>
    </row>
    <row r="864" ht="14.25" customHeight="1">
      <c r="A864" s="1"/>
      <c r="B864" s="694"/>
      <c r="C864" s="694"/>
      <c r="D864" s="694"/>
      <c r="E864" s="694"/>
      <c r="F864" s="694"/>
      <c r="G864" s="692"/>
      <c r="H864" s="694"/>
      <c r="I864" s="694"/>
      <c r="J864" s="692"/>
      <c r="K864" s="692"/>
      <c r="L864" s="694"/>
      <c r="M864" s="694"/>
      <c r="N864" s="694"/>
      <c r="O864" s="694"/>
      <c r="P864" s="280"/>
      <c r="Q864" s="280"/>
      <c r="R864" s="280"/>
      <c r="S864" s="694"/>
      <c r="T864" s="694"/>
      <c r="U864" s="694"/>
      <c r="V864" s="1"/>
      <c r="W864" s="1"/>
      <c r="X864" s="1"/>
      <c r="Y864" s="1"/>
      <c r="Z864" s="1"/>
    </row>
    <row r="865" ht="14.25" customHeight="1">
      <c r="A865" s="1"/>
      <c r="B865" s="694"/>
      <c r="C865" s="694"/>
      <c r="D865" s="694"/>
      <c r="E865" s="694"/>
      <c r="F865" s="694"/>
      <c r="G865" s="692"/>
      <c r="H865" s="694"/>
      <c r="I865" s="694"/>
      <c r="J865" s="692"/>
      <c r="K865" s="692"/>
      <c r="L865" s="694"/>
      <c r="M865" s="694"/>
      <c r="N865" s="694"/>
      <c r="O865" s="694"/>
      <c r="P865" s="280"/>
      <c r="Q865" s="280"/>
      <c r="R865" s="280"/>
      <c r="S865" s="694"/>
      <c r="T865" s="694"/>
      <c r="U865" s="694"/>
      <c r="V865" s="1"/>
      <c r="W865" s="1"/>
      <c r="X865" s="1"/>
      <c r="Y865" s="1"/>
      <c r="Z865" s="1"/>
    </row>
    <row r="866" ht="14.25" customHeight="1">
      <c r="A866" s="1"/>
      <c r="B866" s="694"/>
      <c r="C866" s="694"/>
      <c r="D866" s="694"/>
      <c r="E866" s="694"/>
      <c r="F866" s="694"/>
      <c r="G866" s="692"/>
      <c r="H866" s="694"/>
      <c r="I866" s="694"/>
      <c r="J866" s="692"/>
      <c r="K866" s="692"/>
      <c r="L866" s="694"/>
      <c r="M866" s="694"/>
      <c r="N866" s="694"/>
      <c r="O866" s="694"/>
      <c r="P866" s="280"/>
      <c r="Q866" s="280"/>
      <c r="R866" s="280"/>
      <c r="S866" s="694"/>
      <c r="T866" s="694"/>
      <c r="U866" s="694"/>
      <c r="V866" s="1"/>
      <c r="W866" s="1"/>
      <c r="X866" s="1"/>
      <c r="Y866" s="1"/>
      <c r="Z866" s="1"/>
    </row>
    <row r="867" ht="14.25" customHeight="1">
      <c r="A867" s="1"/>
      <c r="B867" s="694"/>
      <c r="C867" s="694"/>
      <c r="D867" s="694"/>
      <c r="E867" s="694"/>
      <c r="F867" s="694"/>
      <c r="G867" s="692"/>
      <c r="H867" s="694"/>
      <c r="I867" s="694"/>
      <c r="J867" s="692"/>
      <c r="K867" s="692"/>
      <c r="L867" s="694"/>
      <c r="M867" s="694"/>
      <c r="N867" s="694"/>
      <c r="O867" s="694"/>
      <c r="P867" s="280"/>
      <c r="Q867" s="280"/>
      <c r="R867" s="280"/>
      <c r="S867" s="694"/>
      <c r="T867" s="694"/>
      <c r="U867" s="694"/>
      <c r="V867" s="1"/>
      <c r="W867" s="1"/>
      <c r="X867" s="1"/>
      <c r="Y867" s="1"/>
      <c r="Z867" s="1"/>
    </row>
    <row r="868" ht="14.25" customHeight="1">
      <c r="A868" s="1"/>
      <c r="B868" s="694"/>
      <c r="C868" s="694"/>
      <c r="D868" s="694"/>
      <c r="E868" s="694"/>
      <c r="F868" s="694"/>
      <c r="G868" s="692"/>
      <c r="H868" s="694"/>
      <c r="I868" s="694"/>
      <c r="J868" s="692"/>
      <c r="K868" s="692"/>
      <c r="L868" s="694"/>
      <c r="M868" s="694"/>
      <c r="N868" s="694"/>
      <c r="O868" s="694"/>
      <c r="P868" s="280"/>
      <c r="Q868" s="280"/>
      <c r="R868" s="280"/>
      <c r="S868" s="694"/>
      <c r="T868" s="694"/>
      <c r="U868" s="694"/>
      <c r="V868" s="1"/>
      <c r="W868" s="1"/>
      <c r="X868" s="1"/>
      <c r="Y868" s="1"/>
      <c r="Z868" s="1"/>
    </row>
    <row r="869" ht="14.25" customHeight="1">
      <c r="A869" s="1"/>
      <c r="B869" s="694"/>
      <c r="C869" s="694"/>
      <c r="D869" s="694"/>
      <c r="E869" s="694"/>
      <c r="F869" s="694"/>
      <c r="G869" s="692"/>
      <c r="H869" s="694"/>
      <c r="I869" s="694"/>
      <c r="J869" s="692"/>
      <c r="K869" s="692"/>
      <c r="L869" s="694"/>
      <c r="M869" s="694"/>
      <c r="N869" s="694"/>
      <c r="O869" s="694"/>
      <c r="P869" s="280"/>
      <c r="Q869" s="280"/>
      <c r="R869" s="280"/>
      <c r="S869" s="694"/>
      <c r="T869" s="694"/>
      <c r="U869" s="694"/>
      <c r="V869" s="1"/>
      <c r="W869" s="1"/>
      <c r="X869" s="1"/>
      <c r="Y869" s="1"/>
      <c r="Z869" s="1"/>
    </row>
    <row r="870" ht="14.25" customHeight="1">
      <c r="A870" s="1"/>
      <c r="B870" s="694"/>
      <c r="C870" s="694"/>
      <c r="D870" s="694"/>
      <c r="E870" s="694"/>
      <c r="F870" s="694"/>
      <c r="G870" s="692"/>
      <c r="H870" s="694"/>
      <c r="I870" s="694"/>
      <c r="J870" s="692"/>
      <c r="K870" s="692"/>
      <c r="L870" s="694"/>
      <c r="M870" s="694"/>
      <c r="N870" s="694"/>
      <c r="O870" s="694"/>
      <c r="P870" s="280"/>
      <c r="Q870" s="280"/>
      <c r="R870" s="280"/>
      <c r="S870" s="694"/>
      <c r="T870" s="694"/>
      <c r="U870" s="694"/>
      <c r="V870" s="1"/>
      <c r="W870" s="1"/>
      <c r="X870" s="1"/>
      <c r="Y870" s="1"/>
      <c r="Z870" s="1"/>
    </row>
    <row r="871" ht="14.25" customHeight="1">
      <c r="A871" s="1"/>
      <c r="B871" s="694"/>
      <c r="C871" s="694"/>
      <c r="D871" s="694"/>
      <c r="E871" s="694"/>
      <c r="F871" s="694"/>
      <c r="G871" s="692"/>
      <c r="H871" s="694"/>
      <c r="I871" s="694"/>
      <c r="J871" s="692"/>
      <c r="K871" s="692"/>
      <c r="L871" s="694"/>
      <c r="M871" s="694"/>
      <c r="N871" s="694"/>
      <c r="O871" s="694"/>
      <c r="P871" s="280"/>
      <c r="Q871" s="280"/>
      <c r="R871" s="280"/>
      <c r="S871" s="694"/>
      <c r="T871" s="694"/>
      <c r="U871" s="694"/>
      <c r="V871" s="1"/>
      <c r="W871" s="1"/>
      <c r="X871" s="1"/>
      <c r="Y871" s="1"/>
      <c r="Z871" s="1"/>
    </row>
    <row r="872" ht="14.25" customHeight="1">
      <c r="A872" s="1"/>
      <c r="B872" s="694"/>
      <c r="C872" s="694"/>
      <c r="D872" s="694"/>
      <c r="E872" s="694"/>
      <c r="F872" s="694"/>
      <c r="G872" s="692"/>
      <c r="H872" s="694"/>
      <c r="I872" s="694"/>
      <c r="J872" s="692"/>
      <c r="K872" s="692"/>
      <c r="L872" s="694"/>
      <c r="M872" s="694"/>
      <c r="N872" s="694"/>
      <c r="O872" s="694"/>
      <c r="P872" s="280"/>
      <c r="Q872" s="280"/>
      <c r="R872" s="280"/>
      <c r="S872" s="694"/>
      <c r="T872" s="694"/>
      <c r="U872" s="694"/>
      <c r="V872" s="1"/>
      <c r="W872" s="1"/>
      <c r="X872" s="1"/>
      <c r="Y872" s="1"/>
      <c r="Z872" s="1"/>
    </row>
    <row r="873" ht="14.25" customHeight="1">
      <c r="A873" s="1"/>
      <c r="B873" s="694"/>
      <c r="C873" s="694"/>
      <c r="D873" s="694"/>
      <c r="E873" s="694"/>
      <c r="F873" s="694"/>
      <c r="G873" s="692"/>
      <c r="H873" s="694"/>
      <c r="I873" s="694"/>
      <c r="J873" s="692"/>
      <c r="K873" s="692"/>
      <c r="L873" s="694"/>
      <c r="M873" s="694"/>
      <c r="N873" s="694"/>
      <c r="O873" s="694"/>
      <c r="P873" s="280"/>
      <c r="Q873" s="280"/>
      <c r="R873" s="280"/>
      <c r="S873" s="694"/>
      <c r="T873" s="694"/>
      <c r="U873" s="694"/>
      <c r="V873" s="1"/>
      <c r="W873" s="1"/>
      <c r="X873" s="1"/>
      <c r="Y873" s="1"/>
      <c r="Z873" s="1"/>
    </row>
    <row r="874" ht="14.25" customHeight="1">
      <c r="A874" s="1"/>
      <c r="B874" s="694"/>
      <c r="C874" s="694"/>
      <c r="D874" s="694"/>
      <c r="E874" s="694"/>
      <c r="F874" s="694"/>
      <c r="G874" s="692"/>
      <c r="H874" s="694"/>
      <c r="I874" s="694"/>
      <c r="J874" s="692"/>
      <c r="K874" s="692"/>
      <c r="L874" s="694"/>
      <c r="M874" s="694"/>
      <c r="N874" s="694"/>
      <c r="O874" s="694"/>
      <c r="P874" s="280"/>
      <c r="Q874" s="280"/>
      <c r="R874" s="280"/>
      <c r="S874" s="694"/>
      <c r="T874" s="694"/>
      <c r="U874" s="694"/>
      <c r="V874" s="1"/>
      <c r="W874" s="1"/>
      <c r="X874" s="1"/>
      <c r="Y874" s="1"/>
      <c r="Z874" s="1"/>
    </row>
    <row r="875" ht="14.25" customHeight="1">
      <c r="A875" s="1"/>
      <c r="B875" s="694"/>
      <c r="C875" s="694"/>
      <c r="D875" s="694"/>
      <c r="E875" s="694"/>
      <c r="F875" s="694"/>
      <c r="G875" s="692"/>
      <c r="H875" s="694"/>
      <c r="I875" s="694"/>
      <c r="J875" s="692"/>
      <c r="K875" s="692"/>
      <c r="L875" s="694"/>
      <c r="M875" s="694"/>
      <c r="N875" s="694"/>
      <c r="O875" s="694"/>
      <c r="P875" s="280"/>
      <c r="Q875" s="280"/>
      <c r="R875" s="280"/>
      <c r="S875" s="694"/>
      <c r="T875" s="694"/>
      <c r="U875" s="694"/>
      <c r="V875" s="1"/>
      <c r="W875" s="1"/>
      <c r="X875" s="1"/>
      <c r="Y875" s="1"/>
      <c r="Z875" s="1"/>
    </row>
    <row r="876" ht="14.25" customHeight="1">
      <c r="A876" s="1"/>
      <c r="B876" s="694"/>
      <c r="C876" s="694"/>
      <c r="D876" s="694"/>
      <c r="E876" s="694"/>
      <c r="F876" s="694"/>
      <c r="G876" s="692"/>
      <c r="H876" s="694"/>
      <c r="I876" s="694"/>
      <c r="J876" s="692"/>
      <c r="K876" s="692"/>
      <c r="L876" s="694"/>
      <c r="M876" s="694"/>
      <c r="N876" s="694"/>
      <c r="O876" s="694"/>
      <c r="P876" s="280"/>
      <c r="Q876" s="280"/>
      <c r="R876" s="280"/>
      <c r="S876" s="694"/>
      <c r="T876" s="694"/>
      <c r="U876" s="694"/>
      <c r="V876" s="1"/>
      <c r="W876" s="1"/>
      <c r="X876" s="1"/>
      <c r="Y876" s="1"/>
      <c r="Z876" s="1"/>
    </row>
    <row r="877" ht="14.25" customHeight="1">
      <c r="A877" s="1"/>
      <c r="B877" s="694"/>
      <c r="C877" s="694"/>
      <c r="D877" s="694"/>
      <c r="E877" s="694"/>
      <c r="F877" s="694"/>
      <c r="G877" s="692"/>
      <c r="H877" s="694"/>
      <c r="I877" s="694"/>
      <c r="J877" s="692"/>
      <c r="K877" s="692"/>
      <c r="L877" s="694"/>
      <c r="M877" s="694"/>
      <c r="N877" s="694"/>
      <c r="O877" s="694"/>
      <c r="P877" s="280"/>
      <c r="Q877" s="280"/>
      <c r="R877" s="280"/>
      <c r="S877" s="694"/>
      <c r="T877" s="694"/>
      <c r="U877" s="694"/>
      <c r="V877" s="1"/>
      <c r="W877" s="1"/>
      <c r="X877" s="1"/>
      <c r="Y877" s="1"/>
      <c r="Z877" s="1"/>
    </row>
    <row r="878" ht="14.25" customHeight="1">
      <c r="A878" s="1"/>
      <c r="B878" s="694"/>
      <c r="C878" s="694"/>
      <c r="D878" s="694"/>
      <c r="E878" s="694"/>
      <c r="F878" s="694"/>
      <c r="G878" s="692"/>
      <c r="H878" s="694"/>
      <c r="I878" s="694"/>
      <c r="J878" s="692"/>
      <c r="K878" s="692"/>
      <c r="L878" s="694"/>
      <c r="M878" s="694"/>
      <c r="N878" s="694"/>
      <c r="O878" s="694"/>
      <c r="P878" s="280"/>
      <c r="Q878" s="280"/>
      <c r="R878" s="280"/>
      <c r="S878" s="694"/>
      <c r="T878" s="694"/>
      <c r="U878" s="694"/>
      <c r="V878" s="1"/>
      <c r="W878" s="1"/>
      <c r="X878" s="1"/>
      <c r="Y878" s="1"/>
      <c r="Z878" s="1"/>
    </row>
    <row r="879" ht="14.25" customHeight="1">
      <c r="A879" s="1"/>
      <c r="B879" s="694"/>
      <c r="C879" s="694"/>
      <c r="D879" s="694"/>
      <c r="E879" s="694"/>
      <c r="F879" s="694"/>
      <c r="G879" s="692"/>
      <c r="H879" s="694"/>
      <c r="I879" s="694"/>
      <c r="J879" s="692"/>
      <c r="K879" s="692"/>
      <c r="L879" s="694"/>
      <c r="M879" s="694"/>
      <c r="N879" s="694"/>
      <c r="O879" s="694"/>
      <c r="P879" s="280"/>
      <c r="Q879" s="280"/>
      <c r="R879" s="280"/>
      <c r="S879" s="694"/>
      <c r="T879" s="694"/>
      <c r="U879" s="694"/>
      <c r="V879" s="1"/>
      <c r="W879" s="1"/>
      <c r="X879" s="1"/>
      <c r="Y879" s="1"/>
      <c r="Z879" s="1"/>
    </row>
    <row r="880" ht="14.25" customHeight="1">
      <c r="A880" s="1"/>
      <c r="B880" s="694"/>
      <c r="C880" s="694"/>
      <c r="D880" s="694"/>
      <c r="E880" s="694"/>
      <c r="F880" s="694"/>
      <c r="G880" s="692"/>
      <c r="H880" s="694"/>
      <c r="I880" s="694"/>
      <c r="J880" s="692"/>
      <c r="K880" s="692"/>
      <c r="L880" s="694"/>
      <c r="M880" s="694"/>
      <c r="N880" s="694"/>
      <c r="O880" s="694"/>
      <c r="P880" s="280"/>
      <c r="Q880" s="280"/>
      <c r="R880" s="280"/>
      <c r="S880" s="694"/>
      <c r="T880" s="694"/>
      <c r="U880" s="694"/>
      <c r="V880" s="1"/>
      <c r="W880" s="1"/>
      <c r="X880" s="1"/>
      <c r="Y880" s="1"/>
      <c r="Z880" s="1"/>
    </row>
    <row r="881" ht="14.25" customHeight="1">
      <c r="A881" s="1"/>
      <c r="B881" s="694"/>
      <c r="C881" s="694"/>
      <c r="D881" s="694"/>
      <c r="E881" s="694"/>
      <c r="F881" s="694"/>
      <c r="G881" s="692"/>
      <c r="H881" s="694"/>
      <c r="I881" s="694"/>
      <c r="J881" s="692"/>
      <c r="K881" s="692"/>
      <c r="L881" s="694"/>
      <c r="M881" s="694"/>
      <c r="N881" s="694"/>
      <c r="O881" s="694"/>
      <c r="P881" s="280"/>
      <c r="Q881" s="280"/>
      <c r="R881" s="280"/>
      <c r="S881" s="694"/>
      <c r="T881" s="694"/>
      <c r="U881" s="694"/>
      <c r="V881" s="1"/>
      <c r="W881" s="1"/>
      <c r="X881" s="1"/>
      <c r="Y881" s="1"/>
      <c r="Z881" s="1"/>
    </row>
    <row r="882" ht="14.25" customHeight="1">
      <c r="A882" s="1"/>
      <c r="B882" s="694"/>
      <c r="C882" s="694"/>
      <c r="D882" s="694"/>
      <c r="E882" s="694"/>
      <c r="F882" s="694"/>
      <c r="G882" s="692"/>
      <c r="H882" s="694"/>
      <c r="I882" s="694"/>
      <c r="J882" s="692"/>
      <c r="K882" s="692"/>
      <c r="L882" s="694"/>
      <c r="M882" s="694"/>
      <c r="N882" s="694"/>
      <c r="O882" s="694"/>
      <c r="P882" s="280"/>
      <c r="Q882" s="280"/>
      <c r="R882" s="280"/>
      <c r="S882" s="694"/>
      <c r="T882" s="694"/>
      <c r="U882" s="694"/>
      <c r="V882" s="1"/>
      <c r="W882" s="1"/>
      <c r="X882" s="1"/>
      <c r="Y882" s="1"/>
      <c r="Z882" s="1"/>
    </row>
    <row r="883" ht="14.25" customHeight="1">
      <c r="A883" s="1"/>
      <c r="B883" s="694"/>
      <c r="C883" s="694"/>
      <c r="D883" s="694"/>
      <c r="E883" s="694"/>
      <c r="F883" s="694"/>
      <c r="G883" s="692"/>
      <c r="H883" s="694"/>
      <c r="I883" s="694"/>
      <c r="J883" s="692"/>
      <c r="K883" s="692"/>
      <c r="L883" s="694"/>
      <c r="M883" s="694"/>
      <c r="N883" s="694"/>
      <c r="O883" s="694"/>
      <c r="P883" s="280"/>
      <c r="Q883" s="280"/>
      <c r="R883" s="280"/>
      <c r="S883" s="694"/>
      <c r="T883" s="694"/>
      <c r="U883" s="694"/>
      <c r="V883" s="1"/>
      <c r="W883" s="1"/>
      <c r="X883" s="1"/>
      <c r="Y883" s="1"/>
      <c r="Z883" s="1"/>
    </row>
    <row r="884" ht="14.25" customHeight="1">
      <c r="A884" s="1"/>
      <c r="B884" s="694"/>
      <c r="C884" s="694"/>
      <c r="D884" s="694"/>
      <c r="E884" s="694"/>
      <c r="F884" s="694"/>
      <c r="G884" s="692"/>
      <c r="H884" s="694"/>
      <c r="I884" s="694"/>
      <c r="J884" s="692"/>
      <c r="K884" s="692"/>
      <c r="L884" s="694"/>
      <c r="M884" s="694"/>
      <c r="N884" s="694"/>
      <c r="O884" s="694"/>
      <c r="P884" s="280"/>
      <c r="Q884" s="280"/>
      <c r="R884" s="280"/>
      <c r="S884" s="694"/>
      <c r="T884" s="694"/>
      <c r="U884" s="694"/>
      <c r="V884" s="1"/>
      <c r="W884" s="1"/>
      <c r="X884" s="1"/>
      <c r="Y884" s="1"/>
      <c r="Z884" s="1"/>
    </row>
    <row r="885" ht="14.25" customHeight="1">
      <c r="A885" s="1"/>
      <c r="B885" s="694"/>
      <c r="C885" s="694"/>
      <c r="D885" s="694"/>
      <c r="E885" s="694"/>
      <c r="F885" s="694"/>
      <c r="G885" s="692"/>
      <c r="H885" s="694"/>
      <c r="I885" s="694"/>
      <c r="J885" s="692"/>
      <c r="K885" s="692"/>
      <c r="L885" s="694"/>
      <c r="M885" s="694"/>
      <c r="N885" s="694"/>
      <c r="O885" s="694"/>
      <c r="P885" s="280"/>
      <c r="Q885" s="280"/>
      <c r="R885" s="280"/>
      <c r="S885" s="694"/>
      <c r="T885" s="694"/>
      <c r="U885" s="694"/>
      <c r="V885" s="1"/>
      <c r="W885" s="1"/>
      <c r="X885" s="1"/>
      <c r="Y885" s="1"/>
      <c r="Z885" s="1"/>
    </row>
    <row r="886" ht="14.25" customHeight="1">
      <c r="A886" s="1"/>
      <c r="B886" s="694"/>
      <c r="C886" s="694"/>
      <c r="D886" s="694"/>
      <c r="E886" s="694"/>
      <c r="F886" s="694"/>
      <c r="G886" s="692"/>
      <c r="H886" s="694"/>
      <c r="I886" s="694"/>
      <c r="J886" s="692"/>
      <c r="K886" s="692"/>
      <c r="L886" s="694"/>
      <c r="M886" s="694"/>
      <c r="N886" s="694"/>
      <c r="O886" s="694"/>
      <c r="P886" s="280"/>
      <c r="Q886" s="280"/>
      <c r="R886" s="280"/>
      <c r="S886" s="694"/>
      <c r="T886" s="694"/>
      <c r="U886" s="694"/>
      <c r="V886" s="1"/>
      <c r="W886" s="1"/>
      <c r="X886" s="1"/>
      <c r="Y886" s="1"/>
      <c r="Z886" s="1"/>
    </row>
    <row r="887" ht="14.25" customHeight="1">
      <c r="A887" s="1"/>
      <c r="B887" s="694"/>
      <c r="C887" s="694"/>
      <c r="D887" s="694"/>
      <c r="E887" s="694"/>
      <c r="F887" s="694"/>
      <c r="G887" s="692"/>
      <c r="H887" s="694"/>
      <c r="I887" s="694"/>
      <c r="J887" s="692"/>
      <c r="K887" s="692"/>
      <c r="L887" s="694"/>
      <c r="M887" s="694"/>
      <c r="N887" s="694"/>
      <c r="O887" s="694"/>
      <c r="P887" s="280"/>
      <c r="Q887" s="280"/>
      <c r="R887" s="280"/>
      <c r="S887" s="694"/>
      <c r="T887" s="694"/>
      <c r="U887" s="694"/>
      <c r="V887" s="1"/>
      <c r="W887" s="1"/>
      <c r="X887" s="1"/>
      <c r="Y887" s="1"/>
      <c r="Z887" s="1"/>
    </row>
    <row r="888" ht="14.25" customHeight="1">
      <c r="A888" s="1"/>
      <c r="B888" s="694"/>
      <c r="C888" s="694"/>
      <c r="D888" s="694"/>
      <c r="E888" s="694"/>
      <c r="F888" s="694"/>
      <c r="G888" s="692"/>
      <c r="H888" s="694"/>
      <c r="I888" s="694"/>
      <c r="J888" s="692"/>
      <c r="K888" s="692"/>
      <c r="L888" s="694"/>
      <c r="M888" s="694"/>
      <c r="N888" s="694"/>
      <c r="O888" s="694"/>
      <c r="P888" s="280"/>
      <c r="Q888" s="280"/>
      <c r="R888" s="280"/>
      <c r="S888" s="694"/>
      <c r="T888" s="694"/>
      <c r="U888" s="694"/>
      <c r="V888" s="1"/>
      <c r="W888" s="1"/>
      <c r="X888" s="1"/>
      <c r="Y888" s="1"/>
      <c r="Z888" s="1"/>
    </row>
    <row r="889" ht="14.25" customHeight="1">
      <c r="A889" s="1"/>
      <c r="B889" s="694"/>
      <c r="C889" s="694"/>
      <c r="D889" s="694"/>
      <c r="E889" s="694"/>
      <c r="F889" s="694"/>
      <c r="G889" s="692"/>
      <c r="H889" s="694"/>
      <c r="I889" s="694"/>
      <c r="J889" s="692"/>
      <c r="K889" s="692"/>
      <c r="L889" s="694"/>
      <c r="M889" s="694"/>
      <c r="N889" s="694"/>
      <c r="O889" s="694"/>
      <c r="P889" s="280"/>
      <c r="Q889" s="280"/>
      <c r="R889" s="280"/>
      <c r="S889" s="694"/>
      <c r="T889" s="694"/>
      <c r="U889" s="694"/>
      <c r="V889" s="1"/>
      <c r="W889" s="1"/>
      <c r="X889" s="1"/>
      <c r="Y889" s="1"/>
      <c r="Z889" s="1"/>
    </row>
    <row r="890" ht="14.25" customHeight="1">
      <c r="A890" s="1"/>
      <c r="B890" s="694"/>
      <c r="C890" s="694"/>
      <c r="D890" s="694"/>
      <c r="E890" s="694"/>
      <c r="F890" s="694"/>
      <c r="G890" s="692"/>
      <c r="H890" s="694"/>
      <c r="I890" s="694"/>
      <c r="J890" s="692"/>
      <c r="K890" s="692"/>
      <c r="L890" s="694"/>
      <c r="M890" s="694"/>
      <c r="N890" s="694"/>
      <c r="O890" s="694"/>
      <c r="P890" s="280"/>
      <c r="Q890" s="280"/>
      <c r="R890" s="280"/>
      <c r="S890" s="694"/>
      <c r="T890" s="694"/>
      <c r="U890" s="694"/>
      <c r="V890" s="1"/>
      <c r="W890" s="1"/>
      <c r="X890" s="1"/>
      <c r="Y890" s="1"/>
      <c r="Z890" s="1"/>
    </row>
    <row r="891" ht="14.25" customHeight="1">
      <c r="A891" s="1"/>
      <c r="B891" s="694"/>
      <c r="C891" s="694"/>
      <c r="D891" s="694"/>
      <c r="E891" s="694"/>
      <c r="F891" s="694"/>
      <c r="G891" s="692"/>
      <c r="H891" s="694"/>
      <c r="I891" s="694"/>
      <c r="J891" s="692"/>
      <c r="K891" s="692"/>
      <c r="L891" s="694"/>
      <c r="M891" s="694"/>
      <c r="N891" s="694"/>
      <c r="O891" s="694"/>
      <c r="P891" s="280"/>
      <c r="Q891" s="280"/>
      <c r="R891" s="280"/>
      <c r="S891" s="694"/>
      <c r="T891" s="694"/>
      <c r="U891" s="694"/>
      <c r="V891" s="1"/>
      <c r="W891" s="1"/>
      <c r="X891" s="1"/>
      <c r="Y891" s="1"/>
      <c r="Z891" s="1"/>
    </row>
    <row r="892" ht="14.25" customHeight="1">
      <c r="A892" s="1"/>
      <c r="B892" s="694"/>
      <c r="C892" s="694"/>
      <c r="D892" s="694"/>
      <c r="E892" s="694"/>
      <c r="F892" s="694"/>
      <c r="G892" s="692"/>
      <c r="H892" s="694"/>
      <c r="I892" s="694"/>
      <c r="J892" s="692"/>
      <c r="K892" s="692"/>
      <c r="L892" s="694"/>
      <c r="M892" s="694"/>
      <c r="N892" s="694"/>
      <c r="O892" s="694"/>
      <c r="P892" s="280"/>
      <c r="Q892" s="280"/>
      <c r="R892" s="280"/>
      <c r="S892" s="694"/>
      <c r="T892" s="694"/>
      <c r="U892" s="694"/>
      <c r="V892" s="1"/>
      <c r="W892" s="1"/>
      <c r="X892" s="1"/>
      <c r="Y892" s="1"/>
      <c r="Z892" s="1"/>
    </row>
    <row r="893" ht="14.25" customHeight="1">
      <c r="A893" s="1"/>
      <c r="B893" s="694"/>
      <c r="C893" s="694"/>
      <c r="D893" s="694"/>
      <c r="E893" s="694"/>
      <c r="F893" s="694"/>
      <c r="G893" s="692"/>
      <c r="H893" s="694"/>
      <c r="I893" s="694"/>
      <c r="J893" s="692"/>
      <c r="K893" s="692"/>
      <c r="L893" s="694"/>
      <c r="M893" s="694"/>
      <c r="N893" s="694"/>
      <c r="O893" s="694"/>
      <c r="P893" s="280"/>
      <c r="Q893" s="280"/>
      <c r="R893" s="280"/>
      <c r="S893" s="694"/>
      <c r="T893" s="694"/>
      <c r="U893" s="694"/>
      <c r="V893" s="1"/>
      <c r="W893" s="1"/>
      <c r="X893" s="1"/>
      <c r="Y893" s="1"/>
      <c r="Z893" s="1"/>
    </row>
    <row r="894" ht="14.25" customHeight="1">
      <c r="A894" s="1"/>
      <c r="B894" s="694"/>
      <c r="C894" s="694"/>
      <c r="D894" s="694"/>
      <c r="E894" s="694"/>
      <c r="F894" s="694"/>
      <c r="G894" s="692"/>
      <c r="H894" s="694"/>
      <c r="I894" s="694"/>
      <c r="J894" s="692"/>
      <c r="K894" s="692"/>
      <c r="L894" s="694"/>
      <c r="M894" s="694"/>
      <c r="N894" s="694"/>
      <c r="O894" s="694"/>
      <c r="P894" s="280"/>
      <c r="Q894" s="280"/>
      <c r="R894" s="280"/>
      <c r="S894" s="694"/>
      <c r="T894" s="694"/>
      <c r="U894" s="694"/>
      <c r="V894" s="1"/>
      <c r="W894" s="1"/>
      <c r="X894" s="1"/>
      <c r="Y894" s="1"/>
      <c r="Z894" s="1"/>
    </row>
    <row r="895" ht="14.25" customHeight="1">
      <c r="A895" s="1"/>
      <c r="B895" s="694"/>
      <c r="C895" s="694"/>
      <c r="D895" s="694"/>
      <c r="E895" s="694"/>
      <c r="F895" s="694"/>
      <c r="G895" s="692"/>
      <c r="H895" s="694"/>
      <c r="I895" s="694"/>
      <c r="J895" s="692"/>
      <c r="K895" s="692"/>
      <c r="L895" s="694"/>
      <c r="M895" s="694"/>
      <c r="N895" s="694"/>
      <c r="O895" s="694"/>
      <c r="P895" s="280"/>
      <c r="Q895" s="280"/>
      <c r="R895" s="280"/>
      <c r="S895" s="694"/>
      <c r="T895" s="694"/>
      <c r="U895" s="694"/>
      <c r="V895" s="1"/>
      <c r="W895" s="1"/>
      <c r="X895" s="1"/>
      <c r="Y895" s="1"/>
      <c r="Z895" s="1"/>
    </row>
    <row r="896" ht="14.25" customHeight="1">
      <c r="A896" s="1"/>
      <c r="B896" s="694"/>
      <c r="C896" s="694"/>
      <c r="D896" s="694"/>
      <c r="E896" s="694"/>
      <c r="F896" s="694"/>
      <c r="G896" s="692"/>
      <c r="H896" s="694"/>
      <c r="I896" s="694"/>
      <c r="J896" s="692"/>
      <c r="K896" s="692"/>
      <c r="L896" s="694"/>
      <c r="M896" s="694"/>
      <c r="N896" s="694"/>
      <c r="O896" s="694"/>
      <c r="P896" s="280"/>
      <c r="Q896" s="280"/>
      <c r="R896" s="280"/>
      <c r="S896" s="694"/>
      <c r="T896" s="694"/>
      <c r="U896" s="694"/>
      <c r="V896" s="1"/>
      <c r="W896" s="1"/>
      <c r="X896" s="1"/>
      <c r="Y896" s="1"/>
      <c r="Z896" s="1"/>
    </row>
    <row r="897" ht="14.25" customHeight="1">
      <c r="A897" s="1"/>
      <c r="B897" s="694"/>
      <c r="C897" s="694"/>
      <c r="D897" s="694"/>
      <c r="E897" s="694"/>
      <c r="F897" s="694"/>
      <c r="G897" s="692"/>
      <c r="H897" s="694"/>
      <c r="I897" s="694"/>
      <c r="J897" s="692"/>
      <c r="K897" s="692"/>
      <c r="L897" s="694"/>
      <c r="M897" s="694"/>
      <c r="N897" s="694"/>
      <c r="O897" s="694"/>
      <c r="P897" s="280"/>
      <c r="Q897" s="280"/>
      <c r="R897" s="280"/>
      <c r="S897" s="694"/>
      <c r="T897" s="694"/>
      <c r="U897" s="694"/>
      <c r="V897" s="1"/>
      <c r="W897" s="1"/>
      <c r="X897" s="1"/>
      <c r="Y897" s="1"/>
      <c r="Z897" s="1"/>
    </row>
    <row r="898" ht="14.25" customHeight="1">
      <c r="A898" s="1"/>
      <c r="B898" s="694"/>
      <c r="C898" s="694"/>
      <c r="D898" s="694"/>
      <c r="E898" s="694"/>
      <c r="F898" s="694"/>
      <c r="G898" s="692"/>
      <c r="H898" s="694"/>
      <c r="I898" s="694"/>
      <c r="J898" s="692"/>
      <c r="K898" s="692"/>
      <c r="L898" s="694"/>
      <c r="M898" s="694"/>
      <c r="N898" s="694"/>
      <c r="O898" s="694"/>
      <c r="P898" s="280"/>
      <c r="Q898" s="280"/>
      <c r="R898" s="280"/>
      <c r="S898" s="694"/>
      <c r="T898" s="694"/>
      <c r="U898" s="694"/>
      <c r="V898" s="1"/>
      <c r="W898" s="1"/>
      <c r="X898" s="1"/>
      <c r="Y898" s="1"/>
      <c r="Z898" s="1"/>
    </row>
    <row r="899" ht="14.25" customHeight="1">
      <c r="A899" s="1"/>
      <c r="B899" s="694"/>
      <c r="C899" s="694"/>
      <c r="D899" s="694"/>
      <c r="E899" s="694"/>
      <c r="F899" s="694"/>
      <c r="G899" s="692"/>
      <c r="H899" s="694"/>
      <c r="I899" s="694"/>
      <c r="J899" s="692"/>
      <c r="K899" s="692"/>
      <c r="L899" s="694"/>
      <c r="M899" s="694"/>
      <c r="N899" s="694"/>
      <c r="O899" s="694"/>
      <c r="P899" s="280"/>
      <c r="Q899" s="280"/>
      <c r="R899" s="280"/>
      <c r="S899" s="694"/>
      <c r="T899" s="694"/>
      <c r="U899" s="694"/>
      <c r="V899" s="1"/>
      <c r="W899" s="1"/>
      <c r="X899" s="1"/>
      <c r="Y899" s="1"/>
      <c r="Z899" s="1"/>
    </row>
    <row r="900" ht="14.25" customHeight="1">
      <c r="A900" s="1"/>
      <c r="B900" s="694"/>
      <c r="C900" s="694"/>
      <c r="D900" s="694"/>
      <c r="E900" s="694"/>
      <c r="F900" s="694"/>
      <c r="G900" s="692"/>
      <c r="H900" s="694"/>
      <c r="I900" s="694"/>
      <c r="J900" s="692"/>
      <c r="K900" s="692"/>
      <c r="L900" s="694"/>
      <c r="M900" s="694"/>
      <c r="N900" s="694"/>
      <c r="O900" s="694"/>
      <c r="P900" s="280"/>
      <c r="Q900" s="280"/>
      <c r="R900" s="280"/>
      <c r="S900" s="694"/>
      <c r="T900" s="694"/>
      <c r="U900" s="694"/>
      <c r="V900" s="1"/>
      <c r="W900" s="1"/>
      <c r="X900" s="1"/>
      <c r="Y900" s="1"/>
      <c r="Z900" s="1"/>
    </row>
    <row r="901" ht="14.25" customHeight="1">
      <c r="A901" s="1"/>
      <c r="B901" s="694"/>
      <c r="C901" s="694"/>
      <c r="D901" s="694"/>
      <c r="E901" s="694"/>
      <c r="F901" s="694"/>
      <c r="G901" s="692"/>
      <c r="H901" s="694"/>
      <c r="I901" s="694"/>
      <c r="J901" s="692"/>
      <c r="K901" s="692"/>
      <c r="L901" s="694"/>
      <c r="M901" s="694"/>
      <c r="N901" s="694"/>
      <c r="O901" s="694"/>
      <c r="P901" s="280"/>
      <c r="Q901" s="280"/>
      <c r="R901" s="280"/>
      <c r="S901" s="694"/>
      <c r="T901" s="694"/>
      <c r="U901" s="694"/>
      <c r="V901" s="1"/>
      <c r="W901" s="1"/>
      <c r="X901" s="1"/>
      <c r="Y901" s="1"/>
      <c r="Z901" s="1"/>
    </row>
    <row r="902" ht="14.25" customHeight="1">
      <c r="A902" s="1"/>
      <c r="B902" s="694"/>
      <c r="C902" s="694"/>
      <c r="D902" s="694"/>
      <c r="E902" s="694"/>
      <c r="F902" s="694"/>
      <c r="G902" s="692"/>
      <c r="H902" s="694"/>
      <c r="I902" s="694"/>
      <c r="J902" s="692"/>
      <c r="K902" s="692"/>
      <c r="L902" s="694"/>
      <c r="M902" s="694"/>
      <c r="N902" s="694"/>
      <c r="O902" s="694"/>
      <c r="P902" s="280"/>
      <c r="Q902" s="280"/>
      <c r="R902" s="280"/>
      <c r="S902" s="694"/>
      <c r="T902" s="694"/>
      <c r="U902" s="694"/>
      <c r="V902" s="1"/>
      <c r="W902" s="1"/>
      <c r="X902" s="1"/>
      <c r="Y902" s="1"/>
      <c r="Z902" s="1"/>
    </row>
    <row r="903" ht="14.25" customHeight="1">
      <c r="A903" s="1"/>
      <c r="B903" s="694"/>
      <c r="C903" s="694"/>
      <c r="D903" s="694"/>
      <c r="E903" s="694"/>
      <c r="F903" s="694"/>
      <c r="G903" s="692"/>
      <c r="H903" s="694"/>
      <c r="I903" s="694"/>
      <c r="J903" s="692"/>
      <c r="K903" s="692"/>
      <c r="L903" s="694"/>
      <c r="M903" s="694"/>
      <c r="N903" s="694"/>
      <c r="O903" s="694"/>
      <c r="P903" s="280"/>
      <c r="Q903" s="280"/>
      <c r="R903" s="280"/>
      <c r="S903" s="694"/>
      <c r="T903" s="694"/>
      <c r="U903" s="694"/>
      <c r="V903" s="1"/>
      <c r="W903" s="1"/>
      <c r="X903" s="1"/>
      <c r="Y903" s="1"/>
      <c r="Z903" s="1"/>
    </row>
    <row r="904" ht="14.25" customHeight="1">
      <c r="A904" s="1"/>
      <c r="B904" s="694"/>
      <c r="C904" s="694"/>
      <c r="D904" s="694"/>
      <c r="E904" s="694"/>
      <c r="F904" s="694"/>
      <c r="G904" s="692"/>
      <c r="H904" s="694"/>
      <c r="I904" s="694"/>
      <c r="J904" s="692"/>
      <c r="K904" s="692"/>
      <c r="L904" s="694"/>
      <c r="M904" s="694"/>
      <c r="N904" s="694"/>
      <c r="O904" s="694"/>
      <c r="P904" s="280"/>
      <c r="Q904" s="280"/>
      <c r="R904" s="280"/>
      <c r="S904" s="694"/>
      <c r="T904" s="694"/>
      <c r="U904" s="694"/>
      <c r="V904" s="1"/>
      <c r="W904" s="1"/>
      <c r="X904" s="1"/>
      <c r="Y904" s="1"/>
      <c r="Z904" s="1"/>
    </row>
    <row r="905" ht="14.25" customHeight="1">
      <c r="A905" s="1"/>
      <c r="B905" s="694"/>
      <c r="C905" s="694"/>
      <c r="D905" s="694"/>
      <c r="E905" s="694"/>
      <c r="F905" s="694"/>
      <c r="G905" s="692"/>
      <c r="H905" s="694"/>
      <c r="I905" s="694"/>
      <c r="J905" s="692"/>
      <c r="K905" s="692"/>
      <c r="L905" s="694"/>
      <c r="M905" s="694"/>
      <c r="N905" s="694"/>
      <c r="O905" s="694"/>
      <c r="P905" s="280"/>
      <c r="Q905" s="280"/>
      <c r="R905" s="280"/>
      <c r="S905" s="694"/>
      <c r="T905" s="694"/>
      <c r="U905" s="694"/>
      <c r="V905" s="1"/>
      <c r="W905" s="1"/>
      <c r="X905" s="1"/>
      <c r="Y905" s="1"/>
      <c r="Z905" s="1"/>
    </row>
    <row r="906" ht="14.25" customHeight="1">
      <c r="A906" s="1"/>
      <c r="B906" s="694"/>
      <c r="C906" s="694"/>
      <c r="D906" s="694"/>
      <c r="E906" s="694"/>
      <c r="F906" s="694"/>
      <c r="G906" s="692"/>
      <c r="H906" s="694"/>
      <c r="I906" s="694"/>
      <c r="J906" s="692"/>
      <c r="K906" s="692"/>
      <c r="L906" s="694"/>
      <c r="M906" s="694"/>
      <c r="N906" s="694"/>
      <c r="O906" s="694"/>
      <c r="P906" s="280"/>
      <c r="Q906" s="280"/>
      <c r="R906" s="280"/>
      <c r="S906" s="694"/>
      <c r="T906" s="694"/>
      <c r="U906" s="694"/>
      <c r="V906" s="1"/>
      <c r="W906" s="1"/>
      <c r="X906" s="1"/>
      <c r="Y906" s="1"/>
      <c r="Z906" s="1"/>
    </row>
    <row r="907" ht="14.25" customHeight="1">
      <c r="A907" s="1"/>
      <c r="B907" s="694"/>
      <c r="C907" s="694"/>
      <c r="D907" s="694"/>
      <c r="E907" s="694"/>
      <c r="F907" s="694"/>
      <c r="G907" s="692"/>
      <c r="H907" s="694"/>
      <c r="I907" s="694"/>
      <c r="J907" s="692"/>
      <c r="K907" s="692"/>
      <c r="L907" s="694"/>
      <c r="M907" s="694"/>
      <c r="N907" s="694"/>
      <c r="O907" s="694"/>
      <c r="P907" s="280"/>
      <c r="Q907" s="280"/>
      <c r="R907" s="280"/>
      <c r="S907" s="694"/>
      <c r="T907" s="694"/>
      <c r="U907" s="694"/>
      <c r="V907" s="1"/>
      <c r="W907" s="1"/>
      <c r="X907" s="1"/>
      <c r="Y907" s="1"/>
      <c r="Z907" s="1"/>
    </row>
    <row r="908" ht="14.25" customHeight="1">
      <c r="A908" s="1"/>
      <c r="B908" s="694"/>
      <c r="C908" s="694"/>
      <c r="D908" s="694"/>
      <c r="E908" s="694"/>
      <c r="F908" s="694"/>
      <c r="G908" s="692"/>
      <c r="H908" s="694"/>
      <c r="I908" s="694"/>
      <c r="J908" s="692"/>
      <c r="K908" s="692"/>
      <c r="L908" s="694"/>
      <c r="M908" s="694"/>
      <c r="N908" s="694"/>
      <c r="O908" s="694"/>
      <c r="P908" s="280"/>
      <c r="Q908" s="280"/>
      <c r="R908" s="280"/>
      <c r="S908" s="694"/>
      <c r="T908" s="694"/>
      <c r="U908" s="694"/>
      <c r="V908" s="1"/>
      <c r="W908" s="1"/>
      <c r="X908" s="1"/>
      <c r="Y908" s="1"/>
      <c r="Z908" s="1"/>
    </row>
    <row r="909" ht="14.25" customHeight="1">
      <c r="A909" s="1"/>
      <c r="B909" s="694"/>
      <c r="C909" s="694"/>
      <c r="D909" s="694"/>
      <c r="E909" s="694"/>
      <c r="F909" s="694"/>
      <c r="G909" s="692"/>
      <c r="H909" s="694"/>
      <c r="I909" s="694"/>
      <c r="J909" s="692"/>
      <c r="K909" s="692"/>
      <c r="L909" s="694"/>
      <c r="M909" s="694"/>
      <c r="N909" s="694"/>
      <c r="O909" s="694"/>
      <c r="P909" s="280"/>
      <c r="Q909" s="280"/>
      <c r="R909" s="280"/>
      <c r="S909" s="694"/>
      <c r="T909" s="694"/>
      <c r="U909" s="694"/>
      <c r="V909" s="1"/>
      <c r="W909" s="1"/>
      <c r="X909" s="1"/>
      <c r="Y909" s="1"/>
      <c r="Z909" s="1"/>
    </row>
    <row r="910" ht="14.25" customHeight="1">
      <c r="A910" s="1"/>
      <c r="B910" s="694"/>
      <c r="C910" s="694"/>
      <c r="D910" s="694"/>
      <c r="E910" s="694"/>
      <c r="F910" s="694"/>
      <c r="G910" s="692"/>
      <c r="H910" s="694"/>
      <c r="I910" s="694"/>
      <c r="J910" s="692"/>
      <c r="K910" s="692"/>
      <c r="L910" s="694"/>
      <c r="M910" s="694"/>
      <c r="N910" s="694"/>
      <c r="O910" s="694"/>
      <c r="P910" s="280"/>
      <c r="Q910" s="280"/>
      <c r="R910" s="280"/>
      <c r="S910" s="694"/>
      <c r="T910" s="694"/>
      <c r="U910" s="694"/>
      <c r="V910" s="1"/>
      <c r="W910" s="1"/>
      <c r="X910" s="1"/>
      <c r="Y910" s="1"/>
      <c r="Z910" s="1"/>
    </row>
    <row r="911" ht="14.25" customHeight="1">
      <c r="A911" s="1"/>
      <c r="B911" s="694"/>
      <c r="C911" s="694"/>
      <c r="D911" s="694"/>
      <c r="E911" s="694"/>
      <c r="F911" s="694"/>
      <c r="G911" s="692"/>
      <c r="H911" s="694"/>
      <c r="I911" s="694"/>
      <c r="J911" s="692"/>
      <c r="K911" s="692"/>
      <c r="L911" s="694"/>
      <c r="M911" s="694"/>
      <c r="N911" s="694"/>
      <c r="O911" s="694"/>
      <c r="P911" s="280"/>
      <c r="Q911" s="280"/>
      <c r="R911" s="280"/>
      <c r="S911" s="694"/>
      <c r="T911" s="694"/>
      <c r="U911" s="694"/>
      <c r="V911" s="1"/>
      <c r="W911" s="1"/>
      <c r="X911" s="1"/>
      <c r="Y911" s="1"/>
      <c r="Z911" s="1"/>
    </row>
    <row r="912" ht="14.25" customHeight="1">
      <c r="A912" s="1"/>
      <c r="B912" s="694"/>
      <c r="C912" s="694"/>
      <c r="D912" s="694"/>
      <c r="E912" s="694"/>
      <c r="F912" s="694"/>
      <c r="G912" s="692"/>
      <c r="H912" s="694"/>
      <c r="I912" s="694"/>
      <c r="J912" s="692"/>
      <c r="K912" s="692"/>
      <c r="L912" s="694"/>
      <c r="M912" s="694"/>
      <c r="N912" s="694"/>
      <c r="O912" s="694"/>
      <c r="P912" s="280"/>
      <c r="Q912" s="280"/>
      <c r="R912" s="280"/>
      <c r="S912" s="694"/>
      <c r="T912" s="694"/>
      <c r="U912" s="694"/>
      <c r="V912" s="1"/>
      <c r="W912" s="1"/>
      <c r="X912" s="1"/>
      <c r="Y912" s="1"/>
      <c r="Z912" s="1"/>
    </row>
    <row r="913" ht="14.25" customHeight="1">
      <c r="A913" s="1"/>
      <c r="B913" s="694"/>
      <c r="C913" s="694"/>
      <c r="D913" s="694"/>
      <c r="E913" s="694"/>
      <c r="F913" s="694"/>
      <c r="G913" s="692"/>
      <c r="H913" s="694"/>
      <c r="I913" s="694"/>
      <c r="J913" s="692"/>
      <c r="K913" s="692"/>
      <c r="L913" s="694"/>
      <c r="M913" s="694"/>
      <c r="N913" s="694"/>
      <c r="O913" s="694"/>
      <c r="P913" s="280"/>
      <c r="Q913" s="280"/>
      <c r="R913" s="280"/>
      <c r="S913" s="694"/>
      <c r="T913" s="694"/>
      <c r="U913" s="694"/>
      <c r="V913" s="1"/>
      <c r="W913" s="1"/>
      <c r="X913" s="1"/>
      <c r="Y913" s="1"/>
      <c r="Z913" s="1"/>
    </row>
    <row r="914" ht="14.25" customHeight="1">
      <c r="A914" s="1"/>
      <c r="B914" s="694"/>
      <c r="C914" s="694"/>
      <c r="D914" s="694"/>
      <c r="E914" s="694"/>
      <c r="F914" s="694"/>
      <c r="G914" s="692"/>
      <c r="H914" s="694"/>
      <c r="I914" s="694"/>
      <c r="J914" s="692"/>
      <c r="K914" s="692"/>
      <c r="L914" s="694"/>
      <c r="M914" s="694"/>
      <c r="N914" s="694"/>
      <c r="O914" s="694"/>
      <c r="P914" s="280"/>
      <c r="Q914" s="280"/>
      <c r="R914" s="280"/>
      <c r="S914" s="694"/>
      <c r="T914" s="694"/>
      <c r="U914" s="694"/>
      <c r="V914" s="1"/>
      <c r="W914" s="1"/>
      <c r="X914" s="1"/>
      <c r="Y914" s="1"/>
      <c r="Z914" s="1"/>
    </row>
    <row r="915" ht="14.25" customHeight="1">
      <c r="A915" s="1"/>
      <c r="B915" s="694"/>
      <c r="C915" s="694"/>
      <c r="D915" s="694"/>
      <c r="E915" s="694"/>
      <c r="F915" s="694"/>
      <c r="G915" s="692"/>
      <c r="H915" s="694"/>
      <c r="I915" s="694"/>
      <c r="J915" s="692"/>
      <c r="K915" s="692"/>
      <c r="L915" s="694"/>
      <c r="M915" s="694"/>
      <c r="N915" s="694"/>
      <c r="O915" s="694"/>
      <c r="P915" s="280"/>
      <c r="Q915" s="280"/>
      <c r="R915" s="280"/>
      <c r="S915" s="694"/>
      <c r="T915" s="694"/>
      <c r="U915" s="694"/>
      <c r="V915" s="1"/>
      <c r="W915" s="1"/>
      <c r="X915" s="1"/>
      <c r="Y915" s="1"/>
      <c r="Z915" s="1"/>
    </row>
    <row r="916" ht="14.25" customHeight="1">
      <c r="A916" s="1"/>
      <c r="B916" s="694"/>
      <c r="C916" s="694"/>
      <c r="D916" s="694"/>
      <c r="E916" s="694"/>
      <c r="F916" s="694"/>
      <c r="G916" s="692"/>
      <c r="H916" s="694"/>
      <c r="I916" s="694"/>
      <c r="J916" s="692"/>
      <c r="K916" s="692"/>
      <c r="L916" s="694"/>
      <c r="M916" s="694"/>
      <c r="N916" s="694"/>
      <c r="O916" s="694"/>
      <c r="P916" s="280"/>
      <c r="Q916" s="280"/>
      <c r="R916" s="280"/>
      <c r="S916" s="694"/>
      <c r="T916" s="694"/>
      <c r="U916" s="694"/>
      <c r="V916" s="1"/>
      <c r="W916" s="1"/>
      <c r="X916" s="1"/>
      <c r="Y916" s="1"/>
      <c r="Z916" s="1"/>
    </row>
    <row r="917" ht="14.25" customHeight="1">
      <c r="A917" s="1"/>
      <c r="B917" s="694"/>
      <c r="C917" s="694"/>
      <c r="D917" s="694"/>
      <c r="E917" s="694"/>
      <c r="F917" s="694"/>
      <c r="G917" s="692"/>
      <c r="H917" s="694"/>
      <c r="I917" s="694"/>
      <c r="J917" s="692"/>
      <c r="K917" s="692"/>
      <c r="L917" s="694"/>
      <c r="M917" s="694"/>
      <c r="N917" s="694"/>
      <c r="O917" s="694"/>
      <c r="P917" s="280"/>
      <c r="Q917" s="280"/>
      <c r="R917" s="280"/>
      <c r="S917" s="694"/>
      <c r="T917" s="694"/>
      <c r="U917" s="694"/>
      <c r="V917" s="1"/>
      <c r="W917" s="1"/>
      <c r="X917" s="1"/>
      <c r="Y917" s="1"/>
      <c r="Z917" s="1"/>
    </row>
    <row r="918" ht="14.25" customHeight="1">
      <c r="A918" s="1"/>
      <c r="B918" s="694"/>
      <c r="C918" s="694"/>
      <c r="D918" s="694"/>
      <c r="E918" s="694"/>
      <c r="F918" s="694"/>
      <c r="G918" s="692"/>
      <c r="H918" s="694"/>
      <c r="I918" s="694"/>
      <c r="J918" s="692"/>
      <c r="K918" s="692"/>
      <c r="L918" s="694"/>
      <c r="M918" s="694"/>
      <c r="N918" s="694"/>
      <c r="O918" s="694"/>
      <c r="P918" s="280"/>
      <c r="Q918" s="280"/>
      <c r="R918" s="280"/>
      <c r="S918" s="694"/>
      <c r="T918" s="694"/>
      <c r="U918" s="694"/>
      <c r="V918" s="1"/>
      <c r="W918" s="1"/>
      <c r="X918" s="1"/>
      <c r="Y918" s="1"/>
      <c r="Z918" s="1"/>
    </row>
    <row r="919" ht="14.25" customHeight="1">
      <c r="A919" s="1"/>
      <c r="B919" s="694"/>
      <c r="C919" s="694"/>
      <c r="D919" s="694"/>
      <c r="E919" s="694"/>
      <c r="F919" s="694"/>
      <c r="G919" s="692"/>
      <c r="H919" s="694"/>
      <c r="I919" s="694"/>
      <c r="J919" s="692"/>
      <c r="K919" s="692"/>
      <c r="L919" s="694"/>
      <c r="M919" s="694"/>
      <c r="N919" s="694"/>
      <c r="O919" s="694"/>
      <c r="P919" s="280"/>
      <c r="Q919" s="280"/>
      <c r="R919" s="280"/>
      <c r="S919" s="694"/>
      <c r="T919" s="694"/>
      <c r="U919" s="694"/>
      <c r="V919" s="1"/>
      <c r="W919" s="1"/>
      <c r="X919" s="1"/>
      <c r="Y919" s="1"/>
      <c r="Z919" s="1"/>
    </row>
    <row r="920" ht="14.25" customHeight="1">
      <c r="A920" s="1"/>
      <c r="B920" s="694"/>
      <c r="C920" s="694"/>
      <c r="D920" s="694"/>
      <c r="E920" s="694"/>
      <c r="F920" s="694"/>
      <c r="G920" s="692"/>
      <c r="H920" s="694"/>
      <c r="I920" s="694"/>
      <c r="J920" s="692"/>
      <c r="K920" s="692"/>
      <c r="L920" s="694"/>
      <c r="M920" s="694"/>
      <c r="N920" s="694"/>
      <c r="O920" s="694"/>
      <c r="P920" s="280"/>
      <c r="Q920" s="280"/>
      <c r="R920" s="280"/>
      <c r="S920" s="694"/>
      <c r="T920" s="694"/>
      <c r="U920" s="694"/>
      <c r="V920" s="1"/>
      <c r="W920" s="1"/>
      <c r="X920" s="1"/>
      <c r="Y920" s="1"/>
      <c r="Z920" s="1"/>
    </row>
    <row r="921" ht="14.25" customHeight="1">
      <c r="A921" s="1"/>
      <c r="B921" s="694"/>
      <c r="C921" s="694"/>
      <c r="D921" s="694"/>
      <c r="E921" s="694"/>
      <c r="F921" s="694"/>
      <c r="G921" s="692"/>
      <c r="H921" s="694"/>
      <c r="I921" s="694"/>
      <c r="J921" s="692"/>
      <c r="K921" s="692"/>
      <c r="L921" s="694"/>
      <c r="M921" s="694"/>
      <c r="N921" s="694"/>
      <c r="O921" s="694"/>
      <c r="P921" s="280"/>
      <c r="Q921" s="280"/>
      <c r="R921" s="280"/>
      <c r="S921" s="694"/>
      <c r="T921" s="694"/>
      <c r="U921" s="694"/>
      <c r="V921" s="1"/>
      <c r="W921" s="1"/>
      <c r="X921" s="1"/>
      <c r="Y921" s="1"/>
      <c r="Z921" s="1"/>
    </row>
    <row r="922" ht="14.25" customHeight="1">
      <c r="A922" s="1"/>
      <c r="B922" s="694"/>
      <c r="C922" s="694"/>
      <c r="D922" s="694"/>
      <c r="E922" s="694"/>
      <c r="F922" s="694"/>
      <c r="G922" s="692"/>
      <c r="H922" s="694"/>
      <c r="I922" s="694"/>
      <c r="J922" s="692"/>
      <c r="K922" s="692"/>
      <c r="L922" s="694"/>
      <c r="M922" s="694"/>
      <c r="N922" s="694"/>
      <c r="O922" s="694"/>
      <c r="P922" s="280"/>
      <c r="Q922" s="280"/>
      <c r="R922" s="280"/>
      <c r="S922" s="694"/>
      <c r="T922" s="694"/>
      <c r="U922" s="694"/>
      <c r="V922" s="1"/>
      <c r="W922" s="1"/>
      <c r="X922" s="1"/>
      <c r="Y922" s="1"/>
      <c r="Z922" s="1"/>
    </row>
    <row r="923" ht="14.25" customHeight="1">
      <c r="A923" s="1"/>
      <c r="B923" s="694"/>
      <c r="C923" s="694"/>
      <c r="D923" s="694"/>
      <c r="E923" s="694"/>
      <c r="F923" s="694"/>
      <c r="G923" s="692"/>
      <c r="H923" s="694"/>
      <c r="I923" s="694"/>
      <c r="J923" s="692"/>
      <c r="K923" s="692"/>
      <c r="L923" s="694"/>
      <c r="M923" s="694"/>
      <c r="N923" s="694"/>
      <c r="O923" s="694"/>
      <c r="P923" s="280"/>
      <c r="Q923" s="280"/>
      <c r="R923" s="280"/>
      <c r="S923" s="694"/>
      <c r="T923" s="694"/>
      <c r="U923" s="694"/>
      <c r="V923" s="1"/>
      <c r="W923" s="1"/>
      <c r="X923" s="1"/>
      <c r="Y923" s="1"/>
      <c r="Z923" s="1"/>
    </row>
    <row r="924" ht="14.25" customHeight="1">
      <c r="A924" s="1"/>
      <c r="B924" s="694"/>
      <c r="C924" s="694"/>
      <c r="D924" s="694"/>
      <c r="E924" s="694"/>
      <c r="F924" s="694"/>
      <c r="G924" s="692"/>
      <c r="H924" s="694"/>
      <c r="I924" s="694"/>
      <c r="J924" s="692"/>
      <c r="K924" s="692"/>
      <c r="L924" s="694"/>
      <c r="M924" s="694"/>
      <c r="N924" s="694"/>
      <c r="O924" s="694"/>
      <c r="P924" s="280"/>
      <c r="Q924" s="280"/>
      <c r="R924" s="280"/>
      <c r="S924" s="694"/>
      <c r="T924" s="694"/>
      <c r="U924" s="694"/>
      <c r="V924" s="1"/>
      <c r="W924" s="1"/>
      <c r="X924" s="1"/>
      <c r="Y924" s="1"/>
      <c r="Z924" s="1"/>
    </row>
    <row r="925" ht="14.25" customHeight="1">
      <c r="A925" s="1"/>
      <c r="B925" s="694"/>
      <c r="C925" s="694"/>
      <c r="D925" s="694"/>
      <c r="E925" s="694"/>
      <c r="F925" s="694"/>
      <c r="G925" s="692"/>
      <c r="H925" s="694"/>
      <c r="I925" s="694"/>
      <c r="J925" s="692"/>
      <c r="K925" s="692"/>
      <c r="L925" s="694"/>
      <c r="M925" s="694"/>
      <c r="N925" s="694"/>
      <c r="O925" s="694"/>
      <c r="P925" s="280"/>
      <c r="Q925" s="280"/>
      <c r="R925" s="280"/>
      <c r="S925" s="694"/>
      <c r="T925" s="694"/>
      <c r="U925" s="694"/>
      <c r="V925" s="1"/>
      <c r="W925" s="1"/>
      <c r="X925" s="1"/>
      <c r="Y925" s="1"/>
      <c r="Z925" s="1"/>
    </row>
    <row r="926" ht="14.25" customHeight="1">
      <c r="A926" s="1"/>
      <c r="B926" s="694"/>
      <c r="C926" s="694"/>
      <c r="D926" s="694"/>
      <c r="E926" s="694"/>
      <c r="F926" s="694"/>
      <c r="G926" s="692"/>
      <c r="H926" s="694"/>
      <c r="I926" s="694"/>
      <c r="J926" s="692"/>
      <c r="K926" s="692"/>
      <c r="L926" s="694"/>
      <c r="M926" s="694"/>
      <c r="N926" s="694"/>
      <c r="O926" s="694"/>
      <c r="P926" s="280"/>
      <c r="Q926" s="280"/>
      <c r="R926" s="280"/>
      <c r="S926" s="694"/>
      <c r="T926" s="694"/>
      <c r="U926" s="694"/>
      <c r="V926" s="1"/>
      <c r="W926" s="1"/>
      <c r="X926" s="1"/>
      <c r="Y926" s="1"/>
      <c r="Z926" s="1"/>
    </row>
    <row r="927" ht="14.25" customHeight="1">
      <c r="A927" s="1"/>
      <c r="B927" s="694"/>
      <c r="C927" s="694"/>
      <c r="D927" s="694"/>
      <c r="E927" s="694"/>
      <c r="F927" s="694"/>
      <c r="G927" s="692"/>
      <c r="H927" s="694"/>
      <c r="I927" s="694"/>
      <c r="J927" s="692"/>
      <c r="K927" s="692"/>
      <c r="L927" s="694"/>
      <c r="M927" s="694"/>
      <c r="N927" s="694"/>
      <c r="O927" s="694"/>
      <c r="P927" s="280"/>
      <c r="Q927" s="280"/>
      <c r="R927" s="280"/>
      <c r="S927" s="694"/>
      <c r="T927" s="694"/>
      <c r="U927" s="694"/>
      <c r="V927" s="1"/>
      <c r="W927" s="1"/>
      <c r="X927" s="1"/>
      <c r="Y927" s="1"/>
      <c r="Z927" s="1"/>
    </row>
    <row r="928" ht="14.25" customHeight="1">
      <c r="A928" s="1"/>
      <c r="B928" s="694"/>
      <c r="C928" s="694"/>
      <c r="D928" s="694"/>
      <c r="E928" s="694"/>
      <c r="F928" s="694"/>
      <c r="G928" s="692"/>
      <c r="H928" s="694"/>
      <c r="I928" s="694"/>
      <c r="J928" s="692"/>
      <c r="K928" s="692"/>
      <c r="L928" s="694"/>
      <c r="M928" s="694"/>
      <c r="N928" s="694"/>
      <c r="O928" s="694"/>
      <c r="P928" s="280"/>
      <c r="Q928" s="280"/>
      <c r="R928" s="280"/>
      <c r="S928" s="694"/>
      <c r="T928" s="694"/>
      <c r="U928" s="694"/>
      <c r="V928" s="1"/>
      <c r="W928" s="1"/>
      <c r="X928" s="1"/>
      <c r="Y928" s="1"/>
      <c r="Z928" s="1"/>
    </row>
    <row r="929" ht="14.25" customHeight="1">
      <c r="A929" s="1"/>
      <c r="B929" s="694"/>
      <c r="C929" s="694"/>
      <c r="D929" s="694"/>
      <c r="E929" s="694"/>
      <c r="F929" s="694"/>
      <c r="G929" s="692"/>
      <c r="H929" s="694"/>
      <c r="I929" s="694"/>
      <c r="J929" s="692"/>
      <c r="K929" s="692"/>
      <c r="L929" s="694"/>
      <c r="M929" s="694"/>
      <c r="N929" s="694"/>
      <c r="O929" s="694"/>
      <c r="P929" s="280"/>
      <c r="Q929" s="280"/>
      <c r="R929" s="280"/>
      <c r="S929" s="694"/>
      <c r="T929" s="694"/>
      <c r="U929" s="694"/>
      <c r="V929" s="1"/>
      <c r="W929" s="1"/>
      <c r="X929" s="1"/>
      <c r="Y929" s="1"/>
      <c r="Z929" s="1"/>
    </row>
    <row r="930" ht="14.25" customHeight="1">
      <c r="A930" s="1"/>
      <c r="B930" s="694"/>
      <c r="C930" s="694"/>
      <c r="D930" s="694"/>
      <c r="E930" s="694"/>
      <c r="F930" s="694"/>
      <c r="G930" s="692"/>
      <c r="H930" s="694"/>
      <c r="I930" s="694"/>
      <c r="J930" s="692"/>
      <c r="K930" s="692"/>
      <c r="L930" s="694"/>
      <c r="M930" s="694"/>
      <c r="N930" s="694"/>
      <c r="O930" s="694"/>
      <c r="P930" s="280"/>
      <c r="Q930" s="280"/>
      <c r="R930" s="280"/>
      <c r="S930" s="694"/>
      <c r="T930" s="694"/>
      <c r="U930" s="694"/>
      <c r="V930" s="1"/>
      <c r="W930" s="1"/>
      <c r="X930" s="1"/>
      <c r="Y930" s="1"/>
      <c r="Z930" s="1"/>
    </row>
    <row r="931" ht="14.25" customHeight="1">
      <c r="A931" s="1"/>
      <c r="B931" s="694"/>
      <c r="C931" s="694"/>
      <c r="D931" s="694"/>
      <c r="E931" s="694"/>
      <c r="F931" s="694"/>
      <c r="G931" s="692"/>
      <c r="H931" s="694"/>
      <c r="I931" s="694"/>
      <c r="J931" s="692"/>
      <c r="K931" s="692"/>
      <c r="L931" s="694"/>
      <c r="M931" s="694"/>
      <c r="N931" s="694"/>
      <c r="O931" s="694"/>
      <c r="P931" s="280"/>
      <c r="Q931" s="280"/>
      <c r="R931" s="280"/>
      <c r="S931" s="694"/>
      <c r="T931" s="694"/>
      <c r="U931" s="694"/>
      <c r="V931" s="1"/>
      <c r="W931" s="1"/>
      <c r="X931" s="1"/>
      <c r="Y931" s="1"/>
      <c r="Z931" s="1"/>
    </row>
    <row r="932" ht="14.25" customHeight="1">
      <c r="A932" s="1"/>
      <c r="B932" s="694"/>
      <c r="C932" s="694"/>
      <c r="D932" s="694"/>
      <c r="E932" s="694"/>
      <c r="F932" s="694"/>
      <c r="G932" s="692"/>
      <c r="H932" s="694"/>
      <c r="I932" s="694"/>
      <c r="J932" s="692"/>
      <c r="K932" s="692"/>
      <c r="L932" s="694"/>
      <c r="M932" s="694"/>
      <c r="N932" s="694"/>
      <c r="O932" s="694"/>
      <c r="P932" s="280"/>
      <c r="Q932" s="280"/>
      <c r="R932" s="280"/>
      <c r="S932" s="694"/>
      <c r="T932" s="694"/>
      <c r="U932" s="694"/>
      <c r="V932" s="1"/>
      <c r="W932" s="1"/>
      <c r="X932" s="1"/>
      <c r="Y932" s="1"/>
      <c r="Z932" s="1"/>
    </row>
    <row r="933" ht="14.25" customHeight="1">
      <c r="A933" s="1"/>
      <c r="B933" s="694"/>
      <c r="C933" s="694"/>
      <c r="D933" s="694"/>
      <c r="E933" s="694"/>
      <c r="F933" s="694"/>
      <c r="G933" s="692"/>
      <c r="H933" s="694"/>
      <c r="I933" s="694"/>
      <c r="J933" s="692"/>
      <c r="K933" s="692"/>
      <c r="L933" s="694"/>
      <c r="M933" s="694"/>
      <c r="N933" s="694"/>
      <c r="O933" s="694"/>
      <c r="P933" s="280"/>
      <c r="Q933" s="280"/>
      <c r="R933" s="280"/>
      <c r="S933" s="694"/>
      <c r="T933" s="694"/>
      <c r="U933" s="694"/>
      <c r="V933" s="1"/>
      <c r="W933" s="1"/>
      <c r="X933" s="1"/>
      <c r="Y933" s="1"/>
      <c r="Z933" s="1"/>
    </row>
    <row r="934" ht="14.25" customHeight="1">
      <c r="A934" s="1"/>
      <c r="B934" s="694"/>
      <c r="C934" s="694"/>
      <c r="D934" s="694"/>
      <c r="E934" s="694"/>
      <c r="F934" s="694"/>
      <c r="G934" s="692"/>
      <c r="H934" s="694"/>
      <c r="I934" s="694"/>
      <c r="J934" s="692"/>
      <c r="K934" s="692"/>
      <c r="L934" s="694"/>
      <c r="M934" s="694"/>
      <c r="N934" s="694"/>
      <c r="O934" s="694"/>
      <c r="P934" s="280"/>
      <c r="Q934" s="280"/>
      <c r="R934" s="280"/>
      <c r="S934" s="694"/>
      <c r="T934" s="694"/>
      <c r="U934" s="694"/>
      <c r="V934" s="1"/>
      <c r="W934" s="1"/>
      <c r="X934" s="1"/>
      <c r="Y934" s="1"/>
      <c r="Z934" s="1"/>
    </row>
    <row r="935" ht="14.25" customHeight="1">
      <c r="A935" s="1"/>
      <c r="B935" s="694"/>
      <c r="C935" s="694"/>
      <c r="D935" s="694"/>
      <c r="E935" s="694"/>
      <c r="F935" s="694"/>
      <c r="G935" s="692"/>
      <c r="H935" s="694"/>
      <c r="I935" s="694"/>
      <c r="J935" s="692"/>
      <c r="K935" s="692"/>
      <c r="L935" s="694"/>
      <c r="M935" s="694"/>
      <c r="N935" s="694"/>
      <c r="O935" s="694"/>
      <c r="P935" s="280"/>
      <c r="Q935" s="280"/>
      <c r="R935" s="280"/>
      <c r="S935" s="694"/>
      <c r="T935" s="694"/>
      <c r="U935" s="694"/>
      <c r="V935" s="1"/>
      <c r="W935" s="1"/>
      <c r="X935" s="1"/>
      <c r="Y935" s="1"/>
      <c r="Z935" s="1"/>
    </row>
    <row r="936" ht="14.25" customHeight="1">
      <c r="A936" s="1"/>
      <c r="B936" s="694"/>
      <c r="C936" s="694"/>
      <c r="D936" s="694"/>
      <c r="E936" s="694"/>
      <c r="F936" s="694"/>
      <c r="G936" s="692"/>
      <c r="H936" s="694"/>
      <c r="I936" s="694"/>
      <c r="J936" s="692"/>
      <c r="K936" s="692"/>
      <c r="L936" s="694"/>
      <c r="M936" s="694"/>
      <c r="N936" s="694"/>
      <c r="O936" s="694"/>
      <c r="P936" s="280"/>
      <c r="Q936" s="280"/>
      <c r="R936" s="280"/>
      <c r="S936" s="694"/>
      <c r="T936" s="694"/>
      <c r="U936" s="694"/>
      <c r="V936" s="1"/>
      <c r="W936" s="1"/>
      <c r="X936" s="1"/>
      <c r="Y936" s="1"/>
      <c r="Z936" s="1"/>
    </row>
    <row r="937" ht="14.25" customHeight="1">
      <c r="A937" s="1"/>
      <c r="B937" s="694"/>
      <c r="C937" s="694"/>
      <c r="D937" s="694"/>
      <c r="E937" s="694"/>
      <c r="F937" s="694"/>
      <c r="G937" s="692"/>
      <c r="H937" s="694"/>
      <c r="I937" s="694"/>
      <c r="J937" s="692"/>
      <c r="K937" s="692"/>
      <c r="L937" s="694"/>
      <c r="M937" s="694"/>
      <c r="N937" s="694"/>
      <c r="O937" s="694"/>
      <c r="P937" s="280"/>
      <c r="Q937" s="280"/>
      <c r="R937" s="280"/>
      <c r="S937" s="694"/>
      <c r="T937" s="694"/>
      <c r="U937" s="694"/>
      <c r="V937" s="1"/>
      <c r="W937" s="1"/>
      <c r="X937" s="1"/>
      <c r="Y937" s="1"/>
      <c r="Z937" s="1"/>
    </row>
    <row r="938" ht="14.25" customHeight="1">
      <c r="A938" s="1"/>
      <c r="B938" s="694"/>
      <c r="C938" s="694"/>
      <c r="D938" s="694"/>
      <c r="E938" s="694"/>
      <c r="F938" s="694"/>
      <c r="G938" s="692"/>
      <c r="H938" s="694"/>
      <c r="I938" s="694"/>
      <c r="J938" s="692"/>
      <c r="K938" s="692"/>
      <c r="L938" s="694"/>
      <c r="M938" s="694"/>
      <c r="N938" s="694"/>
      <c r="O938" s="694"/>
      <c r="P938" s="280"/>
      <c r="Q938" s="280"/>
      <c r="R938" s="280"/>
      <c r="S938" s="694"/>
      <c r="T938" s="694"/>
      <c r="U938" s="694"/>
      <c r="V938" s="1"/>
      <c r="W938" s="1"/>
      <c r="X938" s="1"/>
      <c r="Y938" s="1"/>
      <c r="Z938" s="1"/>
    </row>
    <row r="939" ht="14.25" customHeight="1">
      <c r="A939" s="1"/>
      <c r="B939" s="694"/>
      <c r="C939" s="694"/>
      <c r="D939" s="694"/>
      <c r="E939" s="694"/>
      <c r="F939" s="694"/>
      <c r="G939" s="692"/>
      <c r="H939" s="694"/>
      <c r="I939" s="694"/>
      <c r="J939" s="692"/>
      <c r="K939" s="692"/>
      <c r="L939" s="694"/>
      <c r="M939" s="694"/>
      <c r="N939" s="694"/>
      <c r="O939" s="694"/>
      <c r="P939" s="280"/>
      <c r="Q939" s="280"/>
      <c r="R939" s="280"/>
      <c r="S939" s="694"/>
      <c r="T939" s="694"/>
      <c r="U939" s="694"/>
      <c r="V939" s="1"/>
      <c r="W939" s="1"/>
      <c r="X939" s="1"/>
      <c r="Y939" s="1"/>
      <c r="Z939" s="1"/>
    </row>
    <row r="940" ht="14.25" customHeight="1">
      <c r="A940" s="1"/>
      <c r="B940" s="694"/>
      <c r="C940" s="694"/>
      <c r="D940" s="694"/>
      <c r="E940" s="694"/>
      <c r="F940" s="694"/>
      <c r="G940" s="692"/>
      <c r="H940" s="694"/>
      <c r="I940" s="694"/>
      <c r="J940" s="692"/>
      <c r="K940" s="692"/>
      <c r="L940" s="694"/>
      <c r="M940" s="694"/>
      <c r="N940" s="694"/>
      <c r="O940" s="694"/>
      <c r="P940" s="280"/>
      <c r="Q940" s="280"/>
      <c r="R940" s="280"/>
      <c r="S940" s="694"/>
      <c r="T940" s="694"/>
      <c r="U940" s="694"/>
      <c r="V940" s="1"/>
      <c r="W940" s="1"/>
      <c r="X940" s="1"/>
      <c r="Y940" s="1"/>
      <c r="Z940" s="1"/>
    </row>
    <row r="941" ht="14.25" customHeight="1">
      <c r="A941" s="1"/>
      <c r="B941" s="694"/>
      <c r="C941" s="694"/>
      <c r="D941" s="694"/>
      <c r="E941" s="694"/>
      <c r="F941" s="694"/>
      <c r="G941" s="692"/>
      <c r="H941" s="694"/>
      <c r="I941" s="694"/>
      <c r="J941" s="692"/>
      <c r="K941" s="692"/>
      <c r="L941" s="694"/>
      <c r="M941" s="694"/>
      <c r="N941" s="694"/>
      <c r="O941" s="694"/>
      <c r="P941" s="280"/>
      <c r="Q941" s="280"/>
      <c r="R941" s="280"/>
      <c r="S941" s="694"/>
      <c r="T941" s="694"/>
      <c r="U941" s="694"/>
      <c r="V941" s="1"/>
      <c r="W941" s="1"/>
      <c r="X941" s="1"/>
      <c r="Y941" s="1"/>
      <c r="Z941" s="1"/>
    </row>
    <row r="942" ht="14.25" customHeight="1">
      <c r="A942" s="1"/>
      <c r="B942" s="694"/>
      <c r="C942" s="694"/>
      <c r="D942" s="694"/>
      <c r="E942" s="694"/>
      <c r="F942" s="694"/>
      <c r="G942" s="692"/>
      <c r="H942" s="694"/>
      <c r="I942" s="694"/>
      <c r="J942" s="692"/>
      <c r="K942" s="692"/>
      <c r="L942" s="694"/>
      <c r="M942" s="694"/>
      <c r="N942" s="694"/>
      <c r="O942" s="694"/>
      <c r="P942" s="280"/>
      <c r="Q942" s="280"/>
      <c r="R942" s="280"/>
      <c r="S942" s="694"/>
      <c r="T942" s="694"/>
      <c r="U942" s="694"/>
      <c r="V942" s="1"/>
      <c r="W942" s="1"/>
      <c r="X942" s="1"/>
      <c r="Y942" s="1"/>
      <c r="Z942" s="1"/>
    </row>
    <row r="943" ht="14.25" customHeight="1">
      <c r="A943" s="1"/>
      <c r="B943" s="694"/>
      <c r="C943" s="694"/>
      <c r="D943" s="694"/>
      <c r="E943" s="694"/>
      <c r="F943" s="694"/>
      <c r="G943" s="692"/>
      <c r="H943" s="694"/>
      <c r="I943" s="694"/>
      <c r="J943" s="692"/>
      <c r="K943" s="692"/>
      <c r="L943" s="694"/>
      <c r="M943" s="694"/>
      <c r="N943" s="694"/>
      <c r="O943" s="694"/>
      <c r="P943" s="280"/>
      <c r="Q943" s="280"/>
      <c r="R943" s="280"/>
      <c r="S943" s="694"/>
      <c r="T943" s="694"/>
      <c r="U943" s="694"/>
      <c r="V943" s="1"/>
      <c r="W943" s="1"/>
      <c r="X943" s="1"/>
      <c r="Y943" s="1"/>
      <c r="Z943" s="1"/>
    </row>
    <row r="944" ht="14.25" customHeight="1">
      <c r="A944" s="1"/>
      <c r="B944" s="694"/>
      <c r="C944" s="694"/>
      <c r="D944" s="694"/>
      <c r="E944" s="694"/>
      <c r="F944" s="694"/>
      <c r="G944" s="692"/>
      <c r="H944" s="694"/>
      <c r="I944" s="694"/>
      <c r="J944" s="692"/>
      <c r="K944" s="692"/>
      <c r="L944" s="694"/>
      <c r="M944" s="694"/>
      <c r="N944" s="694"/>
      <c r="O944" s="694"/>
      <c r="P944" s="280"/>
      <c r="Q944" s="280"/>
      <c r="R944" s="280"/>
      <c r="S944" s="694"/>
      <c r="T944" s="694"/>
      <c r="U944" s="694"/>
      <c r="V944" s="1"/>
      <c r="W944" s="1"/>
      <c r="X944" s="1"/>
      <c r="Y944" s="1"/>
      <c r="Z944" s="1"/>
    </row>
    <row r="945" ht="14.25" customHeight="1">
      <c r="A945" s="1"/>
      <c r="B945" s="694"/>
      <c r="C945" s="694"/>
      <c r="D945" s="694"/>
      <c r="E945" s="694"/>
      <c r="F945" s="694"/>
      <c r="G945" s="692"/>
      <c r="H945" s="694"/>
      <c r="I945" s="694"/>
      <c r="J945" s="692"/>
      <c r="K945" s="692"/>
      <c r="L945" s="694"/>
      <c r="M945" s="694"/>
      <c r="N945" s="694"/>
      <c r="O945" s="694"/>
      <c r="P945" s="280"/>
      <c r="Q945" s="280"/>
      <c r="R945" s="280"/>
      <c r="S945" s="694"/>
      <c r="T945" s="694"/>
      <c r="U945" s="694"/>
      <c r="V945" s="1"/>
      <c r="W945" s="1"/>
      <c r="X945" s="1"/>
      <c r="Y945" s="1"/>
      <c r="Z945" s="1"/>
    </row>
    <row r="946" ht="14.25" customHeight="1">
      <c r="A946" s="1"/>
      <c r="B946" s="694"/>
      <c r="C946" s="694"/>
      <c r="D946" s="694"/>
      <c r="E946" s="694"/>
      <c r="F946" s="694"/>
      <c r="G946" s="692"/>
      <c r="H946" s="694"/>
      <c r="I946" s="694"/>
      <c r="J946" s="692"/>
      <c r="K946" s="692"/>
      <c r="L946" s="694"/>
      <c r="M946" s="694"/>
      <c r="N946" s="694"/>
      <c r="O946" s="694"/>
      <c r="P946" s="280"/>
      <c r="Q946" s="280"/>
      <c r="R946" s="280"/>
      <c r="S946" s="694"/>
      <c r="T946" s="694"/>
      <c r="U946" s="694"/>
      <c r="V946" s="1"/>
      <c r="W946" s="1"/>
      <c r="X946" s="1"/>
      <c r="Y946" s="1"/>
      <c r="Z946" s="1"/>
    </row>
    <row r="947" ht="14.25" customHeight="1">
      <c r="A947" s="1"/>
      <c r="B947" s="694"/>
      <c r="C947" s="694"/>
      <c r="D947" s="694"/>
      <c r="E947" s="694"/>
      <c r="F947" s="694"/>
      <c r="G947" s="692"/>
      <c r="H947" s="694"/>
      <c r="I947" s="694"/>
      <c r="J947" s="692"/>
      <c r="K947" s="692"/>
      <c r="L947" s="694"/>
      <c r="M947" s="694"/>
      <c r="N947" s="694"/>
      <c r="O947" s="694"/>
      <c r="P947" s="280"/>
      <c r="Q947" s="280"/>
      <c r="R947" s="280"/>
      <c r="S947" s="694"/>
      <c r="T947" s="694"/>
      <c r="U947" s="694"/>
      <c r="V947" s="1"/>
      <c r="W947" s="1"/>
      <c r="X947" s="1"/>
      <c r="Y947" s="1"/>
      <c r="Z947" s="1"/>
    </row>
    <row r="948" ht="14.25" customHeight="1">
      <c r="A948" s="1"/>
      <c r="B948" s="694"/>
      <c r="C948" s="694"/>
      <c r="D948" s="694"/>
      <c r="E948" s="694"/>
      <c r="F948" s="694"/>
      <c r="G948" s="692"/>
      <c r="H948" s="694"/>
      <c r="I948" s="694"/>
      <c r="J948" s="692"/>
      <c r="K948" s="692"/>
      <c r="L948" s="694"/>
      <c r="M948" s="694"/>
      <c r="N948" s="694"/>
      <c r="O948" s="694"/>
      <c r="P948" s="280"/>
      <c r="Q948" s="280"/>
      <c r="R948" s="280"/>
      <c r="S948" s="694"/>
      <c r="T948" s="694"/>
      <c r="U948" s="694"/>
      <c r="V948" s="1"/>
      <c r="W948" s="1"/>
      <c r="X948" s="1"/>
      <c r="Y948" s="1"/>
      <c r="Z948" s="1"/>
    </row>
    <row r="949" ht="14.25" customHeight="1">
      <c r="A949" s="1"/>
      <c r="B949" s="694"/>
      <c r="C949" s="694"/>
      <c r="D949" s="694"/>
      <c r="E949" s="694"/>
      <c r="F949" s="694"/>
      <c r="G949" s="692"/>
      <c r="H949" s="694"/>
      <c r="I949" s="694"/>
      <c r="J949" s="692"/>
      <c r="K949" s="692"/>
      <c r="L949" s="694"/>
      <c r="M949" s="694"/>
      <c r="N949" s="694"/>
      <c r="O949" s="694"/>
      <c r="P949" s="280"/>
      <c r="Q949" s="280"/>
      <c r="R949" s="280"/>
      <c r="S949" s="694"/>
      <c r="T949" s="694"/>
      <c r="U949" s="694"/>
      <c r="V949" s="1"/>
      <c r="W949" s="1"/>
      <c r="X949" s="1"/>
      <c r="Y949" s="1"/>
      <c r="Z949" s="1"/>
    </row>
    <row r="950" ht="14.25" customHeight="1">
      <c r="A950" s="1"/>
      <c r="B950" s="694"/>
      <c r="C950" s="694"/>
      <c r="D950" s="694"/>
      <c r="E950" s="694"/>
      <c r="F950" s="694"/>
      <c r="G950" s="692"/>
      <c r="H950" s="694"/>
      <c r="I950" s="694"/>
      <c r="J950" s="692"/>
      <c r="K950" s="692"/>
      <c r="L950" s="694"/>
      <c r="M950" s="694"/>
      <c r="N950" s="694"/>
      <c r="O950" s="694"/>
      <c r="P950" s="280"/>
      <c r="Q950" s="280"/>
      <c r="R950" s="280"/>
      <c r="S950" s="694"/>
      <c r="T950" s="694"/>
      <c r="U950" s="694"/>
      <c r="V950" s="1"/>
      <c r="W950" s="1"/>
      <c r="X950" s="1"/>
      <c r="Y950" s="1"/>
      <c r="Z950" s="1"/>
    </row>
    <row r="951" ht="14.25" customHeight="1">
      <c r="A951" s="1"/>
      <c r="B951" s="694"/>
      <c r="C951" s="694"/>
      <c r="D951" s="694"/>
      <c r="E951" s="694"/>
      <c r="F951" s="694"/>
      <c r="G951" s="692"/>
      <c r="H951" s="694"/>
      <c r="I951" s="694"/>
      <c r="J951" s="692"/>
      <c r="K951" s="692"/>
      <c r="L951" s="694"/>
      <c r="M951" s="694"/>
      <c r="N951" s="694"/>
      <c r="O951" s="694"/>
      <c r="P951" s="280"/>
      <c r="Q951" s="280"/>
      <c r="R951" s="280"/>
      <c r="S951" s="694"/>
      <c r="T951" s="694"/>
      <c r="U951" s="694"/>
      <c r="V951" s="1"/>
      <c r="W951" s="1"/>
      <c r="X951" s="1"/>
      <c r="Y951" s="1"/>
      <c r="Z951" s="1"/>
    </row>
    <row r="952" ht="14.25" customHeight="1">
      <c r="A952" s="1"/>
      <c r="B952" s="694"/>
      <c r="C952" s="694"/>
      <c r="D952" s="694"/>
      <c r="E952" s="694"/>
      <c r="F952" s="694"/>
      <c r="G952" s="692"/>
      <c r="H952" s="694"/>
      <c r="I952" s="694"/>
      <c r="J952" s="692"/>
      <c r="K952" s="692"/>
      <c r="L952" s="694"/>
      <c r="M952" s="694"/>
      <c r="N952" s="694"/>
      <c r="O952" s="694"/>
      <c r="P952" s="280"/>
      <c r="Q952" s="280"/>
      <c r="R952" s="280"/>
      <c r="S952" s="694"/>
      <c r="T952" s="694"/>
      <c r="U952" s="694"/>
      <c r="V952" s="1"/>
      <c r="W952" s="1"/>
      <c r="X952" s="1"/>
      <c r="Y952" s="1"/>
      <c r="Z952" s="1"/>
    </row>
    <row r="953" ht="14.25" customHeight="1">
      <c r="A953" s="1"/>
      <c r="B953" s="694"/>
      <c r="C953" s="694"/>
      <c r="D953" s="694"/>
      <c r="E953" s="694"/>
      <c r="F953" s="694"/>
      <c r="G953" s="692"/>
      <c r="H953" s="694"/>
      <c r="I953" s="694"/>
      <c r="J953" s="692"/>
      <c r="K953" s="692"/>
      <c r="L953" s="694"/>
      <c r="M953" s="694"/>
      <c r="N953" s="694"/>
      <c r="O953" s="694"/>
      <c r="P953" s="280"/>
      <c r="Q953" s="280"/>
      <c r="R953" s="280"/>
      <c r="S953" s="694"/>
      <c r="T953" s="694"/>
      <c r="U953" s="694"/>
      <c r="V953" s="1"/>
      <c r="W953" s="1"/>
      <c r="X953" s="1"/>
      <c r="Y953" s="1"/>
      <c r="Z953" s="1"/>
    </row>
    <row r="954" ht="14.25" customHeight="1">
      <c r="A954" s="1"/>
      <c r="B954" s="694"/>
      <c r="C954" s="694"/>
      <c r="D954" s="694"/>
      <c r="E954" s="694"/>
      <c r="F954" s="694"/>
      <c r="G954" s="692"/>
      <c r="H954" s="694"/>
      <c r="I954" s="694"/>
      <c r="J954" s="692"/>
      <c r="K954" s="692"/>
      <c r="L954" s="694"/>
      <c r="M954" s="694"/>
      <c r="N954" s="694"/>
      <c r="O954" s="694"/>
      <c r="P954" s="280"/>
      <c r="Q954" s="280"/>
      <c r="R954" s="280"/>
      <c r="S954" s="694"/>
      <c r="T954" s="694"/>
      <c r="U954" s="694"/>
      <c r="V954" s="1"/>
      <c r="W954" s="1"/>
      <c r="X954" s="1"/>
      <c r="Y954" s="1"/>
      <c r="Z954" s="1"/>
    </row>
    <row r="955" ht="14.25" customHeight="1">
      <c r="A955" s="1"/>
      <c r="B955" s="694"/>
      <c r="C955" s="694"/>
      <c r="D955" s="694"/>
      <c r="E955" s="694"/>
      <c r="F955" s="694"/>
      <c r="G955" s="692"/>
      <c r="H955" s="694"/>
      <c r="I955" s="694"/>
      <c r="J955" s="692"/>
      <c r="K955" s="692"/>
      <c r="L955" s="694"/>
      <c r="M955" s="694"/>
      <c r="N955" s="694"/>
      <c r="O955" s="694"/>
      <c r="P955" s="280"/>
      <c r="Q955" s="280"/>
      <c r="R955" s="280"/>
      <c r="S955" s="694"/>
      <c r="T955" s="694"/>
      <c r="U955" s="694"/>
      <c r="V955" s="1"/>
      <c r="W955" s="1"/>
      <c r="X955" s="1"/>
      <c r="Y955" s="1"/>
      <c r="Z955" s="1"/>
    </row>
    <row r="956" ht="14.25" customHeight="1">
      <c r="A956" s="1"/>
      <c r="B956" s="694"/>
      <c r="C956" s="694"/>
      <c r="D956" s="694"/>
      <c r="E956" s="694"/>
      <c r="F956" s="694"/>
      <c r="G956" s="692"/>
      <c r="H956" s="694"/>
      <c r="I956" s="694"/>
      <c r="J956" s="692"/>
      <c r="K956" s="692"/>
      <c r="L956" s="694"/>
      <c r="M956" s="694"/>
      <c r="N956" s="694"/>
      <c r="O956" s="694"/>
      <c r="P956" s="280"/>
      <c r="Q956" s="280"/>
      <c r="R956" s="280"/>
      <c r="S956" s="694"/>
      <c r="T956" s="694"/>
      <c r="U956" s="694"/>
      <c r="V956" s="1"/>
      <c r="W956" s="1"/>
      <c r="X956" s="1"/>
      <c r="Y956" s="1"/>
      <c r="Z956" s="1"/>
    </row>
    <row r="957" ht="14.25" customHeight="1">
      <c r="A957" s="1"/>
      <c r="B957" s="694"/>
      <c r="C957" s="694"/>
      <c r="D957" s="694"/>
      <c r="E957" s="694"/>
      <c r="F957" s="694"/>
      <c r="G957" s="692"/>
      <c r="H957" s="694"/>
      <c r="I957" s="694"/>
      <c r="J957" s="692"/>
      <c r="K957" s="692"/>
      <c r="L957" s="694"/>
      <c r="M957" s="694"/>
      <c r="N957" s="694"/>
      <c r="O957" s="694"/>
      <c r="P957" s="280"/>
      <c r="Q957" s="280"/>
      <c r="R957" s="280"/>
      <c r="S957" s="694"/>
      <c r="T957" s="694"/>
      <c r="U957" s="694"/>
      <c r="V957" s="1"/>
      <c r="W957" s="1"/>
      <c r="X957" s="1"/>
      <c r="Y957" s="1"/>
      <c r="Z957" s="1"/>
    </row>
    <row r="958" ht="14.25" customHeight="1">
      <c r="A958" s="1"/>
      <c r="B958" s="694"/>
      <c r="C958" s="694"/>
      <c r="D958" s="694"/>
      <c r="E958" s="694"/>
      <c r="F958" s="694"/>
      <c r="G958" s="692"/>
      <c r="H958" s="694"/>
      <c r="I958" s="694"/>
      <c r="J958" s="692"/>
      <c r="K958" s="692"/>
      <c r="L958" s="694"/>
      <c r="M958" s="694"/>
      <c r="N958" s="694"/>
      <c r="O958" s="694"/>
      <c r="P958" s="280"/>
      <c r="Q958" s="280"/>
      <c r="R958" s="280"/>
      <c r="S958" s="694"/>
      <c r="T958" s="694"/>
      <c r="U958" s="694"/>
      <c r="V958" s="1"/>
      <c r="W958" s="1"/>
      <c r="X958" s="1"/>
      <c r="Y958" s="1"/>
      <c r="Z958" s="1"/>
    </row>
    <row r="959" ht="14.25" customHeight="1">
      <c r="A959" s="1"/>
      <c r="B959" s="694"/>
      <c r="C959" s="694"/>
      <c r="D959" s="694"/>
      <c r="E959" s="694"/>
      <c r="F959" s="694"/>
      <c r="G959" s="692"/>
      <c r="H959" s="694"/>
      <c r="I959" s="694"/>
      <c r="J959" s="692"/>
      <c r="K959" s="692"/>
      <c r="L959" s="694"/>
      <c r="M959" s="694"/>
      <c r="N959" s="694"/>
      <c r="O959" s="694"/>
      <c r="P959" s="280"/>
      <c r="Q959" s="280"/>
      <c r="R959" s="280"/>
      <c r="S959" s="694"/>
      <c r="T959" s="694"/>
      <c r="U959" s="694"/>
      <c r="V959" s="1"/>
      <c r="W959" s="1"/>
      <c r="X959" s="1"/>
      <c r="Y959" s="1"/>
      <c r="Z959" s="1"/>
    </row>
    <row r="960" ht="14.25" customHeight="1">
      <c r="A960" s="1"/>
      <c r="B960" s="694"/>
      <c r="C960" s="694"/>
      <c r="D960" s="694"/>
      <c r="E960" s="694"/>
      <c r="F960" s="694"/>
      <c r="G960" s="692"/>
      <c r="H960" s="694"/>
      <c r="I960" s="694"/>
      <c r="J960" s="692"/>
      <c r="K960" s="692"/>
      <c r="L960" s="694"/>
      <c r="M960" s="694"/>
      <c r="N960" s="694"/>
      <c r="O960" s="694"/>
      <c r="P960" s="280"/>
      <c r="Q960" s="280"/>
      <c r="R960" s="280"/>
      <c r="S960" s="694"/>
      <c r="T960" s="694"/>
      <c r="U960" s="694"/>
      <c r="V960" s="1"/>
      <c r="W960" s="1"/>
      <c r="X960" s="1"/>
      <c r="Y960" s="1"/>
      <c r="Z960" s="1"/>
    </row>
    <row r="961" ht="14.25" customHeight="1">
      <c r="A961" s="1"/>
      <c r="B961" s="694"/>
      <c r="C961" s="694"/>
      <c r="D961" s="694"/>
      <c r="E961" s="694"/>
      <c r="F961" s="694"/>
      <c r="G961" s="692"/>
      <c r="H961" s="694"/>
      <c r="I961" s="694"/>
      <c r="J961" s="692"/>
      <c r="K961" s="692"/>
      <c r="L961" s="694"/>
      <c r="M961" s="694"/>
      <c r="N961" s="694"/>
      <c r="O961" s="694"/>
      <c r="P961" s="280"/>
      <c r="Q961" s="280"/>
      <c r="R961" s="280"/>
      <c r="S961" s="694"/>
      <c r="T961" s="694"/>
      <c r="U961" s="694"/>
      <c r="V961" s="1"/>
      <c r="W961" s="1"/>
      <c r="X961" s="1"/>
      <c r="Y961" s="1"/>
      <c r="Z961" s="1"/>
    </row>
    <row r="962" ht="14.25" customHeight="1">
      <c r="A962" s="1"/>
      <c r="B962" s="694"/>
      <c r="C962" s="694"/>
      <c r="D962" s="694"/>
      <c r="E962" s="694"/>
      <c r="F962" s="694"/>
      <c r="G962" s="692"/>
      <c r="H962" s="694"/>
      <c r="I962" s="694"/>
      <c r="J962" s="692"/>
      <c r="K962" s="692"/>
      <c r="L962" s="694"/>
      <c r="M962" s="694"/>
      <c r="N962" s="694"/>
      <c r="O962" s="694"/>
      <c r="P962" s="280"/>
      <c r="Q962" s="280"/>
      <c r="R962" s="280"/>
      <c r="S962" s="694"/>
      <c r="T962" s="694"/>
      <c r="U962" s="694"/>
      <c r="V962" s="1"/>
      <c r="W962" s="1"/>
      <c r="X962" s="1"/>
      <c r="Y962" s="1"/>
      <c r="Z962" s="1"/>
    </row>
    <row r="963" ht="14.25" customHeight="1">
      <c r="A963" s="1"/>
      <c r="B963" s="694"/>
      <c r="C963" s="694"/>
      <c r="D963" s="694"/>
      <c r="E963" s="694"/>
      <c r="F963" s="694"/>
      <c r="G963" s="692"/>
      <c r="H963" s="694"/>
      <c r="I963" s="694"/>
      <c r="J963" s="692"/>
      <c r="K963" s="692"/>
      <c r="L963" s="694"/>
      <c r="M963" s="694"/>
      <c r="N963" s="694"/>
      <c r="O963" s="694"/>
      <c r="P963" s="280"/>
      <c r="Q963" s="280"/>
      <c r="R963" s="280"/>
      <c r="S963" s="694"/>
      <c r="T963" s="694"/>
      <c r="U963" s="694"/>
      <c r="V963" s="1"/>
      <c r="W963" s="1"/>
      <c r="X963" s="1"/>
      <c r="Y963" s="1"/>
      <c r="Z963" s="1"/>
    </row>
    <row r="964" ht="14.25" customHeight="1">
      <c r="A964" s="1"/>
      <c r="B964" s="694"/>
      <c r="C964" s="694"/>
      <c r="D964" s="694"/>
      <c r="E964" s="694"/>
      <c r="F964" s="694"/>
      <c r="G964" s="692"/>
      <c r="H964" s="694"/>
      <c r="I964" s="694"/>
      <c r="J964" s="692"/>
      <c r="K964" s="692"/>
      <c r="L964" s="694"/>
      <c r="M964" s="694"/>
      <c r="N964" s="694"/>
      <c r="O964" s="694"/>
      <c r="P964" s="280"/>
      <c r="Q964" s="280"/>
      <c r="R964" s="280"/>
      <c r="S964" s="694"/>
      <c r="T964" s="694"/>
      <c r="U964" s="694"/>
      <c r="V964" s="1"/>
      <c r="W964" s="1"/>
      <c r="X964" s="1"/>
      <c r="Y964" s="1"/>
      <c r="Z964" s="1"/>
    </row>
    <row r="965" ht="14.25" customHeight="1">
      <c r="A965" s="1"/>
      <c r="B965" s="694"/>
      <c r="C965" s="694"/>
      <c r="D965" s="694"/>
      <c r="E965" s="694"/>
      <c r="F965" s="694"/>
      <c r="G965" s="692"/>
      <c r="H965" s="694"/>
      <c r="I965" s="694"/>
      <c r="J965" s="692"/>
      <c r="K965" s="692"/>
      <c r="L965" s="694"/>
      <c r="M965" s="694"/>
      <c r="N965" s="694"/>
      <c r="O965" s="694"/>
      <c r="P965" s="280"/>
      <c r="Q965" s="280"/>
      <c r="R965" s="280"/>
      <c r="S965" s="694"/>
      <c r="T965" s="694"/>
      <c r="U965" s="694"/>
      <c r="V965" s="1"/>
      <c r="W965" s="1"/>
      <c r="X965" s="1"/>
      <c r="Y965" s="1"/>
      <c r="Z965" s="1"/>
    </row>
    <row r="966" ht="14.25" customHeight="1">
      <c r="A966" s="1"/>
      <c r="B966" s="694"/>
      <c r="C966" s="694"/>
      <c r="D966" s="694"/>
      <c r="E966" s="694"/>
      <c r="F966" s="694"/>
      <c r="G966" s="692"/>
      <c r="H966" s="694"/>
      <c r="I966" s="694"/>
      <c r="J966" s="692"/>
      <c r="K966" s="692"/>
      <c r="L966" s="694"/>
      <c r="M966" s="694"/>
      <c r="N966" s="694"/>
      <c r="O966" s="694"/>
      <c r="P966" s="280"/>
      <c r="Q966" s="280"/>
      <c r="R966" s="280"/>
      <c r="S966" s="694"/>
      <c r="T966" s="694"/>
      <c r="U966" s="694"/>
      <c r="V966" s="1"/>
      <c r="W966" s="1"/>
      <c r="X966" s="1"/>
      <c r="Y966" s="1"/>
      <c r="Z966" s="1"/>
    </row>
    <row r="967" ht="14.25" customHeight="1">
      <c r="A967" s="1"/>
      <c r="B967" s="694"/>
      <c r="C967" s="694"/>
      <c r="D967" s="694"/>
      <c r="E967" s="694"/>
      <c r="F967" s="694"/>
      <c r="G967" s="692"/>
      <c r="H967" s="694"/>
      <c r="I967" s="694"/>
      <c r="J967" s="692"/>
      <c r="K967" s="692"/>
      <c r="L967" s="694"/>
      <c r="M967" s="694"/>
      <c r="N967" s="694"/>
      <c r="O967" s="694"/>
      <c r="P967" s="280"/>
      <c r="Q967" s="280"/>
      <c r="R967" s="280"/>
      <c r="S967" s="694"/>
      <c r="T967" s="694"/>
      <c r="U967" s="694"/>
      <c r="V967" s="1"/>
      <c r="W967" s="1"/>
      <c r="X967" s="1"/>
      <c r="Y967" s="1"/>
      <c r="Z967" s="1"/>
    </row>
    <row r="968" ht="14.25" customHeight="1">
      <c r="A968" s="1"/>
      <c r="B968" s="694"/>
      <c r="C968" s="694"/>
      <c r="D968" s="694"/>
      <c r="E968" s="694"/>
      <c r="F968" s="694"/>
      <c r="G968" s="692"/>
      <c r="H968" s="694"/>
      <c r="I968" s="694"/>
      <c r="J968" s="692"/>
      <c r="K968" s="692"/>
      <c r="L968" s="694"/>
      <c r="M968" s="694"/>
      <c r="N968" s="694"/>
      <c r="O968" s="694"/>
      <c r="P968" s="280"/>
      <c r="Q968" s="280"/>
      <c r="R968" s="280"/>
      <c r="S968" s="694"/>
      <c r="T968" s="694"/>
      <c r="U968" s="694"/>
      <c r="V968" s="1"/>
      <c r="W968" s="1"/>
      <c r="X968" s="1"/>
      <c r="Y968" s="1"/>
      <c r="Z968" s="1"/>
    </row>
    <row r="969" ht="14.25" customHeight="1">
      <c r="A969" s="1"/>
      <c r="B969" s="694"/>
      <c r="C969" s="694"/>
      <c r="D969" s="694"/>
      <c r="E969" s="694"/>
      <c r="F969" s="694"/>
      <c r="G969" s="692"/>
      <c r="H969" s="694"/>
      <c r="I969" s="694"/>
      <c r="J969" s="692"/>
      <c r="K969" s="692"/>
      <c r="L969" s="694"/>
      <c r="M969" s="694"/>
      <c r="N969" s="694"/>
      <c r="O969" s="694"/>
      <c r="P969" s="280"/>
      <c r="Q969" s="280"/>
      <c r="R969" s="280"/>
      <c r="S969" s="694"/>
      <c r="T969" s="694"/>
      <c r="U969" s="694"/>
      <c r="V969" s="1"/>
      <c r="W969" s="1"/>
      <c r="X969" s="1"/>
      <c r="Y969" s="1"/>
      <c r="Z969" s="1"/>
    </row>
    <row r="970" ht="14.25" customHeight="1">
      <c r="A970" s="1"/>
      <c r="B970" s="694"/>
      <c r="C970" s="694"/>
      <c r="D970" s="694"/>
      <c r="E970" s="694"/>
      <c r="F970" s="694"/>
      <c r="G970" s="692"/>
      <c r="H970" s="694"/>
      <c r="I970" s="694"/>
      <c r="J970" s="692"/>
      <c r="K970" s="692"/>
      <c r="L970" s="694"/>
      <c r="M970" s="694"/>
      <c r="N970" s="694"/>
      <c r="O970" s="694"/>
      <c r="P970" s="280"/>
      <c r="Q970" s="280"/>
      <c r="R970" s="280"/>
      <c r="S970" s="694"/>
      <c r="T970" s="694"/>
      <c r="U970" s="694"/>
      <c r="V970" s="1"/>
      <c r="W970" s="1"/>
      <c r="X970" s="1"/>
      <c r="Y970" s="1"/>
      <c r="Z970" s="1"/>
    </row>
    <row r="971" ht="14.25" customHeight="1">
      <c r="A971" s="1"/>
      <c r="B971" s="694"/>
      <c r="C971" s="694"/>
      <c r="D971" s="694"/>
      <c r="E971" s="694"/>
      <c r="F971" s="694"/>
      <c r="G971" s="692"/>
      <c r="H971" s="694"/>
      <c r="I971" s="694"/>
      <c r="J971" s="692"/>
      <c r="K971" s="692"/>
      <c r="L971" s="694"/>
      <c r="M971" s="694"/>
      <c r="N971" s="694"/>
      <c r="O971" s="694"/>
      <c r="P971" s="280"/>
      <c r="Q971" s="280"/>
      <c r="R971" s="280"/>
      <c r="S971" s="694"/>
      <c r="T971" s="694"/>
      <c r="U971" s="694"/>
      <c r="V971" s="1"/>
      <c r="W971" s="1"/>
      <c r="X971" s="1"/>
      <c r="Y971" s="1"/>
      <c r="Z971" s="1"/>
    </row>
    <row r="972" ht="14.25" customHeight="1">
      <c r="A972" s="1"/>
      <c r="B972" s="694"/>
      <c r="C972" s="694"/>
      <c r="D972" s="694"/>
      <c r="E972" s="694"/>
      <c r="F972" s="694"/>
      <c r="G972" s="692"/>
      <c r="H972" s="694"/>
      <c r="I972" s="694"/>
      <c r="J972" s="692"/>
      <c r="K972" s="692"/>
      <c r="L972" s="694"/>
      <c r="M972" s="694"/>
      <c r="N972" s="694"/>
      <c r="O972" s="694"/>
      <c r="P972" s="280"/>
      <c r="Q972" s="280"/>
      <c r="R972" s="280"/>
      <c r="S972" s="694"/>
      <c r="T972" s="694"/>
      <c r="U972" s="694"/>
      <c r="V972" s="1"/>
      <c r="W972" s="1"/>
      <c r="X972" s="1"/>
      <c r="Y972" s="1"/>
      <c r="Z972" s="1"/>
    </row>
    <row r="973" ht="14.25" customHeight="1">
      <c r="A973" s="1"/>
      <c r="B973" s="694"/>
      <c r="C973" s="694"/>
      <c r="D973" s="694"/>
      <c r="E973" s="694"/>
      <c r="F973" s="694"/>
      <c r="G973" s="692"/>
      <c r="H973" s="694"/>
      <c r="I973" s="694"/>
      <c r="J973" s="692"/>
      <c r="K973" s="692"/>
      <c r="L973" s="694"/>
      <c r="M973" s="694"/>
      <c r="N973" s="694"/>
      <c r="O973" s="694"/>
      <c r="P973" s="280"/>
      <c r="Q973" s="280"/>
      <c r="R973" s="280"/>
      <c r="S973" s="694"/>
      <c r="T973" s="694"/>
      <c r="U973" s="694"/>
      <c r="V973" s="1"/>
      <c r="W973" s="1"/>
      <c r="X973" s="1"/>
      <c r="Y973" s="1"/>
      <c r="Z973" s="1"/>
    </row>
    <row r="974" ht="14.25" customHeight="1">
      <c r="A974" s="1"/>
      <c r="B974" s="694"/>
      <c r="C974" s="694"/>
      <c r="D974" s="694"/>
      <c r="E974" s="694"/>
      <c r="F974" s="694"/>
      <c r="G974" s="692"/>
      <c r="H974" s="694"/>
      <c r="I974" s="694"/>
      <c r="J974" s="692"/>
      <c r="K974" s="692"/>
      <c r="L974" s="694"/>
      <c r="M974" s="694"/>
      <c r="N974" s="694"/>
      <c r="O974" s="694"/>
      <c r="P974" s="280"/>
      <c r="Q974" s="280"/>
      <c r="R974" s="280"/>
      <c r="S974" s="694"/>
      <c r="T974" s="694"/>
      <c r="U974" s="694"/>
      <c r="V974" s="1"/>
      <c r="W974" s="1"/>
      <c r="X974" s="1"/>
      <c r="Y974" s="1"/>
      <c r="Z974" s="1"/>
    </row>
    <row r="975" ht="14.25" customHeight="1">
      <c r="A975" s="1"/>
      <c r="B975" s="694"/>
      <c r="C975" s="694"/>
      <c r="D975" s="694"/>
      <c r="E975" s="694"/>
      <c r="F975" s="694"/>
      <c r="G975" s="692"/>
      <c r="H975" s="694"/>
      <c r="I975" s="694"/>
      <c r="J975" s="692"/>
      <c r="K975" s="692"/>
      <c r="L975" s="694"/>
      <c r="M975" s="694"/>
      <c r="N975" s="694"/>
      <c r="O975" s="694"/>
      <c r="P975" s="280"/>
      <c r="Q975" s="280"/>
      <c r="R975" s="280"/>
      <c r="S975" s="694"/>
      <c r="T975" s="694"/>
      <c r="U975" s="694"/>
      <c r="V975" s="1"/>
      <c r="W975" s="1"/>
      <c r="X975" s="1"/>
      <c r="Y975" s="1"/>
      <c r="Z975" s="1"/>
    </row>
    <row r="976" ht="14.25" customHeight="1">
      <c r="A976" s="1"/>
      <c r="B976" s="694"/>
      <c r="C976" s="694"/>
      <c r="D976" s="694"/>
      <c r="E976" s="694"/>
      <c r="F976" s="694"/>
      <c r="G976" s="692"/>
      <c r="H976" s="694"/>
      <c r="I976" s="694"/>
      <c r="J976" s="692"/>
      <c r="K976" s="692"/>
      <c r="L976" s="694"/>
      <c r="M976" s="694"/>
      <c r="N976" s="694"/>
      <c r="O976" s="694"/>
      <c r="P976" s="280"/>
      <c r="Q976" s="280"/>
      <c r="R976" s="280"/>
      <c r="S976" s="694"/>
      <c r="T976" s="694"/>
      <c r="U976" s="694"/>
      <c r="V976" s="1"/>
      <c r="W976" s="1"/>
      <c r="X976" s="1"/>
      <c r="Y976" s="1"/>
      <c r="Z976" s="1"/>
    </row>
    <row r="977" ht="14.25" customHeight="1">
      <c r="A977" s="1"/>
      <c r="B977" s="694"/>
      <c r="C977" s="694"/>
      <c r="D977" s="694"/>
      <c r="E977" s="694"/>
      <c r="F977" s="694"/>
      <c r="G977" s="692"/>
      <c r="H977" s="694"/>
      <c r="I977" s="694"/>
      <c r="J977" s="692"/>
      <c r="K977" s="692"/>
      <c r="L977" s="694"/>
      <c r="M977" s="694"/>
      <c r="N977" s="694"/>
      <c r="O977" s="694"/>
      <c r="P977" s="280"/>
      <c r="Q977" s="280"/>
      <c r="R977" s="280"/>
      <c r="S977" s="694"/>
      <c r="T977" s="694"/>
      <c r="U977" s="694"/>
      <c r="V977" s="1"/>
      <c r="W977" s="1"/>
      <c r="X977" s="1"/>
      <c r="Y977" s="1"/>
      <c r="Z977" s="1"/>
    </row>
    <row r="978" ht="14.25" customHeight="1">
      <c r="A978" s="1"/>
      <c r="B978" s="694"/>
      <c r="C978" s="694"/>
      <c r="D978" s="694"/>
      <c r="E978" s="694"/>
      <c r="F978" s="694"/>
      <c r="G978" s="692"/>
      <c r="H978" s="694"/>
      <c r="I978" s="694"/>
      <c r="J978" s="692"/>
      <c r="K978" s="692"/>
      <c r="L978" s="694"/>
      <c r="M978" s="694"/>
      <c r="N978" s="694"/>
      <c r="O978" s="694"/>
      <c r="P978" s="280"/>
      <c r="Q978" s="280"/>
      <c r="R978" s="280"/>
      <c r="S978" s="694"/>
      <c r="T978" s="694"/>
      <c r="U978" s="694"/>
      <c r="V978" s="1"/>
      <c r="W978" s="1"/>
      <c r="X978" s="1"/>
      <c r="Y978" s="1"/>
      <c r="Z978" s="1"/>
    </row>
    <row r="979" ht="14.25" customHeight="1">
      <c r="A979" s="1"/>
      <c r="B979" s="694"/>
      <c r="C979" s="694"/>
      <c r="D979" s="694"/>
      <c r="E979" s="694"/>
      <c r="F979" s="694"/>
      <c r="G979" s="692"/>
      <c r="H979" s="694"/>
      <c r="I979" s="694"/>
      <c r="J979" s="692"/>
      <c r="K979" s="692"/>
      <c r="L979" s="694"/>
      <c r="M979" s="694"/>
      <c r="N979" s="694"/>
      <c r="O979" s="694"/>
      <c r="P979" s="280"/>
      <c r="Q979" s="280"/>
      <c r="R979" s="280"/>
      <c r="S979" s="694"/>
      <c r="T979" s="694"/>
      <c r="U979" s="694"/>
      <c r="V979" s="1"/>
      <c r="W979" s="1"/>
      <c r="X979" s="1"/>
      <c r="Y979" s="1"/>
      <c r="Z979" s="1"/>
    </row>
    <row r="980" ht="14.25" customHeight="1">
      <c r="A980" s="1"/>
      <c r="B980" s="694"/>
      <c r="C980" s="694"/>
      <c r="D980" s="694"/>
      <c r="E980" s="694"/>
      <c r="F980" s="694"/>
      <c r="G980" s="692"/>
      <c r="H980" s="694"/>
      <c r="I980" s="694"/>
      <c r="J980" s="692"/>
      <c r="K980" s="692"/>
      <c r="L980" s="694"/>
      <c r="M980" s="694"/>
      <c r="N980" s="694"/>
      <c r="O980" s="694"/>
      <c r="P980" s="280"/>
      <c r="Q980" s="280"/>
      <c r="R980" s="280"/>
      <c r="S980" s="694"/>
      <c r="T980" s="694"/>
      <c r="U980" s="694"/>
      <c r="V980" s="1"/>
      <c r="W980" s="1"/>
      <c r="X980" s="1"/>
      <c r="Y980" s="1"/>
      <c r="Z980" s="1"/>
    </row>
    <row r="981" ht="14.25" customHeight="1">
      <c r="A981" s="1"/>
      <c r="B981" s="694"/>
      <c r="C981" s="694"/>
      <c r="D981" s="694"/>
      <c r="E981" s="694"/>
      <c r="F981" s="694"/>
      <c r="G981" s="692"/>
      <c r="H981" s="694"/>
      <c r="I981" s="694"/>
      <c r="J981" s="692"/>
      <c r="K981" s="692"/>
      <c r="L981" s="694"/>
      <c r="M981" s="694"/>
      <c r="N981" s="694"/>
      <c r="O981" s="694"/>
      <c r="P981" s="280"/>
      <c r="Q981" s="280"/>
      <c r="R981" s="280"/>
      <c r="S981" s="694"/>
      <c r="T981" s="694"/>
      <c r="U981" s="694"/>
      <c r="V981" s="1"/>
      <c r="W981" s="1"/>
      <c r="X981" s="1"/>
      <c r="Y981" s="1"/>
      <c r="Z981" s="1"/>
    </row>
    <row r="982" ht="14.25" customHeight="1">
      <c r="A982" s="1"/>
      <c r="B982" s="694"/>
      <c r="C982" s="694"/>
      <c r="D982" s="694"/>
      <c r="E982" s="694"/>
      <c r="F982" s="694"/>
      <c r="G982" s="692"/>
      <c r="H982" s="694"/>
      <c r="I982" s="694"/>
      <c r="J982" s="692"/>
      <c r="K982" s="692"/>
      <c r="L982" s="694"/>
      <c r="M982" s="694"/>
      <c r="N982" s="694"/>
      <c r="O982" s="694"/>
      <c r="P982" s="280"/>
      <c r="Q982" s="280"/>
      <c r="R982" s="280"/>
      <c r="S982" s="694"/>
      <c r="T982" s="694"/>
      <c r="U982" s="694"/>
      <c r="V982" s="1"/>
      <c r="W982" s="1"/>
      <c r="X982" s="1"/>
      <c r="Y982" s="1"/>
      <c r="Z982" s="1"/>
    </row>
    <row r="983" ht="14.25" customHeight="1">
      <c r="A983" s="1"/>
      <c r="B983" s="694"/>
      <c r="C983" s="694"/>
      <c r="D983" s="694"/>
      <c r="E983" s="694"/>
      <c r="F983" s="694"/>
      <c r="G983" s="692"/>
      <c r="H983" s="694"/>
      <c r="I983" s="694"/>
      <c r="J983" s="692"/>
      <c r="K983" s="692"/>
      <c r="L983" s="694"/>
      <c r="M983" s="694"/>
      <c r="N983" s="694"/>
      <c r="O983" s="694"/>
      <c r="P983" s="280"/>
      <c r="Q983" s="280"/>
      <c r="R983" s="280"/>
      <c r="S983" s="694"/>
      <c r="T983" s="694"/>
      <c r="U983" s="694"/>
      <c r="V983" s="1"/>
      <c r="W983" s="1"/>
      <c r="X983" s="1"/>
      <c r="Y983" s="1"/>
      <c r="Z983" s="1"/>
    </row>
    <row r="984" ht="14.25" customHeight="1">
      <c r="A984" s="1"/>
      <c r="B984" s="694"/>
      <c r="C984" s="694"/>
      <c r="D984" s="694"/>
      <c r="E984" s="694"/>
      <c r="F984" s="694"/>
      <c r="G984" s="692"/>
      <c r="H984" s="694"/>
      <c r="I984" s="694"/>
      <c r="J984" s="692"/>
      <c r="K984" s="692"/>
      <c r="L984" s="694"/>
      <c r="M984" s="694"/>
      <c r="N984" s="694"/>
      <c r="O984" s="694"/>
      <c r="P984" s="280"/>
      <c r="Q984" s="280"/>
      <c r="R984" s="280"/>
      <c r="S984" s="694"/>
      <c r="T984" s="694"/>
      <c r="U984" s="694"/>
      <c r="V984" s="1"/>
      <c r="W984" s="1"/>
      <c r="X984" s="1"/>
      <c r="Y984" s="1"/>
      <c r="Z984" s="1"/>
    </row>
    <row r="985" ht="14.25" customHeight="1">
      <c r="A985" s="1"/>
      <c r="B985" s="694"/>
      <c r="C985" s="694"/>
      <c r="D985" s="694"/>
      <c r="E985" s="694"/>
      <c r="F985" s="694"/>
      <c r="G985" s="692"/>
      <c r="H985" s="694"/>
      <c r="I985" s="694"/>
      <c r="J985" s="692"/>
      <c r="K985" s="692"/>
      <c r="L985" s="694"/>
      <c r="M985" s="694"/>
      <c r="N985" s="694"/>
      <c r="O985" s="694"/>
      <c r="P985" s="280"/>
      <c r="Q985" s="280"/>
      <c r="R985" s="280"/>
      <c r="S985" s="694"/>
      <c r="T985" s="694"/>
      <c r="U985" s="694"/>
      <c r="V985" s="1"/>
      <c r="W985" s="1"/>
      <c r="X985" s="1"/>
      <c r="Y985" s="1"/>
      <c r="Z985" s="1"/>
    </row>
    <row r="986" ht="14.25" customHeight="1">
      <c r="A986" s="1"/>
      <c r="B986" s="694"/>
      <c r="C986" s="694"/>
      <c r="D986" s="694"/>
      <c r="E986" s="694"/>
      <c r="F986" s="694"/>
      <c r="G986" s="692"/>
      <c r="H986" s="694"/>
      <c r="I986" s="694"/>
      <c r="J986" s="692"/>
      <c r="K986" s="692"/>
      <c r="L986" s="694"/>
      <c r="M986" s="694"/>
      <c r="N986" s="694"/>
      <c r="O986" s="694"/>
      <c r="P986" s="280"/>
      <c r="Q986" s="280"/>
      <c r="R986" s="280"/>
      <c r="S986" s="694"/>
      <c r="T986" s="694"/>
      <c r="U986" s="694"/>
      <c r="V986" s="1"/>
      <c r="W986" s="1"/>
      <c r="X986" s="1"/>
      <c r="Y986" s="1"/>
      <c r="Z986" s="1"/>
    </row>
    <row r="987" ht="14.25" customHeight="1">
      <c r="A987" s="1"/>
      <c r="B987" s="694"/>
      <c r="C987" s="694"/>
      <c r="D987" s="694"/>
      <c r="E987" s="694"/>
      <c r="F987" s="694"/>
      <c r="G987" s="692"/>
      <c r="H987" s="694"/>
      <c r="I987" s="694"/>
      <c r="J987" s="692"/>
      <c r="K987" s="692"/>
      <c r="L987" s="694"/>
      <c r="M987" s="694"/>
      <c r="N987" s="694"/>
      <c r="O987" s="694"/>
      <c r="P987" s="280"/>
      <c r="Q987" s="280"/>
      <c r="R987" s="280"/>
      <c r="S987" s="694"/>
      <c r="T987" s="694"/>
      <c r="U987" s="694"/>
      <c r="V987" s="1"/>
      <c r="W987" s="1"/>
      <c r="X987" s="1"/>
      <c r="Y987" s="1"/>
      <c r="Z987" s="1"/>
    </row>
    <row r="988" ht="14.25" customHeight="1">
      <c r="A988" s="1"/>
      <c r="B988" s="694"/>
      <c r="C988" s="694"/>
      <c r="D988" s="694"/>
      <c r="E988" s="694"/>
      <c r="F988" s="694"/>
      <c r="G988" s="692"/>
      <c r="H988" s="694"/>
      <c r="I988" s="694"/>
      <c r="J988" s="692"/>
      <c r="K988" s="692"/>
      <c r="L988" s="694"/>
      <c r="M988" s="694"/>
      <c r="N988" s="694"/>
      <c r="O988" s="694"/>
      <c r="P988" s="280"/>
      <c r="Q988" s="280"/>
      <c r="R988" s="280"/>
      <c r="S988" s="694"/>
      <c r="T988" s="694"/>
      <c r="U988" s="694"/>
      <c r="V988" s="1"/>
      <c r="W988" s="1"/>
      <c r="X988" s="1"/>
      <c r="Y988" s="1"/>
      <c r="Z988" s="1"/>
    </row>
    <row r="989" ht="14.25" customHeight="1">
      <c r="A989" s="1"/>
      <c r="B989" s="694"/>
      <c r="C989" s="694"/>
      <c r="D989" s="694"/>
      <c r="E989" s="694"/>
      <c r="F989" s="694"/>
      <c r="G989" s="692"/>
      <c r="H989" s="694"/>
      <c r="I989" s="694"/>
      <c r="J989" s="692"/>
      <c r="K989" s="692"/>
      <c r="L989" s="694"/>
      <c r="M989" s="694"/>
      <c r="N989" s="694"/>
      <c r="O989" s="694"/>
      <c r="P989" s="280"/>
      <c r="Q989" s="280"/>
      <c r="R989" s="280"/>
      <c r="S989" s="694"/>
      <c r="T989" s="694"/>
      <c r="U989" s="694"/>
      <c r="V989" s="1"/>
      <c r="W989" s="1"/>
      <c r="X989" s="1"/>
      <c r="Y989" s="1"/>
      <c r="Z989" s="1"/>
    </row>
    <row r="990" ht="14.25" customHeight="1">
      <c r="A990" s="1"/>
      <c r="B990" s="694"/>
      <c r="C990" s="694"/>
      <c r="D990" s="694"/>
      <c r="E990" s="694"/>
      <c r="F990" s="694"/>
      <c r="G990" s="692"/>
      <c r="H990" s="694"/>
      <c r="I990" s="694"/>
      <c r="J990" s="692"/>
      <c r="K990" s="692"/>
      <c r="L990" s="694"/>
      <c r="M990" s="694"/>
      <c r="N990" s="694"/>
      <c r="O990" s="694"/>
      <c r="P990" s="280"/>
      <c r="Q990" s="280"/>
      <c r="R990" s="280"/>
      <c r="S990" s="694"/>
      <c r="T990" s="694"/>
      <c r="U990" s="694"/>
      <c r="V990" s="1"/>
      <c r="W990" s="1"/>
      <c r="X990" s="1"/>
      <c r="Y990" s="1"/>
      <c r="Z990" s="1"/>
    </row>
    <row r="991" ht="14.25" customHeight="1">
      <c r="A991" s="1"/>
      <c r="B991" s="694"/>
      <c r="C991" s="694"/>
      <c r="D991" s="694"/>
      <c r="E991" s="694"/>
      <c r="F991" s="694"/>
      <c r="G991" s="692"/>
      <c r="H991" s="694"/>
      <c r="I991" s="694"/>
      <c r="J991" s="692"/>
      <c r="K991" s="692"/>
      <c r="L991" s="694"/>
      <c r="M991" s="694"/>
      <c r="N991" s="694"/>
      <c r="O991" s="694"/>
      <c r="P991" s="280"/>
      <c r="Q991" s="280"/>
      <c r="R991" s="280"/>
      <c r="S991" s="694"/>
      <c r="T991" s="694"/>
      <c r="U991" s="694"/>
      <c r="V991" s="1"/>
      <c r="W991" s="1"/>
      <c r="X991" s="1"/>
      <c r="Y991" s="1"/>
      <c r="Z991" s="1"/>
    </row>
    <row r="992" ht="14.25" customHeight="1">
      <c r="A992" s="1"/>
      <c r="B992" s="694"/>
      <c r="C992" s="694"/>
      <c r="D992" s="694"/>
      <c r="E992" s="694"/>
      <c r="F992" s="694"/>
      <c r="G992" s="692"/>
      <c r="H992" s="694"/>
      <c r="I992" s="694"/>
      <c r="J992" s="692"/>
      <c r="K992" s="692"/>
      <c r="L992" s="694"/>
      <c r="M992" s="694"/>
      <c r="N992" s="694"/>
      <c r="O992" s="694"/>
      <c r="P992" s="280"/>
      <c r="Q992" s="280"/>
      <c r="R992" s="280"/>
      <c r="S992" s="694"/>
      <c r="T992" s="694"/>
      <c r="U992" s="694"/>
      <c r="V992" s="1"/>
      <c r="W992" s="1"/>
      <c r="X992" s="1"/>
      <c r="Y992" s="1"/>
      <c r="Z992" s="1"/>
    </row>
    <row r="993" ht="14.25" customHeight="1">
      <c r="A993" s="1"/>
      <c r="B993" s="694"/>
      <c r="C993" s="694"/>
      <c r="D993" s="694"/>
      <c r="E993" s="694"/>
      <c r="F993" s="694"/>
      <c r="G993" s="692"/>
      <c r="H993" s="694"/>
      <c r="I993" s="694"/>
      <c r="J993" s="692"/>
      <c r="K993" s="692"/>
      <c r="L993" s="694"/>
      <c r="M993" s="694"/>
      <c r="N993" s="694"/>
      <c r="O993" s="694"/>
      <c r="P993" s="280"/>
      <c r="Q993" s="280"/>
      <c r="R993" s="280"/>
      <c r="S993" s="694"/>
      <c r="T993" s="694"/>
      <c r="U993" s="694"/>
      <c r="V993" s="1"/>
      <c r="W993" s="1"/>
      <c r="X993" s="1"/>
      <c r="Y993" s="1"/>
      <c r="Z993" s="1"/>
    </row>
    <row r="994" ht="14.25" customHeight="1">
      <c r="A994" s="1"/>
      <c r="B994" s="694"/>
      <c r="C994" s="694"/>
      <c r="D994" s="694"/>
      <c r="E994" s="694"/>
      <c r="F994" s="694"/>
      <c r="G994" s="692"/>
      <c r="H994" s="694"/>
      <c r="I994" s="694"/>
      <c r="J994" s="692"/>
      <c r="K994" s="692"/>
      <c r="L994" s="694"/>
      <c r="M994" s="694"/>
      <c r="N994" s="694"/>
      <c r="O994" s="694"/>
      <c r="P994" s="280"/>
      <c r="Q994" s="280"/>
      <c r="R994" s="280"/>
      <c r="S994" s="694"/>
      <c r="T994" s="694"/>
      <c r="U994" s="694"/>
      <c r="V994" s="1"/>
      <c r="W994" s="1"/>
      <c r="X994" s="1"/>
      <c r="Y994" s="1"/>
      <c r="Z994" s="1"/>
    </row>
    <row r="995" ht="14.25" customHeight="1">
      <c r="A995" s="1"/>
      <c r="B995" s="694"/>
      <c r="C995" s="694"/>
      <c r="D995" s="694"/>
      <c r="E995" s="694"/>
      <c r="F995" s="694"/>
      <c r="G995" s="692"/>
      <c r="H995" s="694"/>
      <c r="I995" s="694"/>
      <c r="J995" s="692"/>
      <c r="K995" s="692"/>
      <c r="L995" s="694"/>
      <c r="M995" s="694"/>
      <c r="N995" s="694"/>
      <c r="O995" s="694"/>
      <c r="P995" s="280"/>
      <c r="Q995" s="280"/>
      <c r="R995" s="280"/>
      <c r="S995" s="694"/>
      <c r="T995" s="694"/>
      <c r="U995" s="694"/>
      <c r="V995" s="1"/>
      <c r="W995" s="1"/>
      <c r="X995" s="1"/>
      <c r="Y995" s="1"/>
      <c r="Z995" s="1"/>
    </row>
    <row r="996" ht="14.25" customHeight="1">
      <c r="A996" s="1"/>
      <c r="B996" s="694"/>
      <c r="C996" s="694"/>
      <c r="D996" s="694"/>
      <c r="E996" s="694"/>
      <c r="F996" s="694"/>
      <c r="G996" s="692"/>
      <c r="H996" s="694"/>
      <c r="I996" s="694"/>
      <c r="J996" s="692"/>
      <c r="K996" s="692"/>
      <c r="L996" s="694"/>
      <c r="M996" s="694"/>
      <c r="N996" s="694"/>
      <c r="O996" s="694"/>
      <c r="P996" s="280"/>
      <c r="Q996" s="280"/>
      <c r="R996" s="280"/>
      <c r="S996" s="694"/>
      <c r="T996" s="694"/>
      <c r="U996" s="694"/>
      <c r="V996" s="1"/>
      <c r="W996" s="1"/>
      <c r="X996" s="1"/>
      <c r="Y996" s="1"/>
      <c r="Z996" s="1"/>
    </row>
    <row r="997" ht="14.25" customHeight="1">
      <c r="A997" s="1"/>
      <c r="B997" s="694"/>
      <c r="C997" s="694"/>
      <c r="D997" s="694"/>
      <c r="E997" s="694"/>
      <c r="F997" s="694"/>
      <c r="G997" s="692"/>
      <c r="H997" s="694"/>
      <c r="I997" s="694"/>
      <c r="J997" s="692"/>
      <c r="K997" s="692"/>
      <c r="L997" s="694"/>
      <c r="M997" s="694"/>
      <c r="N997" s="694"/>
      <c r="O997" s="694"/>
      <c r="P997" s="280"/>
      <c r="Q997" s="280"/>
      <c r="R997" s="280"/>
      <c r="S997" s="694"/>
      <c r="T997" s="694"/>
      <c r="U997" s="694"/>
      <c r="V997" s="1"/>
      <c r="W997" s="1"/>
      <c r="X997" s="1"/>
      <c r="Y997" s="1"/>
      <c r="Z997" s="1"/>
    </row>
    <row r="998" ht="14.25" customHeight="1">
      <c r="A998" s="1"/>
      <c r="B998" s="694"/>
      <c r="C998" s="694"/>
      <c r="D998" s="694"/>
      <c r="E998" s="694"/>
      <c r="F998" s="694"/>
      <c r="G998" s="692"/>
      <c r="H998" s="694"/>
      <c r="I998" s="694"/>
      <c r="J998" s="692"/>
      <c r="K998" s="692"/>
      <c r="L998" s="694"/>
      <c r="M998" s="694"/>
      <c r="N998" s="694"/>
      <c r="O998" s="694"/>
      <c r="P998" s="280"/>
      <c r="Q998" s="280"/>
      <c r="R998" s="280"/>
      <c r="S998" s="694"/>
      <c r="T998" s="694"/>
      <c r="U998" s="694"/>
      <c r="V998" s="1"/>
      <c r="W998" s="1"/>
      <c r="X998" s="1"/>
      <c r="Y998" s="1"/>
      <c r="Z998" s="1"/>
    </row>
    <row r="999" ht="14.25" customHeight="1">
      <c r="A999" s="1"/>
      <c r="B999" s="694"/>
      <c r="C999" s="694"/>
      <c r="D999" s="694"/>
      <c r="E999" s="694"/>
      <c r="F999" s="694"/>
      <c r="G999" s="692"/>
      <c r="H999" s="694"/>
      <c r="I999" s="694"/>
      <c r="J999" s="692"/>
      <c r="K999" s="692"/>
      <c r="L999" s="694"/>
      <c r="M999" s="694"/>
      <c r="N999" s="694"/>
      <c r="O999" s="694"/>
      <c r="P999" s="280"/>
      <c r="Q999" s="280"/>
      <c r="R999" s="280"/>
      <c r="S999" s="694"/>
      <c r="T999" s="694"/>
      <c r="U999" s="694"/>
      <c r="V999" s="1"/>
      <c r="W999" s="1"/>
      <c r="X999" s="1"/>
      <c r="Y999" s="1"/>
      <c r="Z999" s="1"/>
    </row>
    <row r="1000" ht="14.25" customHeight="1">
      <c r="A1000" s="1"/>
      <c r="B1000" s="694"/>
      <c r="C1000" s="694"/>
      <c r="D1000" s="694"/>
      <c r="E1000" s="694"/>
      <c r="F1000" s="694"/>
      <c r="G1000" s="692"/>
      <c r="H1000" s="694"/>
      <c r="I1000" s="694"/>
      <c r="J1000" s="692"/>
      <c r="K1000" s="692"/>
      <c r="L1000" s="694"/>
      <c r="M1000" s="694"/>
      <c r="N1000" s="694"/>
      <c r="O1000" s="694"/>
      <c r="P1000" s="280"/>
      <c r="Q1000" s="280"/>
      <c r="R1000" s="280"/>
      <c r="S1000" s="694"/>
      <c r="T1000" s="694"/>
      <c r="U1000" s="694"/>
      <c r="V1000" s="1"/>
      <c r="W1000" s="1"/>
      <c r="X1000" s="1"/>
      <c r="Y1000" s="1"/>
      <c r="Z1000" s="1"/>
    </row>
  </sheetData>
  <mergeCells count="19">
    <mergeCell ref="K52:K53"/>
    <mergeCell ref="N52:N53"/>
    <mergeCell ref="N55:N56"/>
    <mergeCell ref="N58:N59"/>
    <mergeCell ref="G65:H65"/>
    <mergeCell ref="G78:H78"/>
    <mergeCell ref="J84:L85"/>
    <mergeCell ref="N85:P85"/>
    <mergeCell ref="Q52:Q53"/>
    <mergeCell ref="R52:R53"/>
    <mergeCell ref="Q84:Q85"/>
    <mergeCell ref="R84:R85"/>
    <mergeCell ref="P2:R2"/>
    <mergeCell ref="C15:E15"/>
    <mergeCell ref="J37:L37"/>
    <mergeCell ref="P49:R49"/>
    <mergeCell ref="E52:E53"/>
    <mergeCell ref="G52:G53"/>
    <mergeCell ref="I52:I53"/>
  </mergeCells>
  <printOptions/>
  <pageMargins bottom="0.75" footer="0.0" header="0.0" left="0.7" right="0.7" top="0.75"/>
  <pageSetup orientation="landscape" pageOrder="overThenDown"/>
  <headerFooter>
    <oddFooter>&amp;C&amp;F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7">
    <pageSetUpPr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2.63" defaultRowHeight="15.0" outlineLevelCol="1"/>
  <cols>
    <col customWidth="1" min="1" max="1" width="5.38"/>
    <col customWidth="1" min="2" max="2" width="45.63"/>
    <col customWidth="1" min="3" max="3" width="0.88"/>
    <col customWidth="1" min="4" max="4" width="0.38"/>
    <col customWidth="1" min="5" max="5" width="1.0"/>
    <col customWidth="1" min="6" max="6" width="14.63"/>
    <col customWidth="1" min="7" max="7" width="1.0"/>
    <col customWidth="1" min="8" max="8" width="13.63"/>
    <col customWidth="1" min="9" max="9" width="1.0"/>
    <col customWidth="1" min="10" max="10" width="0.38" outlineLevel="1"/>
    <col customWidth="1" min="11" max="11" width="1.0" outlineLevel="1"/>
    <col customWidth="1" min="12" max="12" width="14.38" outlineLevel="1"/>
    <col customWidth="1" min="13" max="13" width="1.0" outlineLevel="1"/>
    <col customWidth="1" min="14" max="14" width="13.63" outlineLevel="1"/>
    <col customWidth="1" min="15" max="15" width="1.0" outlineLevel="1"/>
    <col customWidth="1" min="16" max="17" width="0.38" outlineLevel="1"/>
    <col customWidth="1" min="18" max="18" width="12.63" outlineLevel="1"/>
    <col customWidth="1" min="19" max="19" width="1.0" outlineLevel="1"/>
    <col customWidth="1" min="20" max="20" width="6.63" outlineLevel="1"/>
    <col customWidth="1" min="21" max="22" width="0.38" outlineLevel="1"/>
    <col customWidth="1" min="23" max="40" width="8.38"/>
  </cols>
  <sheetData>
    <row r="1" ht="62.25" customHeight="1">
      <c r="A1" s="1"/>
      <c r="B1" s="2" t="str">
        <f>'A Cover'!G8</f>
        <v>Example University</v>
      </c>
      <c r="C1" s="209"/>
      <c r="D1" s="209"/>
      <c r="E1" s="209"/>
      <c r="F1" s="211"/>
      <c r="G1" s="436"/>
      <c r="H1" s="436"/>
      <c r="I1" s="436"/>
      <c r="J1" s="436"/>
      <c r="K1" s="436"/>
      <c r="L1" s="436"/>
      <c r="M1" s="436"/>
      <c r="N1" s="1"/>
      <c r="O1" s="436"/>
      <c r="P1" s="436"/>
      <c r="Q1" s="436"/>
      <c r="R1" s="436"/>
      <c r="S1" s="436"/>
      <c r="T1" s="1"/>
      <c r="U1" s="436"/>
      <c r="V1" s="436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ht="14.25" customHeight="1">
      <c r="A2" s="1"/>
      <c r="B2" s="216" t="s">
        <v>460</v>
      </c>
      <c r="C2" s="217"/>
      <c r="D2" s="217"/>
      <c r="E2" s="217"/>
      <c r="F2" s="29" t="s">
        <v>0</v>
      </c>
      <c r="G2" s="34" t="s">
        <v>9</v>
      </c>
      <c r="H2" s="217"/>
      <c r="I2" s="217"/>
      <c r="J2" s="217"/>
      <c r="K2" s="217"/>
      <c r="L2" s="221"/>
      <c r="M2" s="217"/>
      <c r="N2" s="217"/>
      <c r="O2" s="217"/>
      <c r="P2" s="217"/>
      <c r="Q2" s="217"/>
      <c r="R2" s="224">
        <f>'A Cover'!$G$12</f>
        <v>46307</v>
      </c>
      <c r="S2" s="35"/>
      <c r="T2" s="21"/>
      <c r="U2" s="217"/>
      <c r="V2" s="217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14.25" customHeight="1">
      <c r="A3" s="1"/>
      <c r="B3" s="912"/>
      <c r="C3" s="1"/>
      <c r="D3" s="1"/>
      <c r="E3" s="228"/>
      <c r="F3" s="151"/>
      <c r="G3" s="229"/>
      <c r="H3" s="229"/>
      <c r="I3" s="230"/>
      <c r="J3" s="230"/>
      <c r="K3" s="229"/>
      <c r="L3" s="250" t="s">
        <v>461</v>
      </c>
      <c r="M3" s="35"/>
      <c r="N3" s="21"/>
      <c r="O3" s="230"/>
      <c r="P3" s="230"/>
      <c r="Q3" s="230"/>
      <c r="R3" s="199"/>
      <c r="S3" s="1"/>
      <c r="T3" s="1"/>
      <c r="U3" s="178"/>
      <c r="V3" s="178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ht="17.25" customHeight="1">
      <c r="A4" s="1"/>
      <c r="B4" s="913"/>
      <c r="C4" s="1"/>
      <c r="D4" s="1"/>
      <c r="E4" s="89"/>
      <c r="F4" s="241" t="s">
        <v>310</v>
      </c>
      <c r="G4" s="236" t="str">
        <f>'F Population'!P$6</f>
        <v>2026 - 27</v>
      </c>
      <c r="H4" s="237"/>
      <c r="I4" s="238"/>
      <c r="J4" s="239"/>
      <c r="K4" s="240"/>
      <c r="L4" s="241" t="s">
        <v>171</v>
      </c>
      <c r="M4" s="236" t="str">
        <f>'F Population'!P$6</f>
        <v>2026 - 27</v>
      </c>
      <c r="N4" s="237"/>
      <c r="O4" s="239"/>
      <c r="P4" s="239"/>
      <c r="Q4" s="239"/>
      <c r="R4" s="242" t="s">
        <v>173</v>
      </c>
      <c r="S4" s="243"/>
      <c r="T4" s="244"/>
      <c r="U4" s="245"/>
      <c r="V4" s="24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ht="14.25" customHeight="1">
      <c r="A5" s="1"/>
      <c r="B5" s="111" t="str">
        <f>'E Budg CY'!B5</f>
        <v>Revenue:</v>
      </c>
      <c r="C5" s="247"/>
      <c r="D5" s="251"/>
      <c r="E5" s="353"/>
      <c r="F5" s="82"/>
      <c r="G5" s="82"/>
      <c r="H5" s="82"/>
      <c r="I5" s="82"/>
      <c r="J5" s="914"/>
      <c r="K5" s="82"/>
      <c r="L5" s="82"/>
      <c r="M5" s="82"/>
      <c r="N5" s="82"/>
      <c r="O5" s="89"/>
      <c r="P5" s="251"/>
      <c r="Q5" s="89"/>
      <c r="R5" s="89"/>
      <c r="S5" s="16"/>
      <c r="T5" s="16"/>
      <c r="U5" s="252"/>
      <c r="V5" s="253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ht="14.25" customHeight="1">
      <c r="A6" s="1"/>
      <c r="B6" s="89" t="s">
        <v>28</v>
      </c>
      <c r="C6" s="89"/>
      <c r="D6" s="281"/>
      <c r="E6" s="89"/>
      <c r="F6" s="258">
        <f>'I Student rev'!P9</f>
        <v>55818841.09</v>
      </c>
      <c r="G6" s="91"/>
      <c r="H6" s="89"/>
      <c r="I6" s="82"/>
      <c r="J6" s="259"/>
      <c r="K6" s="82"/>
      <c r="L6" s="258">
        <f>'E Budg CY'!F6</f>
        <v>54116270</v>
      </c>
      <c r="M6" s="91"/>
      <c r="N6" s="91"/>
      <c r="O6" s="91"/>
      <c r="P6" s="259"/>
      <c r="Q6" s="91"/>
      <c r="R6" s="189">
        <f>F6-L6</f>
        <v>1702571.094</v>
      </c>
      <c r="S6" s="16"/>
      <c r="T6" s="260">
        <f>IF(L6&lt;&gt;0,R6/L6,"-     ")</f>
        <v>0.03146135338</v>
      </c>
      <c r="U6" s="261"/>
      <c r="V6" s="262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ht="4.5" customHeight="1">
      <c r="A7" s="1"/>
      <c r="B7" s="89"/>
      <c r="C7" s="89"/>
      <c r="D7" s="281"/>
      <c r="E7" s="89"/>
      <c r="F7" s="91"/>
      <c r="G7" s="91"/>
      <c r="H7" s="89"/>
      <c r="I7" s="257"/>
      <c r="J7" s="264"/>
      <c r="K7" s="82"/>
      <c r="L7" s="91"/>
      <c r="M7" s="91"/>
      <c r="N7" s="91"/>
      <c r="O7" s="264"/>
      <c r="P7" s="264"/>
      <c r="Q7" s="91"/>
      <c r="R7" s="189"/>
      <c r="S7" s="16"/>
      <c r="T7" s="265"/>
      <c r="U7" s="261"/>
      <c r="V7" s="262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ht="14.25" customHeight="1">
      <c r="A8" s="1"/>
      <c r="B8" s="89" t="s">
        <v>462</v>
      </c>
      <c r="C8" s="1"/>
      <c r="D8" s="281"/>
      <c r="E8" s="915"/>
      <c r="F8" s="916">
        <f>'I Student rev'!P14-F10</f>
        <v>-25928048.02</v>
      </c>
      <c r="G8" s="1"/>
      <c r="H8" s="270"/>
      <c r="I8" s="917"/>
      <c r="J8" s="271"/>
      <c r="K8" s="1"/>
      <c r="L8" s="272">
        <f>'E Budg CY'!F8</f>
        <v>-24108639</v>
      </c>
      <c r="M8" s="16"/>
      <c r="N8" s="270"/>
      <c r="O8" s="267"/>
      <c r="P8" s="271"/>
      <c r="Q8" s="185"/>
      <c r="R8" s="189"/>
      <c r="S8" s="16"/>
      <c r="T8" s="260"/>
      <c r="U8" s="261"/>
      <c r="V8" s="262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ht="4.5" customHeight="1">
      <c r="A9" s="1"/>
      <c r="B9" s="89"/>
      <c r="C9" s="1"/>
      <c r="D9" s="281"/>
      <c r="E9" s="266"/>
      <c r="F9" s="916"/>
      <c r="G9" s="1"/>
      <c r="H9" s="270"/>
      <c r="I9" s="917"/>
      <c r="J9" s="271"/>
      <c r="K9" s="1"/>
      <c r="L9" s="272"/>
      <c r="M9" s="16"/>
      <c r="N9" s="270"/>
      <c r="O9" s="267"/>
      <c r="P9" s="271"/>
      <c r="Q9" s="185"/>
      <c r="R9" s="189"/>
      <c r="S9" s="16"/>
      <c r="T9" s="260"/>
      <c r="U9" s="261"/>
      <c r="V9" s="262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</row>
    <row r="10" ht="14.25" customHeight="1">
      <c r="A10" s="1"/>
      <c r="B10" s="89" t="s">
        <v>463</v>
      </c>
      <c r="C10" s="1"/>
      <c r="D10" s="281"/>
      <c r="E10" s="266"/>
      <c r="F10" s="916">
        <f>-'G Price-Aid'!F20-'G Price-Aid'!F18</f>
        <v>-2320000</v>
      </c>
      <c r="G10" s="1"/>
      <c r="H10" s="270">
        <f>IF(F6&lt;&gt;0,-(F8+F10)/F6,"")</f>
        <v>0.5060665443</v>
      </c>
      <c r="I10" s="917"/>
      <c r="J10" s="271"/>
      <c r="K10" s="1"/>
      <c r="L10" s="272">
        <f>'E Budg CY'!F10</f>
        <v>-2215000</v>
      </c>
      <c r="M10" s="16"/>
      <c r="N10" s="270">
        <f>-(L8+L10)/L6</f>
        <v>0.4864274459</v>
      </c>
      <c r="O10" s="267"/>
      <c r="P10" s="271"/>
      <c r="Q10" s="185"/>
      <c r="R10" s="189">
        <f>F8+F10-L8-L10</f>
        <v>-1924409.021</v>
      </c>
      <c r="S10" s="16"/>
      <c r="T10" s="260">
        <f>R10/(L8+L10)</f>
        <v>0.07310573666</v>
      </c>
      <c r="U10" s="261"/>
      <c r="V10" s="262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</row>
    <row r="11" ht="4.5" customHeight="1">
      <c r="A11" s="1"/>
      <c r="B11" s="89"/>
      <c r="C11" s="1"/>
      <c r="D11" s="281"/>
      <c r="E11" s="266"/>
      <c r="F11" s="723"/>
      <c r="G11" s="16"/>
      <c r="H11" s="16"/>
      <c r="I11" s="917"/>
      <c r="J11" s="271"/>
      <c r="K11" s="266"/>
      <c r="L11" s="274"/>
      <c r="M11" s="16"/>
      <c r="N11" s="16"/>
      <c r="O11" s="267"/>
      <c r="P11" s="271"/>
      <c r="Q11" s="185"/>
      <c r="R11" s="274"/>
      <c r="S11" s="16"/>
      <c r="T11" s="274"/>
      <c r="U11" s="261"/>
      <c r="V11" s="262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ht="13.5" customHeight="1">
      <c r="A12" s="1"/>
      <c r="B12" s="111" t="s">
        <v>38</v>
      </c>
      <c r="C12" s="89"/>
      <c r="D12" s="281"/>
      <c r="E12" s="82"/>
      <c r="F12" s="113"/>
      <c r="G12" s="16"/>
      <c r="H12" s="189">
        <f>F6+F8</f>
        <v>29890793.07</v>
      </c>
      <c r="I12" s="918"/>
      <c r="J12" s="278"/>
      <c r="K12" s="919"/>
      <c r="L12" s="113"/>
      <c r="M12" s="16"/>
      <c r="N12" s="189">
        <f>L6+L8</f>
        <v>30007631</v>
      </c>
      <c r="O12" s="16"/>
      <c r="P12" s="278"/>
      <c r="Q12" s="279"/>
      <c r="R12" s="189">
        <f>R6+R10</f>
        <v>-221837.9265</v>
      </c>
      <c r="S12" s="16"/>
      <c r="T12" s="260">
        <f>IF(N12&lt;&gt;0,R12/N12,"-     ")</f>
        <v>-0.007392717088</v>
      </c>
      <c r="U12" s="261"/>
      <c r="V12" s="262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</row>
    <row r="13" ht="4.5" customHeight="1">
      <c r="A13" s="1"/>
      <c r="B13" s="89"/>
      <c r="C13" s="89"/>
      <c r="D13" s="281"/>
      <c r="E13" s="82"/>
      <c r="F13" s="280"/>
      <c r="G13" s="16"/>
      <c r="H13" s="16"/>
      <c r="I13" s="918"/>
      <c r="J13" s="920"/>
      <c r="K13" s="919"/>
      <c r="L13" s="280"/>
      <c r="M13" s="16"/>
      <c r="N13" s="189"/>
      <c r="O13" s="16"/>
      <c r="P13" s="278"/>
      <c r="Q13" s="279"/>
      <c r="R13" s="274"/>
      <c r="S13" s="16"/>
      <c r="T13" s="274"/>
      <c r="U13" s="261"/>
      <c r="V13" s="262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</row>
    <row r="14" ht="14.25" customHeight="1">
      <c r="A14" s="1"/>
      <c r="B14" s="89" t="s">
        <v>464</v>
      </c>
      <c r="C14" s="89"/>
      <c r="D14" s="281"/>
      <c r="E14" s="82"/>
      <c r="F14" s="189">
        <f>IF('H Non trad'!F26&gt;0,'H Non trad'!F26-'H Non trad'!F23,'H Non trad'!D26-'H Non trad'!D23)</f>
        <v>18897239</v>
      </c>
      <c r="G14" s="16"/>
      <c r="H14" s="16"/>
      <c r="I14" s="918"/>
      <c r="J14" s="292"/>
      <c r="K14" s="284"/>
      <c r="L14" s="189">
        <f>'E Budg CY'!F14</f>
        <v>18920068</v>
      </c>
      <c r="M14" s="16"/>
      <c r="N14" s="189"/>
      <c r="O14" s="16"/>
      <c r="P14" s="285"/>
      <c r="Q14" s="185"/>
      <c r="R14" s="189">
        <f>F14-L14</f>
        <v>-22829</v>
      </c>
      <c r="S14" s="16"/>
      <c r="T14" s="260">
        <f>IF(L14&lt;&gt;0,R14/L14,"-     ")</f>
        <v>-0.001206602429</v>
      </c>
      <c r="U14" s="261"/>
      <c r="V14" s="262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</row>
    <row r="15" ht="4.5" customHeight="1">
      <c r="A15" s="1"/>
      <c r="B15" s="89"/>
      <c r="C15" s="89"/>
      <c r="D15" s="281"/>
      <c r="E15" s="82"/>
      <c r="F15" s="280"/>
      <c r="G15" s="16"/>
      <c r="H15" s="16"/>
      <c r="I15" s="918"/>
      <c r="J15" s="292"/>
      <c r="K15" s="284"/>
      <c r="L15" s="91"/>
      <c r="M15" s="16"/>
      <c r="N15" s="189"/>
      <c r="O15" s="16"/>
      <c r="P15" s="285"/>
      <c r="Q15" s="185"/>
      <c r="R15" s="189"/>
      <c r="S15" s="16"/>
      <c r="T15" s="265"/>
      <c r="U15" s="261"/>
      <c r="V15" s="262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</row>
    <row r="16" ht="13.5" customHeight="1">
      <c r="A16" s="1"/>
      <c r="B16" s="89" t="s">
        <v>465</v>
      </c>
      <c r="C16" s="89"/>
      <c r="D16" s="281"/>
      <c r="E16" s="82"/>
      <c r="F16" s="272">
        <f>IF('H Non trad'!F26&gt;0,'H Non trad'!F23,'H Non trad'!D23)</f>
        <v>-1088743</v>
      </c>
      <c r="G16" s="16"/>
      <c r="H16" s="270">
        <f>IF(F14&lt;&gt;0,-F16/F14,"")</f>
        <v>0.05761386624</v>
      </c>
      <c r="I16" s="918"/>
      <c r="J16" s="292"/>
      <c r="K16" s="284"/>
      <c r="L16" s="272">
        <f>'E Budg CY'!F16</f>
        <v>-1071600</v>
      </c>
      <c r="M16" s="16"/>
      <c r="N16" s="189"/>
      <c r="O16" s="16"/>
      <c r="P16" s="285"/>
      <c r="Q16" s="185"/>
      <c r="R16" s="189">
        <f>F16-L16</f>
        <v>-17143</v>
      </c>
      <c r="S16" s="16"/>
      <c r="T16" s="260">
        <f>IFERROR(R16/L16,"-")</f>
        <v>0.01599757372</v>
      </c>
      <c r="U16" s="261"/>
      <c r="V16" s="262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</row>
    <row r="17" ht="4.5" customHeight="1">
      <c r="A17" s="1"/>
      <c r="B17" s="89"/>
      <c r="C17" s="89"/>
      <c r="D17" s="281"/>
      <c r="E17" s="82"/>
      <c r="F17" s="274"/>
      <c r="G17" s="16"/>
      <c r="H17" s="189"/>
      <c r="I17" s="918"/>
      <c r="J17" s="292"/>
      <c r="K17" s="284"/>
      <c r="L17" s="274"/>
      <c r="M17" s="16"/>
      <c r="N17" s="189"/>
      <c r="O17" s="16"/>
      <c r="P17" s="285"/>
      <c r="Q17" s="185"/>
      <c r="R17" s="274"/>
      <c r="S17" s="16"/>
      <c r="T17" s="274"/>
      <c r="U17" s="261"/>
      <c r="V17" s="262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</row>
    <row r="18" ht="13.5" customHeight="1">
      <c r="A18" s="1"/>
      <c r="B18" s="111" t="str">
        <f>'E Budg CY'!B18</f>
        <v>       Net Tuition &amp; Fees--Non Traditional</v>
      </c>
      <c r="C18" s="89"/>
      <c r="D18" s="281"/>
      <c r="E18" s="82"/>
      <c r="F18" s="280"/>
      <c r="G18" s="16"/>
      <c r="H18" s="189">
        <f>F14+F16</f>
        <v>17808496</v>
      </c>
      <c r="I18" s="918"/>
      <c r="J18" s="920"/>
      <c r="K18" s="82"/>
      <c r="L18" s="280"/>
      <c r="M18" s="16"/>
      <c r="N18" s="189">
        <f>L14+L16</f>
        <v>17848468</v>
      </c>
      <c r="O18" s="16"/>
      <c r="P18" s="278"/>
      <c r="Q18" s="279"/>
      <c r="R18" s="189">
        <f>R14+R16</f>
        <v>-39972</v>
      </c>
      <c r="S18" s="16"/>
      <c r="T18" s="260">
        <f>IF(N18&lt;&gt;0,R18/N18,"-     ")</f>
        <v>-0.002239519941</v>
      </c>
      <c r="U18" s="261"/>
      <c r="V18" s="262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</row>
    <row r="19" ht="4.5" customHeight="1">
      <c r="A19" s="1"/>
      <c r="B19" s="89"/>
      <c r="C19" s="89"/>
      <c r="D19" s="281"/>
      <c r="E19" s="82"/>
      <c r="F19" s="280"/>
      <c r="G19" s="16"/>
      <c r="H19" s="196"/>
      <c r="I19" s="918"/>
      <c r="J19" s="920"/>
      <c r="K19" s="82"/>
      <c r="L19" s="280"/>
      <c r="M19" s="16"/>
      <c r="N19" s="196"/>
      <c r="O19" s="16"/>
      <c r="P19" s="278"/>
      <c r="Q19" s="279"/>
      <c r="R19" s="274"/>
      <c r="S19" s="16"/>
      <c r="T19" s="274"/>
      <c r="U19" s="261"/>
      <c r="V19" s="262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ht="14.25" customHeight="1">
      <c r="A20" s="1"/>
      <c r="B20" s="132" t="str">
        <f>'E Budg CY'!B20</f>
        <v>       Net Tuition &amp; Fees</v>
      </c>
      <c r="C20" s="89"/>
      <c r="D20" s="281"/>
      <c r="E20" s="82"/>
      <c r="F20" s="16"/>
      <c r="G20" s="16"/>
      <c r="H20" s="189">
        <f>H12+H18</f>
        <v>47699289.07</v>
      </c>
      <c r="I20" s="918"/>
      <c r="J20" s="356"/>
      <c r="K20" s="82"/>
      <c r="L20" s="16"/>
      <c r="M20" s="16"/>
      <c r="N20" s="189">
        <f>N12+N18</f>
        <v>47856099</v>
      </c>
      <c r="O20" s="16"/>
      <c r="P20" s="259"/>
      <c r="Q20" s="91"/>
      <c r="R20" s="189">
        <f>H20-N20</f>
        <v>-156809.9265</v>
      </c>
      <c r="S20" s="16"/>
      <c r="T20" s="260">
        <f>IF(N20&lt;&gt;0,R20/N20,"-     ")</f>
        <v>-0.0032766968</v>
      </c>
      <c r="U20" s="261"/>
      <c r="V20" s="262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</row>
    <row r="21" ht="4.5" customHeight="1">
      <c r="A21" s="1"/>
      <c r="B21" s="132"/>
      <c r="C21" s="89"/>
      <c r="D21" s="281"/>
      <c r="E21" s="82"/>
      <c r="F21" s="16"/>
      <c r="G21" s="16"/>
      <c r="H21" s="189"/>
      <c r="I21" s="918"/>
      <c r="J21" s="356"/>
      <c r="K21" s="82"/>
      <c r="L21" s="16"/>
      <c r="M21" s="16"/>
      <c r="N21" s="189"/>
      <c r="O21" s="16"/>
      <c r="P21" s="259"/>
      <c r="Q21" s="91"/>
      <c r="R21" s="189"/>
      <c r="S21" s="16"/>
      <c r="T21" s="265"/>
      <c r="U21" s="261"/>
      <c r="V21" s="262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</row>
    <row r="22" ht="14.25" customHeight="1">
      <c r="A22" s="1"/>
      <c r="B22" s="132" t="s">
        <v>466</v>
      </c>
      <c r="C22" s="89"/>
      <c r="D22" s="281"/>
      <c r="E22" s="82"/>
      <c r="F22" s="16"/>
      <c r="G22" s="16"/>
      <c r="H22" s="189">
        <f>'I Student rev'!$P$32</f>
        <v>10044010.32</v>
      </c>
      <c r="I22" s="918"/>
      <c r="J22" s="921"/>
      <c r="K22" s="82"/>
      <c r="L22" s="16"/>
      <c r="M22" s="16"/>
      <c r="N22" s="189">
        <f>'E Budg CY'!H22</f>
        <v>9895500</v>
      </c>
      <c r="O22" s="16"/>
      <c r="P22" s="281"/>
      <c r="Q22" s="89"/>
      <c r="R22" s="189">
        <f>H22-N22</f>
        <v>148510.3204</v>
      </c>
      <c r="S22" s="16"/>
      <c r="T22" s="260">
        <f>IF(N22&lt;&gt;0,R22/N22,"-     ")</f>
        <v>0.01500786422</v>
      </c>
      <c r="U22" s="89"/>
      <c r="V22" s="28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</row>
    <row r="23" ht="4.5" customHeight="1">
      <c r="A23" s="1"/>
      <c r="B23" s="89"/>
      <c r="C23" s="89"/>
      <c r="D23" s="281"/>
      <c r="E23" s="82"/>
      <c r="F23" s="280"/>
      <c r="G23" s="16"/>
      <c r="H23" s="16"/>
      <c r="I23" s="918"/>
      <c r="J23" s="292"/>
      <c r="K23" s="284"/>
      <c r="L23" s="16"/>
      <c r="M23" s="16"/>
      <c r="N23" s="189"/>
      <c r="O23" s="16"/>
      <c r="P23" s="285"/>
      <c r="Q23" s="185"/>
      <c r="R23" s="189"/>
      <c r="S23" s="16"/>
      <c r="T23" s="265"/>
      <c r="U23" s="261"/>
      <c r="V23" s="262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ht="15.0" customHeight="1">
      <c r="A24" s="1"/>
      <c r="B24" s="132" t="s">
        <v>467</v>
      </c>
      <c r="C24" s="89"/>
      <c r="D24" s="281"/>
      <c r="E24" s="82"/>
      <c r="F24" s="16"/>
      <c r="G24" s="16"/>
      <c r="H24" s="16"/>
      <c r="I24" s="918"/>
      <c r="J24" s="292"/>
      <c r="K24" s="284"/>
      <c r="L24" s="16"/>
      <c r="M24" s="16"/>
      <c r="N24" s="189"/>
      <c r="O24" s="16"/>
      <c r="P24" s="285"/>
      <c r="Q24" s="185"/>
      <c r="R24" s="189"/>
      <c r="S24" s="16"/>
      <c r="T24" s="289"/>
      <c r="U24" s="261"/>
      <c r="V24" s="262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ht="3.75" customHeight="1">
      <c r="A25" s="1"/>
      <c r="B25" s="1"/>
      <c r="C25" s="1"/>
      <c r="D25" s="281"/>
      <c r="E25" s="1"/>
      <c r="F25" s="1"/>
      <c r="G25" s="1"/>
      <c r="H25" s="1"/>
      <c r="I25" s="918"/>
      <c r="J25" s="292"/>
      <c r="K25" s="1"/>
      <c r="L25" s="1"/>
      <c r="M25" s="1"/>
      <c r="N25" s="291"/>
      <c r="O25" s="1"/>
      <c r="P25" s="292"/>
      <c r="Q25" s="1"/>
      <c r="R25" s="189"/>
      <c r="S25" s="16"/>
      <c r="T25" s="289"/>
      <c r="U25" s="261"/>
      <c r="V25" s="262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</row>
    <row r="26" ht="13.5" customHeight="1">
      <c r="A26" s="1"/>
      <c r="B26" s="89" t="str">
        <f>IF('E Budg CY'!B26="","",'E Budg CY'!B26)</f>
        <v>    Annual fund (unrestricted) donations  </v>
      </c>
      <c r="C26" s="89"/>
      <c r="D26" s="281"/>
      <c r="E26" s="82"/>
      <c r="F26" s="139">
        <v>3400000.0</v>
      </c>
      <c r="G26" s="16"/>
      <c r="H26" s="16"/>
      <c r="I26" s="918"/>
      <c r="J26" s="292"/>
      <c r="K26" s="82"/>
      <c r="L26" s="189">
        <f>'E Budg CY'!F26</f>
        <v>3100000</v>
      </c>
      <c r="M26" s="16"/>
      <c r="N26" s="189"/>
      <c r="O26" s="16"/>
      <c r="P26" s="285"/>
      <c r="Q26" s="185"/>
      <c r="R26" s="189">
        <f>F26-L26</f>
        <v>300000</v>
      </c>
      <c r="S26" s="16"/>
      <c r="T26" s="260">
        <f>IF(L26&lt;&gt;0,R26/L26,"-     ")</f>
        <v>0.09677419355</v>
      </c>
      <c r="U26" s="261"/>
      <c r="V26" s="262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</row>
    <row r="27" ht="3.75" customHeight="1">
      <c r="A27" s="1"/>
      <c r="B27" s="1"/>
      <c r="C27" s="89"/>
      <c r="D27" s="281"/>
      <c r="E27" s="82"/>
      <c r="F27" s="118"/>
      <c r="G27" s="16"/>
      <c r="H27" s="16"/>
      <c r="I27" s="918"/>
      <c r="J27" s="921"/>
      <c r="K27" s="82"/>
      <c r="L27" s="189"/>
      <c r="M27" s="16"/>
      <c r="N27" s="189"/>
      <c r="O27" s="16"/>
      <c r="P27" s="281"/>
      <c r="Q27" s="89"/>
      <c r="R27" s="189"/>
      <c r="S27" s="16"/>
      <c r="T27" s="265"/>
      <c r="U27" s="261"/>
      <c r="V27" s="262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</row>
    <row r="28" ht="13.5" customHeight="1">
      <c r="A28" s="1"/>
      <c r="B28" s="16" t="str">
        <f>IF('E Budg CY'!B28="","",'E Budg CY'!B28)</f>
        <v>    Other operating revenues</v>
      </c>
      <c r="C28" s="89"/>
      <c r="D28" s="281"/>
      <c r="E28" s="82"/>
      <c r="F28" s="139">
        <v>1702000.0</v>
      </c>
      <c r="G28" s="16"/>
      <c r="H28" s="16"/>
      <c r="I28" s="918"/>
      <c r="J28" s="921"/>
      <c r="K28" s="82"/>
      <c r="L28" s="189">
        <f>'E Budg CY'!F28</f>
        <v>1700000</v>
      </c>
      <c r="M28" s="16"/>
      <c r="N28" s="189"/>
      <c r="O28" s="16"/>
      <c r="P28" s="281"/>
      <c r="Q28" s="89"/>
      <c r="R28" s="189">
        <f>F28-L28</f>
        <v>2000</v>
      </c>
      <c r="S28" s="16"/>
      <c r="T28" s="260">
        <f>IF(L28&lt;&gt;0,R28/L28,"-     ")</f>
        <v>0.001176470588</v>
      </c>
      <c r="U28" s="89"/>
      <c r="V28" s="28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</row>
    <row r="29" ht="3.75" customHeight="1">
      <c r="A29" s="1"/>
      <c r="B29" s="1"/>
      <c r="C29" s="89"/>
      <c r="D29" s="281"/>
      <c r="E29" s="82"/>
      <c r="F29" s="118"/>
      <c r="G29" s="16"/>
      <c r="H29" s="16"/>
      <c r="I29" s="918"/>
      <c r="J29" s="292"/>
      <c r="K29" s="82"/>
      <c r="L29" s="189"/>
      <c r="M29" s="16"/>
      <c r="N29" s="189"/>
      <c r="O29" s="16"/>
      <c r="P29" s="285"/>
      <c r="Q29" s="185"/>
      <c r="R29" s="189"/>
      <c r="S29" s="16"/>
      <c r="T29" s="265"/>
      <c r="U29" s="89"/>
      <c r="V29" s="28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</row>
    <row r="30" ht="13.5" customHeight="1">
      <c r="A30" s="1"/>
      <c r="B30" s="16" t="str">
        <f>IF('E Budg CY'!B30="","",'E Budg CY'!B30)</f>
        <v>    Government grants</v>
      </c>
      <c r="C30" s="82"/>
      <c r="D30" s="281"/>
      <c r="E30" s="82"/>
      <c r="F30" s="139">
        <v>290000.0</v>
      </c>
      <c r="G30" s="16"/>
      <c r="H30" s="16"/>
      <c r="I30" s="918"/>
      <c r="J30" s="292"/>
      <c r="K30" s="82"/>
      <c r="L30" s="189">
        <f>'E Budg CY'!F30</f>
        <v>550000</v>
      </c>
      <c r="M30" s="16"/>
      <c r="N30" s="189"/>
      <c r="O30" s="16"/>
      <c r="P30" s="285"/>
      <c r="Q30" s="185"/>
      <c r="R30" s="189">
        <f>F30-L30</f>
        <v>-260000</v>
      </c>
      <c r="S30" s="16"/>
      <c r="T30" s="260">
        <f>IF(L30&lt;&gt;0,R30/L30,"-     ")</f>
        <v>-0.4727272727</v>
      </c>
      <c r="U30" s="261"/>
      <c r="V30" s="262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</row>
    <row r="31" ht="3.75" customHeight="1">
      <c r="A31" s="1"/>
      <c r="B31" s="1"/>
      <c r="C31" s="82"/>
      <c r="D31" s="281"/>
      <c r="E31" s="82"/>
      <c r="F31" s="118"/>
      <c r="G31" s="16"/>
      <c r="H31" s="16"/>
      <c r="I31" s="918"/>
      <c r="J31" s="292"/>
      <c r="K31" s="82"/>
      <c r="L31" s="1"/>
      <c r="M31" s="16"/>
      <c r="N31" s="189"/>
      <c r="O31" s="16"/>
      <c r="P31" s="285"/>
      <c r="Q31" s="185"/>
      <c r="R31" s="189"/>
      <c r="S31" s="16"/>
      <c r="T31" s="265"/>
      <c r="U31" s="261"/>
      <c r="V31" s="262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</row>
    <row r="32" ht="14.25" customHeight="1">
      <c r="A32" s="1"/>
      <c r="B32" s="89" t="str">
        <f>IF('E Budg CY'!B32="","",'E Budg CY'!B32)</f>
        <v/>
      </c>
      <c r="C32" s="82"/>
      <c r="D32" s="281"/>
      <c r="E32" s="82"/>
      <c r="F32" s="139"/>
      <c r="G32" s="16"/>
      <c r="H32" s="16"/>
      <c r="I32" s="918"/>
      <c r="J32" s="292"/>
      <c r="K32" s="82"/>
      <c r="L32" s="189" t="str">
        <f>'E Budg CY'!F32</f>
        <v/>
      </c>
      <c r="M32" s="16"/>
      <c r="N32" s="189"/>
      <c r="O32" s="16"/>
      <c r="P32" s="285"/>
      <c r="Q32" s="185"/>
      <c r="R32" s="189">
        <f>F32-L32</f>
        <v>0</v>
      </c>
      <c r="S32" s="16"/>
      <c r="T32" s="260" t="str">
        <f>IF(L32&lt;&gt;0,R32/L32,"-     ")</f>
        <v>-     </v>
      </c>
      <c r="U32" s="261"/>
      <c r="V32" s="262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</row>
    <row r="33" ht="4.5" customHeight="1">
      <c r="A33" s="1"/>
      <c r="B33" s="1"/>
      <c r="C33" s="82"/>
      <c r="D33" s="281"/>
      <c r="E33" s="82"/>
      <c r="F33" s="118"/>
      <c r="G33" s="16"/>
      <c r="H33" s="16"/>
      <c r="I33" s="918"/>
      <c r="J33" s="292"/>
      <c r="K33" s="82"/>
      <c r="L33" s="1"/>
      <c r="M33" s="16"/>
      <c r="N33" s="189"/>
      <c r="O33" s="16"/>
      <c r="P33" s="285"/>
      <c r="Q33" s="185"/>
      <c r="R33" s="189"/>
      <c r="S33" s="16"/>
      <c r="T33" s="265"/>
      <c r="U33" s="261"/>
      <c r="V33" s="262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</row>
    <row r="34" ht="14.25" customHeight="1">
      <c r="A34" s="1"/>
      <c r="B34" s="89" t="str">
        <f>IF('E Budg CY'!B34="","",'E Budg CY'!B34)</f>
        <v/>
      </c>
      <c r="C34" s="82"/>
      <c r="D34" s="281"/>
      <c r="E34" s="82"/>
      <c r="F34" s="139"/>
      <c r="G34" s="16"/>
      <c r="H34" s="16"/>
      <c r="I34" s="918"/>
      <c r="J34" s="292"/>
      <c r="K34" s="82"/>
      <c r="L34" s="189" t="str">
        <f>'E Budg CY'!F34</f>
        <v/>
      </c>
      <c r="M34" s="16"/>
      <c r="N34" s="189"/>
      <c r="O34" s="16"/>
      <c r="P34" s="285"/>
      <c r="Q34" s="185"/>
      <c r="R34" s="189">
        <f>F34-L34</f>
        <v>0</v>
      </c>
      <c r="S34" s="16"/>
      <c r="T34" s="260" t="str">
        <f>IF(L34&lt;&gt;0,R34/L34,"-     ")</f>
        <v>-     </v>
      </c>
      <c r="U34" s="261"/>
      <c r="V34" s="262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</row>
    <row r="35" ht="3.75" customHeight="1">
      <c r="A35" s="1"/>
      <c r="B35" s="1"/>
      <c r="C35" s="82"/>
      <c r="D35" s="281"/>
      <c r="E35" s="82"/>
      <c r="F35" s="118"/>
      <c r="G35" s="16"/>
      <c r="H35" s="16"/>
      <c r="I35" s="918"/>
      <c r="J35" s="292"/>
      <c r="K35" s="82"/>
      <c r="L35" s="1"/>
      <c r="M35" s="16"/>
      <c r="N35" s="189"/>
      <c r="O35" s="16"/>
      <c r="P35" s="285"/>
      <c r="Q35" s="185"/>
      <c r="R35" s="189"/>
      <c r="S35" s="16"/>
      <c r="T35" s="265"/>
      <c r="U35" s="261"/>
      <c r="V35" s="262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</row>
    <row r="36" ht="13.5" customHeight="1">
      <c r="A36" s="1"/>
      <c r="B36" s="16" t="str">
        <f>IF('E Budg CY'!B36="","",'E Budg CY'!B36)</f>
        <v>    Unrestricted investment income</v>
      </c>
      <c r="C36" s="82"/>
      <c r="D36" s="281"/>
      <c r="E36" s="82"/>
      <c r="F36" s="139">
        <v>150000.0</v>
      </c>
      <c r="G36" s="16"/>
      <c r="H36" s="16"/>
      <c r="I36" s="918"/>
      <c r="J36" s="292"/>
      <c r="K36" s="82"/>
      <c r="L36" s="189">
        <f>'E Budg CY'!F36</f>
        <v>140000</v>
      </c>
      <c r="M36" s="16"/>
      <c r="N36" s="189"/>
      <c r="O36" s="16"/>
      <c r="P36" s="285"/>
      <c r="Q36" s="185"/>
      <c r="R36" s="189">
        <f>F36-L36</f>
        <v>10000</v>
      </c>
      <c r="S36" s="16"/>
      <c r="T36" s="260">
        <f>IF(L36&lt;&gt;0,R36/L36,"-     ")</f>
        <v>0.07142857143</v>
      </c>
      <c r="U36" s="261"/>
      <c r="V36" s="262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</row>
    <row r="37" ht="3.75" customHeight="1">
      <c r="A37" s="1"/>
      <c r="B37" s="1"/>
      <c r="C37" s="82"/>
      <c r="D37" s="281"/>
      <c r="E37" s="82"/>
      <c r="F37" s="118"/>
      <c r="G37" s="16"/>
      <c r="H37" s="16"/>
      <c r="I37" s="918"/>
      <c r="J37" s="292"/>
      <c r="K37" s="82"/>
      <c r="L37" s="1"/>
      <c r="M37" s="16"/>
      <c r="N37" s="189"/>
      <c r="O37" s="16"/>
      <c r="P37" s="285"/>
      <c r="Q37" s="185"/>
      <c r="R37" s="189"/>
      <c r="S37" s="16"/>
      <c r="T37" s="265"/>
      <c r="U37" s="261"/>
      <c r="V37" s="262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</row>
    <row r="38" ht="13.5" customHeight="1">
      <c r="A38" s="1"/>
      <c r="B38" s="89" t="str">
        <f>IF('E Budg CY'!B38="","",'E Budg CY'!B38)</f>
        <v>    Accrued revenue to be received in the next year</v>
      </c>
      <c r="C38" s="82"/>
      <c r="D38" s="281"/>
      <c r="E38" s="82"/>
      <c r="F38" s="139"/>
      <c r="G38" s="16"/>
      <c r="H38" s="16"/>
      <c r="I38" s="918"/>
      <c r="J38" s="292"/>
      <c r="K38" s="82"/>
      <c r="L38" s="189" t="str">
        <f>'E Budg CY'!F38</f>
        <v/>
      </c>
      <c r="M38" s="16"/>
      <c r="N38" s="189"/>
      <c r="O38" s="16"/>
      <c r="P38" s="285"/>
      <c r="Q38" s="185"/>
      <c r="R38" s="189">
        <f>F38-L38</f>
        <v>0</v>
      </c>
      <c r="S38" s="16"/>
      <c r="T38" s="260" t="str">
        <f>IF(L38&lt;&gt;0,R38/L38,"-     ")</f>
        <v>-     </v>
      </c>
      <c r="U38" s="261"/>
      <c r="V38" s="262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</row>
    <row r="39" ht="3.75" customHeight="1">
      <c r="A39" s="1"/>
      <c r="B39" s="1"/>
      <c r="C39" s="82"/>
      <c r="D39" s="281"/>
      <c r="E39" s="82"/>
      <c r="F39" s="1"/>
      <c r="G39" s="1"/>
      <c r="H39" s="1"/>
      <c r="I39" s="1"/>
      <c r="J39" s="292"/>
      <c r="K39" s="1"/>
      <c r="L39" s="294"/>
      <c r="M39" s="1"/>
      <c r="N39" s="295"/>
      <c r="O39" s="1"/>
      <c r="P39" s="281"/>
      <c r="Q39" s="1"/>
      <c r="R39" s="127"/>
      <c r="S39" s="16"/>
      <c r="T39" s="294"/>
      <c r="U39" s="261"/>
      <c r="V39" s="262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</row>
    <row r="40" ht="14.25" customHeight="1">
      <c r="A40" s="1"/>
      <c r="B40" s="111" t="str">
        <f>'E Budg CY'!B40</f>
        <v>        Net Non-Student Revenues</v>
      </c>
      <c r="C40" s="82"/>
      <c r="D40" s="281"/>
      <c r="E40" s="82"/>
      <c r="F40" s="16"/>
      <c r="G40" s="16"/>
      <c r="H40" s="189">
        <f>SUM(F26:F38)</f>
        <v>5542000</v>
      </c>
      <c r="I40" s="918"/>
      <c r="J40" s="292"/>
      <c r="K40" s="82"/>
      <c r="L40" s="16"/>
      <c r="M40" s="16"/>
      <c r="N40" s="189">
        <f>SUM(L26:L38)</f>
        <v>5490000</v>
      </c>
      <c r="O40" s="16"/>
      <c r="P40" s="285"/>
      <c r="Q40" s="185"/>
      <c r="R40" s="189">
        <f>SUM(R26:R38)</f>
        <v>52000</v>
      </c>
      <c r="S40" s="16"/>
      <c r="T40" s="260">
        <f>IF(N40&lt;&gt;0,R40/N40,"-     ")</f>
        <v>0.009471766849</v>
      </c>
      <c r="U40" s="261"/>
      <c r="V40" s="262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</row>
    <row r="41" ht="4.5" customHeight="1">
      <c r="A41" s="1"/>
      <c r="B41" s="111"/>
      <c r="C41" s="82"/>
      <c r="D41" s="281"/>
      <c r="E41" s="82"/>
      <c r="F41" s="16"/>
      <c r="G41" s="16"/>
      <c r="H41" s="189"/>
      <c r="I41" s="918"/>
      <c r="J41" s="292"/>
      <c r="K41" s="82"/>
      <c r="L41" s="16"/>
      <c r="M41" s="16"/>
      <c r="N41" s="189"/>
      <c r="O41" s="16"/>
      <c r="P41" s="285"/>
      <c r="Q41" s="185"/>
      <c r="R41" s="189"/>
      <c r="S41" s="16"/>
      <c r="T41" s="260"/>
      <c r="U41" s="261"/>
      <c r="V41" s="262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</row>
    <row r="42" ht="14.25" customHeight="1">
      <c r="A42" s="1"/>
      <c r="B42" s="132" t="s">
        <v>196</v>
      </c>
      <c r="C42" s="82"/>
      <c r="D42" s="281"/>
      <c r="E42" s="82"/>
      <c r="F42" s="16"/>
      <c r="G42" s="16"/>
      <c r="H42" s="189">
        <f>'G Price-Aid'!F20+'G Price-Aid'!F18</f>
        <v>2320000</v>
      </c>
      <c r="I42" s="918"/>
      <c r="J42" s="292"/>
      <c r="K42" s="82"/>
      <c r="L42" s="16"/>
      <c r="M42" s="16"/>
      <c r="N42" s="189">
        <f>'E Budg CY'!H42</f>
        <v>2320000</v>
      </c>
      <c r="O42" s="16"/>
      <c r="P42" s="285"/>
      <c r="Q42" s="185"/>
      <c r="R42" s="189">
        <f>H42-N42</f>
        <v>0</v>
      </c>
      <c r="S42" s="16"/>
      <c r="T42" s="260">
        <f>IF(N42&lt;&gt;0,R42/N42,"-     ")</f>
        <v>0</v>
      </c>
      <c r="U42" s="261"/>
      <c r="V42" s="262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</row>
    <row r="43" ht="4.5" customHeight="1">
      <c r="A43" s="1"/>
      <c r="B43" s="132"/>
      <c r="C43" s="1"/>
      <c r="D43" s="281"/>
      <c r="E43" s="1"/>
      <c r="F43" s="16"/>
      <c r="G43" s="16"/>
      <c r="H43" s="1"/>
      <c r="I43" s="918"/>
      <c r="J43" s="292"/>
      <c r="K43" s="82"/>
      <c r="L43" s="16"/>
      <c r="M43" s="16"/>
      <c r="N43" s="295"/>
      <c r="O43" s="16"/>
      <c r="P43" s="285"/>
      <c r="Q43" s="185"/>
      <c r="R43" s="189"/>
      <c r="S43" s="16"/>
      <c r="T43" s="289"/>
      <c r="U43" s="261"/>
      <c r="V43" s="262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</row>
    <row r="44" ht="13.5" customHeight="1">
      <c r="A44" s="1"/>
      <c r="B44" s="132" t="s">
        <v>197</v>
      </c>
      <c r="C44" s="89"/>
      <c r="D44" s="281"/>
      <c r="E44" s="82"/>
      <c r="F44" s="1"/>
      <c r="G44" s="296"/>
      <c r="H44" s="189">
        <f>-'M Non student'!F92+'M Non student'!F111+'M Non student'!F119-H42</f>
        <v>5439130.817</v>
      </c>
      <c r="I44" s="918"/>
      <c r="J44" s="292"/>
      <c r="K44" s="82"/>
      <c r="L44" s="16"/>
      <c r="M44" s="16"/>
      <c r="N44" s="189">
        <f>'E Budg CY'!H44</f>
        <v>5439130.817</v>
      </c>
      <c r="O44" s="16"/>
      <c r="P44" s="285"/>
      <c r="Q44" s="185"/>
      <c r="R44" s="189">
        <f>H44-N44</f>
        <v>0</v>
      </c>
      <c r="S44" s="16"/>
      <c r="T44" s="260">
        <f>IF(N44&lt;&gt;0,R44/N44,"-     ")</f>
        <v>0</v>
      </c>
      <c r="U44" s="261"/>
      <c r="V44" s="262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ht="3.75" customHeight="1">
      <c r="A45" s="1"/>
      <c r="B45" s="89"/>
      <c r="C45" s="89"/>
      <c r="D45" s="281"/>
      <c r="E45" s="82"/>
      <c r="F45" s="16"/>
      <c r="G45" s="16"/>
      <c r="H45" s="196"/>
      <c r="I45" s="918"/>
      <c r="J45" s="292"/>
      <c r="K45" s="82"/>
      <c r="L45" s="16"/>
      <c r="M45" s="16"/>
      <c r="N45" s="196"/>
      <c r="O45" s="16"/>
      <c r="P45" s="285"/>
      <c r="Q45" s="185"/>
      <c r="R45" s="196"/>
      <c r="S45" s="16"/>
      <c r="T45" s="297"/>
      <c r="U45" s="261"/>
      <c r="V45" s="262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ht="14.25" customHeight="1">
      <c r="A46" s="1"/>
      <c r="B46" s="111" t="str">
        <f>'E Budg CY'!B46</f>
        <v>Operating Revenues</v>
      </c>
      <c r="C46" s="89"/>
      <c r="D46" s="281"/>
      <c r="E46" s="82"/>
      <c r="F46" s="16"/>
      <c r="G46" s="16"/>
      <c r="H46" s="189">
        <f>SUM(H20:H44)</f>
        <v>71044430.21</v>
      </c>
      <c r="I46" s="922"/>
      <c r="J46" s="923"/>
      <c r="K46" s="922"/>
      <c r="L46" s="258"/>
      <c r="M46" s="258"/>
      <c r="N46" s="189">
        <f>SUM(N20:N44)</f>
        <v>71000729.82</v>
      </c>
      <c r="O46" s="16"/>
      <c r="P46" s="281"/>
      <c r="Q46" s="89"/>
      <c r="R46" s="189">
        <f>R20+R22+R40+R44</f>
        <v>43700.39397</v>
      </c>
      <c r="S46" s="16"/>
      <c r="T46" s="260">
        <f>IF(N46&lt;&gt;0,R46/N46,"-     ")</f>
        <v>0.0006154921799</v>
      </c>
      <c r="U46" s="89"/>
      <c r="V46" s="28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</row>
    <row r="47" ht="4.5" customHeight="1">
      <c r="A47" s="1"/>
      <c r="B47" s="89"/>
      <c r="C47" s="89"/>
      <c r="D47" s="281"/>
      <c r="E47" s="82"/>
      <c r="F47" s="16"/>
      <c r="G47" s="16"/>
      <c r="H47" s="294"/>
      <c r="I47" s="918"/>
      <c r="J47" s="292"/>
      <c r="K47" s="82"/>
      <c r="L47" s="16"/>
      <c r="M47" s="16"/>
      <c r="N47" s="294"/>
      <c r="O47" s="16"/>
      <c r="P47" s="285"/>
      <c r="Q47" s="185"/>
      <c r="R47" s="294"/>
      <c r="S47" s="16"/>
      <c r="T47" s="297"/>
      <c r="U47" s="261"/>
      <c r="V47" s="262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ht="14.25" customHeight="1">
      <c r="A48" s="1"/>
      <c r="B48" s="111" t="str">
        <f>'E Budg CY'!B48</f>
        <v>Expenses</v>
      </c>
      <c r="C48" s="247"/>
      <c r="D48" s="281"/>
      <c r="E48" s="82"/>
      <c r="F48" s="16"/>
      <c r="G48" s="16"/>
      <c r="H48" s="16"/>
      <c r="I48" s="918"/>
      <c r="J48" s="921"/>
      <c r="K48" s="82"/>
      <c r="L48" s="16"/>
      <c r="M48" s="16"/>
      <c r="N48" s="189"/>
      <c r="O48" s="16"/>
      <c r="P48" s="281"/>
      <c r="Q48" s="89"/>
      <c r="R48" s="16"/>
      <c r="S48" s="16"/>
      <c r="T48" s="289"/>
      <c r="U48" s="89"/>
      <c r="V48" s="28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</row>
    <row r="49" ht="3.75" customHeight="1">
      <c r="A49" s="1"/>
      <c r="B49" s="158"/>
      <c r="C49" s="89"/>
      <c r="D49" s="281"/>
      <c r="E49" s="82"/>
      <c r="F49" s="16"/>
      <c r="G49" s="16"/>
      <c r="H49" s="16"/>
      <c r="I49" s="918"/>
      <c r="J49" s="921"/>
      <c r="K49" s="82"/>
      <c r="L49" s="16"/>
      <c r="M49" s="16"/>
      <c r="N49" s="189"/>
      <c r="O49" s="16"/>
      <c r="P49" s="281"/>
      <c r="Q49" s="89"/>
      <c r="R49" s="16"/>
      <c r="S49" s="16"/>
      <c r="T49" s="289"/>
      <c r="U49" s="89"/>
      <c r="V49" s="28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</row>
    <row r="50" ht="13.5" customHeight="1">
      <c r="A50" s="1"/>
      <c r="B50" s="16" t="str">
        <f>IF('E Budg CY'!B50="","",'E Budg CY'!B50)</f>
        <v>Salaries and benefits</v>
      </c>
      <c r="C50" s="89"/>
      <c r="D50" s="281"/>
      <c r="E50" s="82"/>
      <c r="F50" s="159">
        <v>3.2847553E7</v>
      </c>
      <c r="G50" s="16"/>
      <c r="H50" s="16"/>
      <c r="I50" s="918"/>
      <c r="J50" s="921"/>
      <c r="K50" s="82"/>
      <c r="L50" s="189">
        <f>'E Budg CY'!F50</f>
        <v>32977459</v>
      </c>
      <c r="M50" s="16"/>
      <c r="N50" s="189"/>
      <c r="O50" s="16"/>
      <c r="P50" s="281"/>
      <c r="Q50" s="89"/>
      <c r="R50" s="303">
        <f>F50-L50</f>
        <v>-129906</v>
      </c>
      <c r="S50" s="16"/>
      <c r="T50" s="260">
        <f>IF(L50&lt;&gt;0,R50/L50,"-     ")</f>
        <v>-0.003939236192</v>
      </c>
      <c r="U50" s="89"/>
      <c r="V50" s="28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</row>
    <row r="51" ht="4.5" customHeight="1">
      <c r="A51" s="1"/>
      <c r="B51" s="89"/>
      <c r="C51" s="89"/>
      <c r="D51" s="281"/>
      <c r="E51" s="82"/>
      <c r="F51" s="118"/>
      <c r="G51" s="16"/>
      <c r="H51" s="16"/>
      <c r="I51" s="918"/>
      <c r="J51" s="921"/>
      <c r="K51" s="82"/>
      <c r="L51" s="189"/>
      <c r="M51" s="16"/>
      <c r="N51" s="189"/>
      <c r="O51" s="16"/>
      <c r="P51" s="281"/>
      <c r="Q51" s="89"/>
      <c r="R51" s="303"/>
      <c r="S51" s="16"/>
      <c r="T51" s="265"/>
      <c r="U51" s="89"/>
      <c r="V51" s="28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ht="13.5" customHeight="1">
      <c r="A52" s="1"/>
      <c r="B52" s="16" t="str">
        <f>IF('E Budg CY'!B52="","",'E Budg CY'!B52)</f>
        <v>Other operating costs</v>
      </c>
      <c r="C52" s="89"/>
      <c r="D52" s="281"/>
      <c r="E52" s="82"/>
      <c r="F52" s="159">
        <v>3.175742E7</v>
      </c>
      <c r="G52" s="16"/>
      <c r="H52" s="16"/>
      <c r="I52" s="918"/>
      <c r="J52" s="292"/>
      <c r="K52" s="284"/>
      <c r="L52" s="189">
        <f>'E Budg CY'!F52</f>
        <v>31604374</v>
      </c>
      <c r="M52" s="16"/>
      <c r="N52" s="189"/>
      <c r="O52" s="16"/>
      <c r="P52" s="285"/>
      <c r="Q52" s="185"/>
      <c r="R52" s="303">
        <f>F52-L52</f>
        <v>153046</v>
      </c>
      <c r="S52" s="16"/>
      <c r="T52" s="260">
        <f>IF(L52&lt;&gt;0,R52/L52,"-     ")</f>
        <v>0.004842557552</v>
      </c>
      <c r="U52" s="261"/>
      <c r="V52" s="262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ht="4.5" customHeight="1">
      <c r="A53" s="1"/>
      <c r="B53" s="89"/>
      <c r="C53" s="89"/>
      <c r="D53" s="281"/>
      <c r="E53" s="82"/>
      <c r="F53" s="118"/>
      <c r="G53" s="16"/>
      <c r="H53" s="16"/>
      <c r="I53" s="918"/>
      <c r="J53" s="292"/>
      <c r="K53" s="284"/>
      <c r="L53" s="189"/>
      <c r="M53" s="16"/>
      <c r="N53" s="189"/>
      <c r="O53" s="16"/>
      <c r="P53" s="285"/>
      <c r="Q53" s="185"/>
      <c r="R53" s="303"/>
      <c r="S53" s="16"/>
      <c r="T53" s="265"/>
      <c r="U53" s="261"/>
      <c r="V53" s="262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ht="13.5" customHeight="1">
      <c r="A54" s="1"/>
      <c r="B54" s="16" t="str">
        <f>IF('E Budg CY'!B54="","",'E Budg CY'!B54)</f>
        <v>Offsets of amounts below</v>
      </c>
      <c r="C54" s="89"/>
      <c r="D54" s="281"/>
      <c r="E54" s="82"/>
      <c r="F54" s="159">
        <f>-F64-F66-F68-F72-F74-F76-H80</f>
        <v>-27122842.17</v>
      </c>
      <c r="G54" s="16"/>
      <c r="H54" s="16"/>
      <c r="I54" s="918"/>
      <c r="J54" s="292"/>
      <c r="K54" s="284"/>
      <c r="L54" s="189">
        <f>'E Budg CY'!F54</f>
        <v>-26929341</v>
      </c>
      <c r="M54" s="16"/>
      <c r="N54" s="189"/>
      <c r="O54" s="16"/>
      <c r="P54" s="285"/>
      <c r="Q54" s="185"/>
      <c r="R54" s="303">
        <f>F54-L54</f>
        <v>-193501.1719</v>
      </c>
      <c r="S54" s="16"/>
      <c r="T54" s="260">
        <f>IF(L54&lt;&gt;0,R54/L54,"-     ")</f>
        <v>0.007185514563</v>
      </c>
      <c r="U54" s="261"/>
      <c r="V54" s="262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</row>
    <row r="55" ht="4.5" customHeight="1">
      <c r="A55" s="1"/>
      <c r="B55" s="89"/>
      <c r="C55" s="89"/>
      <c r="D55" s="281"/>
      <c r="E55" s="82"/>
      <c r="F55" s="118"/>
      <c r="G55" s="16"/>
      <c r="H55" s="16"/>
      <c r="I55" s="918"/>
      <c r="J55" s="292"/>
      <c r="K55" s="284"/>
      <c r="L55" s="189"/>
      <c r="M55" s="16"/>
      <c r="N55" s="189"/>
      <c r="O55" s="16"/>
      <c r="P55" s="285"/>
      <c r="Q55" s="185"/>
      <c r="R55" s="303"/>
      <c r="S55" s="16"/>
      <c r="T55" s="265"/>
      <c r="U55" s="261"/>
      <c r="V55" s="262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</row>
    <row r="56" ht="15.0" customHeight="1">
      <c r="A56" s="1"/>
      <c r="B56" s="89" t="str">
        <f>IF('E Budg CY'!B56="","",'E Budg CY'!B56)</f>
        <v/>
      </c>
      <c r="C56" s="89"/>
      <c r="D56" s="281"/>
      <c r="E56" s="82"/>
      <c r="F56" s="159"/>
      <c r="G56" s="16"/>
      <c r="H56" s="16"/>
      <c r="I56" s="918"/>
      <c r="J56" s="292"/>
      <c r="K56" s="284"/>
      <c r="L56" s="189" t="str">
        <f>'E Budg CY'!F56</f>
        <v/>
      </c>
      <c r="M56" s="16"/>
      <c r="N56" s="189"/>
      <c r="O56" s="16"/>
      <c r="P56" s="285"/>
      <c r="Q56" s="185"/>
      <c r="R56" s="303">
        <f>F56-L56</f>
        <v>0</v>
      </c>
      <c r="S56" s="16"/>
      <c r="T56" s="260" t="str">
        <f>IF(L56&lt;&gt;0,R56/L56,"-     ")</f>
        <v>-     </v>
      </c>
      <c r="U56" s="261"/>
      <c r="V56" s="262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</row>
    <row r="57" ht="4.5" customHeight="1">
      <c r="A57" s="1"/>
      <c r="B57" s="89"/>
      <c r="C57" s="89"/>
      <c r="D57" s="281"/>
      <c r="E57" s="82"/>
      <c r="F57" s="118"/>
      <c r="G57" s="16"/>
      <c r="H57" s="16"/>
      <c r="I57" s="918"/>
      <c r="J57" s="292"/>
      <c r="K57" s="284"/>
      <c r="L57" s="189"/>
      <c r="M57" s="16"/>
      <c r="N57" s="189"/>
      <c r="O57" s="16"/>
      <c r="P57" s="285"/>
      <c r="Q57" s="185"/>
      <c r="R57" s="303"/>
      <c r="S57" s="16"/>
      <c r="T57" s="265"/>
      <c r="U57" s="261"/>
      <c r="V57" s="262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</row>
    <row r="58" ht="14.25" customHeight="1">
      <c r="A58" s="1"/>
      <c r="B58" s="89" t="str">
        <f>IF('E Budg CY'!B58="","",'E Budg CY'!B58)</f>
        <v/>
      </c>
      <c r="C58" s="89"/>
      <c r="D58" s="281"/>
      <c r="E58" s="82"/>
      <c r="F58" s="159">
        <v>0.0</v>
      </c>
      <c r="G58" s="16"/>
      <c r="H58" s="16"/>
      <c r="I58" s="918"/>
      <c r="J58" s="292"/>
      <c r="K58" s="284"/>
      <c r="L58" s="189" t="str">
        <f>'E Budg CY'!F58</f>
        <v/>
      </c>
      <c r="M58" s="16"/>
      <c r="N58" s="189"/>
      <c r="O58" s="16"/>
      <c r="P58" s="285"/>
      <c r="Q58" s="185"/>
      <c r="R58" s="303">
        <f>F58-L58</f>
        <v>0</v>
      </c>
      <c r="S58" s="16"/>
      <c r="T58" s="260" t="str">
        <f>IF(L58&lt;&gt;0,R58/L58,"-     ")</f>
        <v>-     </v>
      </c>
      <c r="U58" s="261"/>
      <c r="V58" s="262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</row>
    <row r="59" ht="4.5" customHeight="1">
      <c r="A59" s="1"/>
      <c r="B59" s="89"/>
      <c r="C59" s="89"/>
      <c r="D59" s="281"/>
      <c r="E59" s="82"/>
      <c r="F59" s="118"/>
      <c r="G59" s="16"/>
      <c r="H59" s="16"/>
      <c r="I59" s="918"/>
      <c r="J59" s="292"/>
      <c r="K59" s="284"/>
      <c r="L59" s="189"/>
      <c r="M59" s="16"/>
      <c r="N59" s="189"/>
      <c r="O59" s="16"/>
      <c r="P59" s="285"/>
      <c r="Q59" s="185"/>
      <c r="R59" s="303"/>
      <c r="S59" s="16"/>
      <c r="T59" s="265"/>
      <c r="U59" s="261"/>
      <c r="V59" s="262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ht="15.0" customHeight="1">
      <c r="A60" s="1"/>
      <c r="B60" s="89" t="str">
        <f>IF('E Budg CY'!B60="","",'E Budg CY'!B60)</f>
        <v/>
      </c>
      <c r="C60" s="89"/>
      <c r="D60" s="281"/>
      <c r="E60" s="82"/>
      <c r="F60" s="159">
        <v>0.0</v>
      </c>
      <c r="G60" s="16"/>
      <c r="H60" s="16"/>
      <c r="I60" s="918"/>
      <c r="J60" s="292"/>
      <c r="K60" s="284"/>
      <c r="L60" s="189" t="str">
        <f>'E Budg CY'!F60</f>
        <v/>
      </c>
      <c r="M60" s="16"/>
      <c r="N60" s="189"/>
      <c r="O60" s="16"/>
      <c r="P60" s="285"/>
      <c r="Q60" s="185"/>
      <c r="R60" s="303">
        <f>F60-L60</f>
        <v>0</v>
      </c>
      <c r="S60" s="16"/>
      <c r="T60" s="260" t="str">
        <f>IF(L60&lt;&gt;0,R60/L60,"-     ")</f>
        <v>-     </v>
      </c>
      <c r="U60" s="261"/>
      <c r="V60" s="262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ht="4.5" customHeight="1">
      <c r="A61" s="1"/>
      <c r="B61" s="89"/>
      <c r="C61" s="89"/>
      <c r="D61" s="281"/>
      <c r="E61" s="82"/>
      <c r="F61" s="118"/>
      <c r="G61" s="16"/>
      <c r="H61" s="16"/>
      <c r="I61" s="918"/>
      <c r="J61" s="292"/>
      <c r="K61" s="284"/>
      <c r="L61" s="189"/>
      <c r="M61" s="16"/>
      <c r="N61" s="189"/>
      <c r="O61" s="16"/>
      <c r="P61" s="285"/>
      <c r="Q61" s="185"/>
      <c r="R61" s="303"/>
      <c r="S61" s="16"/>
      <c r="T61" s="265"/>
      <c r="U61" s="261"/>
      <c r="V61" s="262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</row>
    <row r="62" ht="13.5" customHeight="1">
      <c r="A62" s="1"/>
      <c r="B62" s="89" t="str">
        <f>IF('E Budg CY'!B62="","",'E Budg CY'!B62)</f>
        <v/>
      </c>
      <c r="C62" s="89"/>
      <c r="D62" s="281"/>
      <c r="E62" s="82"/>
      <c r="F62" s="139"/>
      <c r="G62" s="16"/>
      <c r="H62" s="16"/>
      <c r="I62" s="918"/>
      <c r="J62" s="292"/>
      <c r="K62" s="284"/>
      <c r="L62" s="189" t="str">
        <f>'E Budg CY'!F62</f>
        <v/>
      </c>
      <c r="M62" s="16"/>
      <c r="N62" s="189"/>
      <c r="O62" s="16"/>
      <c r="P62" s="285"/>
      <c r="Q62" s="185"/>
      <c r="R62" s="303">
        <f>F62-L62</f>
        <v>0</v>
      </c>
      <c r="S62" s="16"/>
      <c r="T62" s="260" t="str">
        <f>IF(L62&lt;&gt;0,R62/L62,"-     ")</f>
        <v>-     </v>
      </c>
      <c r="U62" s="261"/>
      <c r="V62" s="262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</row>
    <row r="63" ht="4.5" customHeight="1">
      <c r="A63" s="1"/>
      <c r="B63" s="89"/>
      <c r="C63" s="89"/>
      <c r="D63" s="281"/>
      <c r="E63" s="82"/>
      <c r="F63" s="305"/>
      <c r="G63" s="16"/>
      <c r="H63" s="16"/>
      <c r="I63" s="918"/>
      <c r="J63" s="292"/>
      <c r="K63" s="284"/>
      <c r="L63" s="189"/>
      <c r="M63" s="16"/>
      <c r="N63" s="189"/>
      <c r="O63" s="16"/>
      <c r="P63" s="285"/>
      <c r="Q63" s="185"/>
      <c r="R63" s="303"/>
      <c r="S63" s="16"/>
      <c r="T63" s="265"/>
      <c r="U63" s="261"/>
      <c r="V63" s="262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ht="13.5" customHeight="1">
      <c r="A64" s="1"/>
      <c r="B64" s="89" t="s">
        <v>207</v>
      </c>
      <c r="C64" s="89"/>
      <c r="D64" s="281"/>
      <c r="E64" s="82"/>
      <c r="F64" s="139">
        <v>6801342.0</v>
      </c>
      <c r="G64" s="16"/>
      <c r="H64" s="16"/>
      <c r="I64" s="917"/>
      <c r="J64" s="283"/>
      <c r="K64" s="284"/>
      <c r="L64" s="189">
        <f>'E Budg CY'!F64</f>
        <v>6750000</v>
      </c>
      <c r="M64" s="16"/>
      <c r="N64" s="295"/>
      <c r="O64" s="280"/>
      <c r="P64" s="285"/>
      <c r="Q64" s="185"/>
      <c r="R64" s="303">
        <f>F64-L64</f>
        <v>51342</v>
      </c>
      <c r="S64" s="16"/>
      <c r="T64" s="260">
        <f>IF(L64&lt;&gt;0,R64/L64,"-     ")</f>
        <v>0.007606222222</v>
      </c>
      <c r="U64" s="261"/>
      <c r="V64" s="262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ht="4.5" customHeight="1">
      <c r="A65" s="1"/>
      <c r="B65" s="89"/>
      <c r="C65" s="89"/>
      <c r="D65" s="281"/>
      <c r="E65" s="82"/>
      <c r="F65" s="118"/>
      <c r="G65" s="16"/>
      <c r="H65" s="16"/>
      <c r="I65" s="917"/>
      <c r="J65" s="283"/>
      <c r="K65" s="284"/>
      <c r="L65" s="189"/>
      <c r="M65" s="16"/>
      <c r="N65" s="295"/>
      <c r="O65" s="280"/>
      <c r="P65" s="285"/>
      <c r="Q65" s="185"/>
      <c r="R65" s="303"/>
      <c r="S65" s="16"/>
      <c r="T65" s="265"/>
      <c r="U65" s="261"/>
      <c r="V65" s="262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ht="13.5" customHeight="1">
      <c r="A66" s="1"/>
      <c r="B66" s="89" t="s">
        <v>118</v>
      </c>
      <c r="C66" s="89"/>
      <c r="D66" s="281"/>
      <c r="E66" s="82"/>
      <c r="F66" s="16">
        <f>'L Capital'!L183</f>
        <v>1497652.397</v>
      </c>
      <c r="G66" s="16"/>
      <c r="H66" s="16"/>
      <c r="I66" s="917"/>
      <c r="J66" s="283"/>
      <c r="K66" s="284"/>
      <c r="L66" s="189">
        <f>'E Budg CY'!F66</f>
        <v>1400000</v>
      </c>
      <c r="M66" s="16"/>
      <c r="N66" s="295"/>
      <c r="O66" s="280"/>
      <c r="P66" s="285"/>
      <c r="Q66" s="185"/>
      <c r="R66" s="303">
        <f>F66-L66</f>
        <v>97652.39667</v>
      </c>
      <c r="S66" s="16"/>
      <c r="T66" s="260">
        <f>IF(L66&lt;&gt;0,R66/L66,"-     ")</f>
        <v>0.0697517119</v>
      </c>
      <c r="U66" s="261"/>
      <c r="V66" s="262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ht="3.75" customHeight="1">
      <c r="A67" s="1"/>
      <c r="B67" s="89"/>
      <c r="C67" s="89"/>
      <c r="D67" s="281"/>
      <c r="E67" s="82"/>
      <c r="F67" s="118"/>
      <c r="G67" s="16"/>
      <c r="H67" s="16"/>
      <c r="I67" s="917"/>
      <c r="J67" s="283"/>
      <c r="K67" s="82"/>
      <c r="L67" s="189"/>
      <c r="M67" s="16"/>
      <c r="N67" s="189"/>
      <c r="O67" s="16"/>
      <c r="P67" s="285"/>
      <c r="Q67" s="185"/>
      <c r="R67" s="303"/>
      <c r="S67" s="16"/>
      <c r="T67" s="265"/>
      <c r="U67" s="261"/>
      <c r="V67" s="262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ht="14.25" customHeight="1">
      <c r="A68" s="1"/>
      <c r="B68" s="89" t="s">
        <v>120</v>
      </c>
      <c r="C68" s="89"/>
      <c r="D68" s="281"/>
      <c r="E68" s="82"/>
      <c r="F68" s="139">
        <v>3032700.0</v>
      </c>
      <c r="G68" s="118"/>
      <c r="H68" s="118"/>
      <c r="I68" s="300"/>
      <c r="J68" s="301"/>
      <c r="K68" s="302"/>
      <c r="L68" s="189">
        <f>'E Budg CY'!F68</f>
        <v>3000000</v>
      </c>
      <c r="M68" s="16"/>
      <c r="N68" s="295"/>
      <c r="O68" s="280"/>
      <c r="P68" s="292"/>
      <c r="Q68" s="284"/>
      <c r="R68" s="303">
        <f>F68-L68</f>
        <v>32700</v>
      </c>
      <c r="S68" s="16"/>
      <c r="T68" s="260">
        <f>IF(L68&lt;&gt;0,R68/L68,"-     ")</f>
        <v>0.0109</v>
      </c>
      <c r="U68" s="261"/>
      <c r="V68" s="262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ht="4.5" customHeight="1">
      <c r="A69" s="1"/>
      <c r="B69" s="89"/>
      <c r="C69" s="89"/>
      <c r="D69" s="281"/>
      <c r="E69" s="82"/>
      <c r="F69" s="118"/>
      <c r="G69" s="16"/>
      <c r="H69" s="16"/>
      <c r="I69" s="918"/>
      <c r="J69" s="292"/>
      <c r="K69" s="284"/>
      <c r="L69" s="189"/>
      <c r="M69" s="16"/>
      <c r="N69" s="189"/>
      <c r="O69" s="16"/>
      <c r="P69" s="285"/>
      <c r="Q69" s="185"/>
      <c r="R69" s="303"/>
      <c r="S69" s="16"/>
      <c r="T69" s="265"/>
      <c r="U69" s="261"/>
      <c r="V69" s="262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ht="14.25" customHeight="1">
      <c r="A70" s="1"/>
      <c r="B70" s="89" t="s">
        <v>469</v>
      </c>
      <c r="C70" s="89"/>
      <c r="D70" s="281"/>
      <c r="E70" s="82"/>
      <c r="F70" s="139"/>
      <c r="G70" s="16"/>
      <c r="H70" s="16"/>
      <c r="I70" s="918"/>
      <c r="J70" s="292"/>
      <c r="K70" s="284"/>
      <c r="L70" s="189" t="str">
        <f>'E Budg CY'!F70</f>
        <v/>
      </c>
      <c r="M70" s="16"/>
      <c r="N70" s="189"/>
      <c r="O70" s="16"/>
      <c r="P70" s="285"/>
      <c r="Q70" s="185"/>
      <c r="R70" s="303">
        <f>F70-L70</f>
        <v>0</v>
      </c>
      <c r="S70" s="16"/>
      <c r="T70" s="260" t="str">
        <f>IF(L70&lt;&gt;0,R70/L70,"-     ")</f>
        <v>-     </v>
      </c>
      <c r="U70" s="261"/>
      <c r="V70" s="262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ht="4.5" customHeight="1">
      <c r="A71" s="1"/>
      <c r="B71" s="89"/>
      <c r="C71" s="89"/>
      <c r="D71" s="281"/>
      <c r="E71" s="82"/>
      <c r="F71" s="118"/>
      <c r="G71" s="306"/>
      <c r="H71" s="118"/>
      <c r="I71" s="300"/>
      <c r="J71" s="301"/>
      <c r="K71" s="302"/>
      <c r="L71" s="189"/>
      <c r="M71" s="189"/>
      <c r="N71" s="189"/>
      <c r="O71" s="280"/>
      <c r="P71" s="292"/>
      <c r="Q71" s="284"/>
      <c r="R71" s="303"/>
      <c r="S71" s="16"/>
      <c r="T71" s="260"/>
      <c r="U71" s="261"/>
      <c r="V71" s="262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ht="14.25" customHeight="1">
      <c r="A72" s="1"/>
      <c r="B72" s="89" t="s">
        <v>470</v>
      </c>
      <c r="C72" s="89"/>
      <c r="D72" s="281"/>
      <c r="E72" s="82"/>
      <c r="F72" s="189">
        <f>'L Capital'!L50*'L Capital'!L52</f>
        <v>105000</v>
      </c>
      <c r="G72" s="306"/>
      <c r="H72" s="118"/>
      <c r="I72" s="300"/>
      <c r="J72" s="301"/>
      <c r="K72" s="302"/>
      <c r="L72" s="189" t="str">
        <f>'E Budg CY'!F72</f>
        <v/>
      </c>
      <c r="M72" s="189"/>
      <c r="N72" s="189"/>
      <c r="O72" s="280"/>
      <c r="P72" s="292"/>
      <c r="Q72" s="284"/>
      <c r="R72" s="303">
        <f>F72-L72</f>
        <v>105000</v>
      </c>
      <c r="S72" s="16"/>
      <c r="T72" s="260" t="str">
        <f>IF(L72&lt;&gt;0,R72/L72,"-     ")</f>
        <v>-     </v>
      </c>
      <c r="U72" s="261"/>
      <c r="V72" s="262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ht="4.5" customHeight="1">
      <c r="A73" s="1"/>
      <c r="B73" s="89"/>
      <c r="C73" s="89"/>
      <c r="D73" s="281"/>
      <c r="E73" s="82"/>
      <c r="F73" s="118"/>
      <c r="G73" s="16"/>
      <c r="H73" s="16"/>
      <c r="I73" s="918"/>
      <c r="J73" s="292"/>
      <c r="K73" s="284"/>
      <c r="L73" s="189"/>
      <c r="M73" s="16"/>
      <c r="N73" s="189"/>
      <c r="O73" s="16"/>
      <c r="P73" s="285"/>
      <c r="Q73" s="185"/>
      <c r="R73" s="303"/>
      <c r="S73" s="16"/>
      <c r="T73" s="265"/>
      <c r="U73" s="261"/>
      <c r="V73" s="262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ht="13.5" customHeight="1">
      <c r="A74" s="1"/>
      <c r="B74" s="89" t="s">
        <v>471</v>
      </c>
      <c r="C74" s="89"/>
      <c r="D74" s="281"/>
      <c r="E74" s="82"/>
      <c r="F74" s="16">
        <f>'H Non trad'!F47</f>
        <v>8415372</v>
      </c>
      <c r="G74" s="16"/>
      <c r="H74" s="16"/>
      <c r="I74" s="918"/>
      <c r="J74" s="292"/>
      <c r="K74" s="284"/>
      <c r="L74" s="189">
        <f>'E Budg CY'!F74</f>
        <v>8419341</v>
      </c>
      <c r="M74" s="16"/>
      <c r="N74" s="189"/>
      <c r="O74" s="16"/>
      <c r="P74" s="285"/>
      <c r="Q74" s="185"/>
      <c r="R74" s="303">
        <f>F74-L74</f>
        <v>-3969</v>
      </c>
      <c r="S74" s="16"/>
      <c r="T74" s="260">
        <f>IF(L74&lt;&gt;0,R74/L74,"-     ")</f>
        <v>-0.000471414568</v>
      </c>
      <c r="U74" s="261"/>
      <c r="V74" s="262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ht="4.5" customHeight="1">
      <c r="A75" s="1"/>
      <c r="B75" s="1"/>
      <c r="C75" s="89"/>
      <c r="D75" s="281"/>
      <c r="E75" s="82"/>
      <c r="F75" s="118"/>
      <c r="G75" s="118"/>
      <c r="H75" s="118"/>
      <c r="I75" s="300"/>
      <c r="J75" s="301"/>
      <c r="K75" s="302"/>
      <c r="L75" s="189"/>
      <c r="M75" s="189"/>
      <c r="N75" s="189"/>
      <c r="O75" s="280"/>
      <c r="P75" s="292"/>
      <c r="Q75" s="284"/>
      <c r="R75" s="303"/>
      <c r="S75" s="16"/>
      <c r="T75" s="260"/>
      <c r="U75" s="261"/>
      <c r="V75" s="262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</row>
    <row r="76" ht="14.25" customHeight="1">
      <c r="A76" s="1"/>
      <c r="B76" s="89" t="s">
        <v>472</v>
      </c>
      <c r="C76" s="89"/>
      <c r="D76" s="281"/>
      <c r="E76" s="82"/>
      <c r="F76" s="189">
        <f>'K Strategic'!H33</f>
        <v>231140</v>
      </c>
      <c r="G76" s="306"/>
      <c r="H76" s="1"/>
      <c r="I76" s="300"/>
      <c r="J76" s="301"/>
      <c r="K76" s="302"/>
      <c r="L76" s="189">
        <f>'E Budg CY'!F76</f>
        <v>240000</v>
      </c>
      <c r="M76" s="189"/>
      <c r="N76" s="189"/>
      <c r="O76" s="280"/>
      <c r="P76" s="292"/>
      <c r="Q76" s="284"/>
      <c r="R76" s="303">
        <f>F76-L76</f>
        <v>-8860</v>
      </c>
      <c r="S76" s="16"/>
      <c r="T76" s="260">
        <f>IF(L76&lt;&gt;0,R76/L76,"-     ")</f>
        <v>-0.03691666667</v>
      </c>
      <c r="U76" s="261"/>
      <c r="V76" s="262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ht="4.5" customHeight="1">
      <c r="A77" s="1"/>
      <c r="B77" s="89"/>
      <c r="C77" s="89"/>
      <c r="D77" s="281"/>
      <c r="E77" s="82"/>
      <c r="F77" s="307"/>
      <c r="G77" s="118"/>
      <c r="H77" s="118"/>
      <c r="I77" s="300"/>
      <c r="J77" s="301"/>
      <c r="K77" s="302"/>
      <c r="L77" s="307"/>
      <c r="M77" s="16"/>
      <c r="N77" s="295"/>
      <c r="O77" s="280"/>
      <c r="P77" s="292"/>
      <c r="Q77" s="284"/>
      <c r="R77" s="127"/>
      <c r="S77" s="16"/>
      <c r="T77" s="308"/>
      <c r="U77" s="261"/>
      <c r="V77" s="262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ht="14.25" customHeight="1">
      <c r="A78" s="1"/>
      <c r="B78" s="132" t="s">
        <v>131</v>
      </c>
      <c r="C78" s="89"/>
      <c r="D78" s="281"/>
      <c r="E78" s="82"/>
      <c r="F78" s="16"/>
      <c r="G78" s="16"/>
      <c r="H78" s="189">
        <f>SUM(F50:F76)</f>
        <v>57565337.22</v>
      </c>
      <c r="I78" s="267"/>
      <c r="J78" s="283"/>
      <c r="K78" s="82"/>
      <c r="L78" s="16"/>
      <c r="M78" s="16"/>
      <c r="N78" s="189">
        <f>SUM(L50:L76)</f>
        <v>57461833</v>
      </c>
      <c r="O78" s="16"/>
      <c r="P78" s="285"/>
      <c r="Q78" s="185"/>
      <c r="R78" s="303">
        <f>SUM(R50:R76)</f>
        <v>103504.2247</v>
      </c>
      <c r="S78" s="16"/>
      <c r="T78" s="260">
        <f>IF(N78&lt;&gt;0,R78/N78,"-     ")</f>
        <v>0.001801269109</v>
      </c>
      <c r="U78" s="261"/>
      <c r="V78" s="262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ht="4.5" customHeight="1">
      <c r="A79" s="1"/>
      <c r="B79" s="132"/>
      <c r="C79" s="89"/>
      <c r="D79" s="281"/>
      <c r="E79" s="82"/>
      <c r="F79" s="16"/>
      <c r="G79" s="16"/>
      <c r="H79" s="16"/>
      <c r="I79" s="917"/>
      <c r="J79" s="257"/>
      <c r="K79" s="82"/>
      <c r="L79" s="16"/>
      <c r="M79" s="16"/>
      <c r="N79" s="189"/>
      <c r="O79" s="16"/>
      <c r="P79" s="285"/>
      <c r="Q79" s="185"/>
      <c r="R79" s="303"/>
      <c r="S79" s="16"/>
      <c r="T79" s="265"/>
      <c r="U79" s="924"/>
      <c r="V79" s="925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ht="13.5" customHeight="1">
      <c r="A80" s="1"/>
      <c r="B80" s="132" t="s">
        <v>473</v>
      </c>
      <c r="C80" s="89"/>
      <c r="D80" s="281"/>
      <c r="E80" s="82"/>
      <c r="F80" s="16"/>
      <c r="G80" s="296"/>
      <c r="H80" s="295">
        <f>'L Capital'!L192</f>
        <v>7039635.775</v>
      </c>
      <c r="I80" s="311"/>
      <c r="J80" s="283"/>
      <c r="K80" s="284" t="s">
        <v>474</v>
      </c>
      <c r="L80" s="16"/>
      <c r="M80" s="16"/>
      <c r="N80" s="189">
        <f>'E Budg CY'!H80</f>
        <v>7120000</v>
      </c>
      <c r="O80" s="1"/>
      <c r="P80" s="281"/>
      <c r="Q80" s="89"/>
      <c r="R80" s="303">
        <f>H80-N80</f>
        <v>-80364.22475</v>
      </c>
      <c r="S80" s="16"/>
      <c r="T80" s="260">
        <f>IF(N80&lt;&gt;0,R80/N80,"-     ")</f>
        <v>-0.01128711022</v>
      </c>
      <c r="U80" s="362"/>
      <c r="V80" s="362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ht="4.5" customHeight="1">
      <c r="A81" s="1"/>
      <c r="B81" s="89" t="s">
        <v>475</v>
      </c>
      <c r="C81" s="89"/>
      <c r="D81" s="281"/>
      <c r="E81" s="82"/>
      <c r="F81" s="16"/>
      <c r="G81" s="16"/>
      <c r="H81" s="127"/>
      <c r="I81" s="917"/>
      <c r="J81" s="283"/>
      <c r="K81" s="82"/>
      <c r="L81" s="16"/>
      <c r="M81" s="16"/>
      <c r="N81" s="127"/>
      <c r="O81" s="16"/>
      <c r="P81" s="285"/>
      <c r="Q81" s="185"/>
      <c r="R81" s="127"/>
      <c r="S81" s="16"/>
      <c r="T81" s="308"/>
      <c r="U81" s="256"/>
      <c r="V81" s="256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ht="4.5" customHeight="1">
      <c r="A82" s="1"/>
      <c r="B82" s="89"/>
      <c r="C82" s="309"/>
      <c r="D82" s="281"/>
      <c r="E82" s="309"/>
      <c r="F82" s="16"/>
      <c r="G82" s="16"/>
      <c r="H82" s="16"/>
      <c r="I82" s="917"/>
      <c r="J82" s="283"/>
      <c r="K82" s="82"/>
      <c r="L82" s="16"/>
      <c r="M82" s="16"/>
      <c r="N82" s="16"/>
      <c r="O82" s="16"/>
      <c r="P82" s="285"/>
      <c r="Q82" s="185"/>
      <c r="R82" s="16"/>
      <c r="S82" s="16"/>
      <c r="T82" s="265"/>
      <c r="U82" s="256"/>
      <c r="V82" s="256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ht="13.5" customHeight="1">
      <c r="A83" s="1"/>
      <c r="B83" s="111" t="str">
        <f>'E Budg CY'!B83</f>
        <v>Total Operating Expenses</v>
      </c>
      <c r="C83" s="309"/>
      <c r="D83" s="281"/>
      <c r="E83" s="309"/>
      <c r="F83" s="189"/>
      <c r="G83" s="189"/>
      <c r="H83" s="189">
        <f>H78+H80</f>
        <v>64604973</v>
      </c>
      <c r="I83" s="315"/>
      <c r="J83" s="315"/>
      <c r="K83" s="291"/>
      <c r="L83" s="189"/>
      <c r="M83" s="189"/>
      <c r="N83" s="189">
        <f>N78+N80</f>
        <v>64581833</v>
      </c>
      <c r="O83" s="189"/>
      <c r="P83" s="314"/>
      <c r="Q83" s="189"/>
      <c r="R83" s="303">
        <f>R78+R80</f>
        <v>23140</v>
      </c>
      <c r="S83" s="16"/>
      <c r="T83" s="260">
        <f>IF(N83&lt;&gt;0,R83/N83,"-     ")</f>
        <v>0.000358305098</v>
      </c>
      <c r="U83" s="362"/>
      <c r="V83" s="362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</row>
    <row r="84" ht="3.75" customHeight="1">
      <c r="A84" s="1"/>
      <c r="B84" s="132"/>
      <c r="C84" s="309"/>
      <c r="D84" s="281"/>
      <c r="E84" s="309"/>
      <c r="F84" s="16"/>
      <c r="G84" s="16"/>
      <c r="H84" s="127"/>
      <c r="I84" s="283"/>
      <c r="J84" s="315"/>
      <c r="K84" s="16"/>
      <c r="L84" s="16"/>
      <c r="M84" s="16"/>
      <c r="N84" s="274"/>
      <c r="O84" s="271"/>
      <c r="P84" s="315"/>
      <c r="Q84" s="16"/>
      <c r="R84" s="307"/>
      <c r="S84" s="261"/>
      <c r="T84" s="307"/>
      <c r="U84" s="290"/>
      <c r="V84" s="315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</row>
    <row r="85" ht="13.5" customHeight="1">
      <c r="A85" s="1"/>
      <c r="B85" s="111" t="str">
        <f>'E Budg CY'!B85</f>
        <v>Net Operating Contribution (Deficit)</v>
      </c>
      <c r="C85" s="247"/>
      <c r="D85" s="281"/>
      <c r="E85" s="82"/>
      <c r="F85" s="89"/>
      <c r="G85" s="189">
        <f>G46-G84</f>
        <v>0</v>
      </c>
      <c r="H85" s="189">
        <f>H46-H83</f>
        <v>6439457.211</v>
      </c>
      <c r="I85" s="288"/>
      <c r="J85" s="315"/>
      <c r="K85" s="188"/>
      <c r="L85" s="89"/>
      <c r="M85" s="189"/>
      <c r="N85" s="189">
        <f>N46-N83</f>
        <v>6418896.817</v>
      </c>
      <c r="O85" s="315"/>
      <c r="P85" s="315"/>
      <c r="Q85" s="16"/>
      <c r="R85" s="189">
        <f>R46-R83</f>
        <v>20560.39397</v>
      </c>
      <c r="S85" s="261"/>
      <c r="T85" s="260">
        <f>IF(N85&lt;&gt;0,R85/N85,"-     ")</f>
        <v>0.003203103984</v>
      </c>
      <c r="U85" s="290"/>
      <c r="V85" s="315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</row>
    <row r="86" ht="4.5" customHeight="1">
      <c r="A86" s="1"/>
      <c r="B86" s="132"/>
      <c r="C86" s="89"/>
      <c r="D86" s="281"/>
      <c r="E86" s="82"/>
      <c r="F86" s="89"/>
      <c r="G86" s="189"/>
      <c r="H86" s="91"/>
      <c r="I86" s="288"/>
      <c r="J86" s="315"/>
      <c r="K86" s="188"/>
      <c r="L86" s="192"/>
      <c r="M86" s="91"/>
      <c r="N86" s="317"/>
      <c r="O86" s="288"/>
      <c r="P86" s="315"/>
      <c r="Q86" s="16"/>
      <c r="R86" s="192"/>
      <c r="S86" s="261"/>
      <c r="T86" s="261"/>
      <c r="U86" s="290"/>
      <c r="V86" s="315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</row>
    <row r="87" ht="15.0" customHeight="1">
      <c r="A87" s="1"/>
      <c r="B87" s="111" t="str">
        <f>'E Budg CY'!B87</f>
        <v>  Non-operating net assets released - capital</v>
      </c>
      <c r="C87" s="247"/>
      <c r="D87" s="281"/>
      <c r="E87" s="82"/>
      <c r="F87" s="1"/>
      <c r="G87" s="296" t="s">
        <v>476</v>
      </c>
      <c r="H87" s="189">
        <f>-'M Non student'!F131</f>
        <v>2934772</v>
      </c>
      <c r="I87" s="918"/>
      <c r="J87" s="292"/>
      <c r="K87" s="82"/>
      <c r="L87" s="16"/>
      <c r="M87" s="16"/>
      <c r="N87" s="189">
        <f>'E Budg CY'!H87</f>
        <v>2934772</v>
      </c>
      <c r="O87" s="16"/>
      <c r="P87" s="285"/>
      <c r="Q87" s="185"/>
      <c r="R87" s="189">
        <f>H87-N87</f>
        <v>0</v>
      </c>
      <c r="S87" s="16"/>
      <c r="T87" s="260">
        <f>IF(N87&lt;&gt;0,R87/N87,"-     ")</f>
        <v>0</v>
      </c>
      <c r="U87" s="261"/>
      <c r="V87" s="262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</row>
    <row r="88" ht="3.75" customHeight="1">
      <c r="A88" s="1"/>
      <c r="B88" s="132"/>
      <c r="C88" s="247"/>
      <c r="D88" s="281"/>
      <c r="E88" s="82"/>
      <c r="F88" s="1"/>
      <c r="G88" s="296"/>
      <c r="H88" s="189"/>
      <c r="I88" s="918"/>
      <c r="J88" s="292"/>
      <c r="K88" s="82"/>
      <c r="L88" s="16"/>
      <c r="M88" s="16"/>
      <c r="N88" s="189"/>
      <c r="O88" s="16"/>
      <c r="P88" s="285"/>
      <c r="Q88" s="185"/>
      <c r="R88" s="16"/>
      <c r="S88" s="16"/>
      <c r="T88" s="260"/>
      <c r="U88" s="261"/>
      <c r="V88" s="262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</row>
    <row r="89" ht="14.25" customHeight="1">
      <c r="A89" s="1"/>
      <c r="B89" s="111" t="str">
        <f>'E Budg CY'!B89</f>
        <v>  Non-operating gains (losses) - other</v>
      </c>
      <c r="C89" s="89"/>
      <c r="D89" s="281"/>
      <c r="E89" s="82"/>
      <c r="F89" s="926" t="s">
        <v>477</v>
      </c>
      <c r="G89" s="89"/>
      <c r="H89" s="189">
        <f>'M Non student'!F38</f>
        <v>-370070</v>
      </c>
      <c r="I89" s="288"/>
      <c r="J89" s="315"/>
      <c r="K89" s="188"/>
      <c r="L89" s="89"/>
      <c r="M89" s="189"/>
      <c r="N89" s="189">
        <f>'E Budg CY'!H89</f>
        <v>-370070</v>
      </c>
      <c r="O89" s="315"/>
      <c r="P89" s="315"/>
      <c r="Q89" s="16"/>
      <c r="R89" s="189">
        <f>H89-N89</f>
        <v>0</v>
      </c>
      <c r="S89" s="261"/>
      <c r="T89" s="260">
        <f>IF(N89&lt;&gt;0,R89/N89,"-     ")</f>
        <v>0</v>
      </c>
      <c r="U89" s="290"/>
      <c r="V89" s="315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</row>
    <row r="90" ht="4.5" customHeight="1">
      <c r="A90" s="1"/>
      <c r="B90" s="158"/>
      <c r="C90" s="89"/>
      <c r="D90" s="281"/>
      <c r="E90" s="82"/>
      <c r="F90" s="89"/>
      <c r="G90" s="189"/>
      <c r="H90" s="274"/>
      <c r="I90" s="288"/>
      <c r="J90" s="315"/>
      <c r="K90" s="188"/>
      <c r="L90" s="189"/>
      <c r="M90" s="189"/>
      <c r="N90" s="274"/>
      <c r="O90" s="315"/>
      <c r="P90" s="315"/>
      <c r="Q90" s="16"/>
      <c r="R90" s="196"/>
      <c r="S90" s="261"/>
      <c r="T90" s="274"/>
      <c r="U90" s="290"/>
      <c r="V90" s="315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</row>
    <row r="91" ht="15.0" customHeight="1">
      <c r="A91" s="1"/>
      <c r="B91" s="111" t="str">
        <f>'E Budg CY'!B91</f>
        <v>Changes in Net Assets:</v>
      </c>
      <c r="C91" s="247"/>
      <c r="D91" s="281"/>
      <c r="E91" s="82"/>
      <c r="F91" s="89"/>
      <c r="G91" s="189"/>
      <c r="H91" s="91"/>
      <c r="I91" s="288"/>
      <c r="J91" s="315"/>
      <c r="K91" s="188"/>
      <c r="L91" s="189"/>
      <c r="M91" s="189"/>
      <c r="N91" s="291"/>
      <c r="O91" s="315"/>
      <c r="P91" s="315"/>
      <c r="Q91" s="16"/>
      <c r="R91" s="189"/>
      <c r="S91" s="261"/>
      <c r="T91" s="261"/>
      <c r="U91" s="290"/>
      <c r="V91" s="315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</row>
    <row r="92" ht="20.25" customHeight="1">
      <c r="A92" s="1"/>
      <c r="B92" s="927" t="str">
        <f>'E Budg CY'!B92</f>
        <v>    Without donor restrictions</v>
      </c>
      <c r="C92" s="247"/>
      <c r="D92" s="281"/>
      <c r="E92" s="82"/>
      <c r="F92" s="89"/>
      <c r="G92" s="189"/>
      <c r="H92" s="189">
        <f>H85+H87+H89</f>
        <v>9004159.211</v>
      </c>
      <c r="I92" s="264"/>
      <c r="J92" s="288"/>
      <c r="K92" s="82"/>
      <c r="L92" s="189"/>
      <c r="M92" s="189"/>
      <c r="N92" s="189">
        <f>N85+N87+N89</f>
        <v>8983598.817</v>
      </c>
      <c r="O92" s="315"/>
      <c r="P92" s="315"/>
      <c r="Q92" s="16"/>
      <c r="R92" s="189">
        <f>SUM(R85:R89)</f>
        <v>20560.39397</v>
      </c>
      <c r="S92" s="261"/>
      <c r="T92" s="260">
        <f>IF(N92&lt;&gt;0,R92/N92,"-     ")</f>
        <v>0.002288658965</v>
      </c>
      <c r="U92" s="290"/>
      <c r="V92" s="315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</row>
    <row r="93" ht="4.5" customHeight="1">
      <c r="A93" s="1"/>
      <c r="B93" s="158"/>
      <c r="C93" s="247"/>
      <c r="D93" s="281"/>
      <c r="E93" s="82"/>
      <c r="F93" s="89"/>
      <c r="G93" s="189"/>
      <c r="H93" s="91"/>
      <c r="I93" s="288"/>
      <c r="J93" s="315"/>
      <c r="K93" s="188"/>
      <c r="L93" s="189"/>
      <c r="M93" s="189"/>
      <c r="N93" s="291"/>
      <c r="O93" s="315"/>
      <c r="P93" s="315"/>
      <c r="Q93" s="16"/>
      <c r="R93" s="189"/>
      <c r="S93" s="261"/>
      <c r="T93" s="261"/>
      <c r="U93" s="290"/>
      <c r="V93" s="315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</row>
    <row r="94" ht="13.5" customHeight="1">
      <c r="A94" s="1"/>
      <c r="B94" s="111" t="str">
        <f>'E Budg CY'!B94</f>
        <v>    Subject to time or purpose restrictions</v>
      </c>
      <c r="C94" s="247"/>
      <c r="D94" s="281"/>
      <c r="E94" s="82"/>
      <c r="F94" s="1"/>
      <c r="G94" s="296" t="s">
        <v>214</v>
      </c>
      <c r="H94" s="189">
        <f>'M Non student'!F139</f>
        <v>4949337.403</v>
      </c>
      <c r="I94" s="288"/>
      <c r="J94" s="315"/>
      <c r="K94" s="188"/>
      <c r="L94" s="89"/>
      <c r="M94" s="189"/>
      <c r="N94" s="189">
        <f>'E Budg CY'!H94</f>
        <v>4949337.403</v>
      </c>
      <c r="O94" s="315"/>
      <c r="P94" s="315"/>
      <c r="Q94" s="16"/>
      <c r="R94" s="189">
        <f>H94-N94</f>
        <v>0</v>
      </c>
      <c r="S94" s="261"/>
      <c r="T94" s="260">
        <f>IF(N94&lt;&gt;0,R94/N94,"-     ")</f>
        <v>0</v>
      </c>
      <c r="U94" s="290"/>
      <c r="V94" s="315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</row>
    <row r="95" ht="4.5" customHeight="1">
      <c r="A95" s="1"/>
      <c r="B95" s="158"/>
      <c r="C95" s="247"/>
      <c r="D95" s="281"/>
      <c r="E95" s="82"/>
      <c r="F95" s="316"/>
      <c r="G95" s="89"/>
      <c r="H95" s="189"/>
      <c r="I95" s="288"/>
      <c r="J95" s="315"/>
      <c r="K95" s="188"/>
      <c r="L95" s="189"/>
      <c r="M95" s="189"/>
      <c r="N95" s="291"/>
      <c r="O95" s="315"/>
      <c r="P95" s="315"/>
      <c r="Q95" s="16"/>
      <c r="R95" s="189"/>
      <c r="S95" s="261"/>
      <c r="T95" s="261"/>
      <c r="U95" s="290"/>
      <c r="V95" s="315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</row>
    <row r="96" ht="13.5" customHeight="1">
      <c r="A96" s="1"/>
      <c r="B96" s="111" t="str">
        <f>'E Budg CY'!B96</f>
        <v>    Restricted in perpetuity</v>
      </c>
      <c r="C96" s="247"/>
      <c r="D96" s="281"/>
      <c r="E96" s="82"/>
      <c r="F96" s="926" t="s">
        <v>477</v>
      </c>
      <c r="G96" s="296"/>
      <c r="H96" s="189">
        <f>'M Non student'!F74</f>
        <v>3000000</v>
      </c>
      <c r="I96" s="288"/>
      <c r="J96" s="315"/>
      <c r="K96" s="188"/>
      <c r="L96" s="89"/>
      <c r="M96" s="189"/>
      <c r="N96" s="189">
        <f>'E Budg CY'!H96</f>
        <v>3000000</v>
      </c>
      <c r="O96" s="315"/>
      <c r="P96" s="315"/>
      <c r="Q96" s="16"/>
      <c r="R96" s="189">
        <f>H96-N96</f>
        <v>0</v>
      </c>
      <c r="S96" s="261"/>
      <c r="T96" s="260">
        <f>IF(N96&lt;&gt;0,R96/N96,"-     ")</f>
        <v>0</v>
      </c>
      <c r="U96" s="290"/>
      <c r="V96" s="315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</row>
    <row r="97" ht="3.75" customHeight="1">
      <c r="A97" s="1"/>
      <c r="B97" s="158"/>
      <c r="C97" s="247"/>
      <c r="D97" s="281"/>
      <c r="E97" s="82"/>
      <c r="F97" s="89"/>
      <c r="G97" s="189"/>
      <c r="H97" s="274"/>
      <c r="I97" s="288"/>
      <c r="J97" s="315"/>
      <c r="K97" s="188"/>
      <c r="L97" s="189"/>
      <c r="M97" s="189"/>
      <c r="N97" s="274"/>
      <c r="O97" s="315"/>
      <c r="P97" s="315"/>
      <c r="Q97" s="16"/>
      <c r="R97" s="196"/>
      <c r="S97" s="261"/>
      <c r="T97" s="274"/>
      <c r="U97" s="290"/>
      <c r="V97" s="315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</row>
    <row r="98" ht="3.75" customHeight="1">
      <c r="A98" s="1"/>
      <c r="B98" s="158"/>
      <c r="C98" s="247"/>
      <c r="D98" s="281"/>
      <c r="E98" s="82"/>
      <c r="F98" s="89"/>
      <c r="G98" s="192"/>
      <c r="H98" s="91"/>
      <c r="I98" s="288"/>
      <c r="J98" s="315"/>
      <c r="K98" s="188"/>
      <c r="L98" s="192"/>
      <c r="M98" s="91"/>
      <c r="N98" s="317"/>
      <c r="O98" s="288"/>
      <c r="P98" s="315"/>
      <c r="Q98" s="16"/>
      <c r="R98" s="192"/>
      <c r="S98" s="261"/>
      <c r="T98" s="261"/>
      <c r="U98" s="290"/>
      <c r="V98" s="315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</row>
    <row r="99" ht="16.5" customHeight="1">
      <c r="A99" s="1"/>
      <c r="B99" s="111" t="str">
        <f>'E Budg CY'!B99</f>
        <v>Overall Change in Net Assets</v>
      </c>
      <c r="C99" s="247"/>
      <c r="D99" s="281"/>
      <c r="E99" s="82"/>
      <c r="F99" s="89"/>
      <c r="G99" s="324"/>
      <c r="H99" s="321">
        <f>H92+H94+H96</f>
        <v>16953496.61</v>
      </c>
      <c r="I99" s="323"/>
      <c r="J99" s="928"/>
      <c r="K99" s="929"/>
      <c r="L99" s="247"/>
      <c r="M99" s="322"/>
      <c r="N99" s="321">
        <f>N92+N94+N96</f>
        <v>16932936.22</v>
      </c>
      <c r="O99" s="323"/>
      <c r="P99" s="315"/>
      <c r="Q99" s="16"/>
      <c r="R99" s="324">
        <f>H99-N99</f>
        <v>20560.39397</v>
      </c>
      <c r="S99" s="261"/>
      <c r="T99" s="260">
        <f>IF(N99&lt;&gt;0,R99/N99,"-     ")</f>
        <v>0.00121422497</v>
      </c>
      <c r="U99" s="290"/>
      <c r="V99" s="315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</row>
    <row r="100" ht="3.75" customHeight="1">
      <c r="A100" s="1"/>
      <c r="B100" s="158"/>
      <c r="C100" s="247"/>
      <c r="D100" s="281"/>
      <c r="E100" s="82"/>
      <c r="F100" s="89"/>
      <c r="G100" s="192"/>
      <c r="H100" s="930"/>
      <c r="I100" s="288"/>
      <c r="J100" s="315"/>
      <c r="K100" s="188"/>
      <c r="L100" s="192"/>
      <c r="M100" s="91"/>
      <c r="N100" s="326"/>
      <c r="O100" s="288"/>
      <c r="P100" s="315"/>
      <c r="Q100" s="16"/>
      <c r="R100" s="326"/>
      <c r="S100" s="261"/>
      <c r="T100" s="326"/>
      <c r="U100" s="290"/>
      <c r="V100" s="315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</row>
    <row r="101" ht="13.5" customHeight="1">
      <c r="A101" s="1"/>
      <c r="B101" s="158"/>
      <c r="C101" s="247"/>
      <c r="D101" s="281"/>
      <c r="E101" s="82"/>
      <c r="F101" s="89"/>
      <c r="G101" s="192"/>
      <c r="H101" s="91"/>
      <c r="I101" s="328"/>
      <c r="J101" s="328"/>
      <c r="K101" s="931"/>
      <c r="L101" s="192"/>
      <c r="M101" s="91"/>
      <c r="N101" s="317"/>
      <c r="O101" s="327"/>
      <c r="P101" s="328"/>
      <c r="Q101" s="329"/>
      <c r="R101" s="265"/>
      <c r="S101" s="261"/>
      <c r="T101" s="261"/>
      <c r="U101" s="290"/>
      <c r="V101" s="315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</row>
    <row r="102" ht="17.25" customHeight="1">
      <c r="A102" s="1"/>
      <c r="B102" s="89"/>
      <c r="C102" s="247"/>
      <c r="D102" s="281"/>
      <c r="E102" s="82"/>
      <c r="F102" s="932" t="s">
        <v>310</v>
      </c>
      <c r="G102" s="236" t="str">
        <f>'F Population'!P$6</f>
        <v>2026 - 27</v>
      </c>
      <c r="H102" s="237"/>
      <c r="I102" s="239"/>
      <c r="J102" s="239"/>
      <c r="K102" s="240"/>
      <c r="L102" s="932" t="s">
        <v>171</v>
      </c>
      <c r="M102" s="236" t="str">
        <f>'F Population'!P$6</f>
        <v>2026 - 27</v>
      </c>
      <c r="N102" s="237"/>
      <c r="O102" s="239"/>
      <c r="P102" s="239"/>
      <c r="Q102" s="239"/>
      <c r="R102" s="242" t="s">
        <v>173</v>
      </c>
      <c r="S102" s="243"/>
      <c r="T102" s="244"/>
      <c r="U102" s="89"/>
      <c r="V102" s="28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</row>
    <row r="103" ht="4.5" customHeight="1">
      <c r="A103" s="1"/>
      <c r="B103" s="89"/>
      <c r="C103" s="247"/>
      <c r="D103" s="281"/>
      <c r="E103" s="82"/>
      <c r="F103" s="89"/>
      <c r="G103" s="89"/>
      <c r="H103" s="89"/>
      <c r="I103" s="91"/>
      <c r="J103" s="288"/>
      <c r="K103" s="82"/>
      <c r="L103" s="89"/>
      <c r="M103" s="89"/>
      <c r="N103" s="89"/>
      <c r="O103" s="322"/>
      <c r="P103" s="933"/>
      <c r="Q103" s="238"/>
      <c r="R103" s="89"/>
      <c r="S103" s="89"/>
      <c r="T103" s="89"/>
      <c r="U103" s="89"/>
      <c r="V103" s="28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</row>
    <row r="104" ht="14.25" customHeight="1">
      <c r="A104" s="1"/>
      <c r="B104" s="152" t="s">
        <v>216</v>
      </c>
      <c r="C104" s="89"/>
      <c r="D104" s="281"/>
      <c r="E104" s="89"/>
      <c r="F104" s="89"/>
      <c r="G104" s="89"/>
      <c r="H104" s="89"/>
      <c r="I104" s="89"/>
      <c r="J104" s="921"/>
      <c r="K104" s="82"/>
      <c r="L104" s="89"/>
      <c r="M104" s="89"/>
      <c r="N104" s="89"/>
      <c r="O104" s="89"/>
      <c r="P104" s="281"/>
      <c r="Q104" s="89"/>
      <c r="R104" s="16"/>
      <c r="S104" s="16"/>
      <c r="T104" s="289"/>
      <c r="U104" s="89"/>
      <c r="V104" s="28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</row>
    <row r="105" ht="6.0" customHeight="1">
      <c r="A105" s="1"/>
      <c r="B105" s="152"/>
      <c r="C105" s="89"/>
      <c r="D105" s="281"/>
      <c r="E105" s="82"/>
      <c r="F105" s="89"/>
      <c r="G105" s="89"/>
      <c r="H105" s="89"/>
      <c r="I105" s="89"/>
      <c r="J105" s="921"/>
      <c r="K105" s="82"/>
      <c r="L105" s="89"/>
      <c r="M105" s="89"/>
      <c r="N105" s="89"/>
      <c r="O105" s="89"/>
      <c r="P105" s="281"/>
      <c r="Q105" s="89"/>
      <c r="R105" s="16"/>
      <c r="S105" s="16"/>
      <c r="T105" s="289"/>
      <c r="U105" s="89"/>
      <c r="V105" s="28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</row>
    <row r="106" ht="14.25" customHeight="1">
      <c r="A106" s="1"/>
      <c r="B106" s="89" t="s">
        <v>217</v>
      </c>
      <c r="C106" s="89"/>
      <c r="D106" s="281"/>
      <c r="E106" s="82"/>
      <c r="F106" s="330">
        <f>H99</f>
        <v>16953496.61</v>
      </c>
      <c r="G106" s="330"/>
      <c r="H106" s="330"/>
      <c r="I106" s="934"/>
      <c r="J106" s="935"/>
      <c r="K106" s="936"/>
      <c r="L106" s="330">
        <f>N99</f>
        <v>16932936.22</v>
      </c>
      <c r="M106" s="89"/>
      <c r="N106" s="185"/>
      <c r="O106" s="185"/>
      <c r="P106" s="285"/>
      <c r="Q106" s="89"/>
      <c r="R106" s="16"/>
      <c r="S106" s="16"/>
      <c r="T106" s="265"/>
      <c r="U106" s="89"/>
      <c r="V106" s="28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</row>
    <row r="107" ht="3.75" customHeight="1">
      <c r="A107" s="1"/>
      <c r="B107" s="89"/>
      <c r="C107" s="89"/>
      <c r="D107" s="281"/>
      <c r="E107" s="82"/>
      <c r="F107" s="185"/>
      <c r="G107" s="89"/>
      <c r="H107" s="89"/>
      <c r="I107" s="256"/>
      <c r="J107" s="257"/>
      <c r="K107" s="82"/>
      <c r="L107" s="185"/>
      <c r="M107" s="89"/>
      <c r="N107" s="185"/>
      <c r="O107" s="185"/>
      <c r="P107" s="285"/>
      <c r="Q107" s="89"/>
      <c r="R107" s="16"/>
      <c r="S107" s="16"/>
      <c r="T107" s="265"/>
      <c r="U107" s="89"/>
      <c r="V107" s="28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</row>
    <row r="108" ht="15.0" customHeight="1">
      <c r="A108" s="1"/>
      <c r="B108" s="1" t="s">
        <v>478</v>
      </c>
      <c r="C108" s="89"/>
      <c r="D108" s="281"/>
      <c r="E108" s="82"/>
      <c r="F108" s="185">
        <f>'P Fcast 5yr'!G56</f>
        <v>7039635.775</v>
      </c>
      <c r="G108" s="331" t="s">
        <v>219</v>
      </c>
      <c r="H108" s="89"/>
      <c r="I108" s="256"/>
      <c r="J108" s="257"/>
      <c r="K108" s="82"/>
      <c r="L108" s="185">
        <f>'E Budg CY'!F108</f>
        <v>7120000</v>
      </c>
      <c r="M108" s="89"/>
      <c r="N108" s="185"/>
      <c r="O108" s="185"/>
      <c r="P108" s="285"/>
      <c r="Q108" s="89"/>
      <c r="R108" s="16"/>
      <c r="S108" s="16"/>
      <c r="T108" s="265"/>
      <c r="U108" s="89"/>
      <c r="V108" s="28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</row>
    <row r="109" ht="3.75" customHeight="1">
      <c r="A109" s="1"/>
      <c r="B109" s="89"/>
      <c r="C109" s="89"/>
      <c r="D109" s="281"/>
      <c r="E109" s="82"/>
      <c r="F109" s="185"/>
      <c r="G109" s="89"/>
      <c r="H109" s="89"/>
      <c r="I109" s="256"/>
      <c r="J109" s="257"/>
      <c r="K109" s="82"/>
      <c r="L109" s="185"/>
      <c r="M109" s="89"/>
      <c r="N109" s="185"/>
      <c r="O109" s="185"/>
      <c r="P109" s="285"/>
      <c r="Q109" s="89"/>
      <c r="R109" s="16"/>
      <c r="S109" s="16"/>
      <c r="T109" s="265"/>
      <c r="U109" s="89"/>
      <c r="V109" s="28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</row>
    <row r="110" ht="13.5" customHeight="1">
      <c r="A110" s="1"/>
      <c r="B110" s="89" t="s">
        <v>220</v>
      </c>
      <c r="C110" s="89"/>
      <c r="D110" s="281"/>
      <c r="E110" s="82"/>
      <c r="F110" s="85">
        <f>'P Fcast 5yr'!G58</f>
        <v>-918550.991</v>
      </c>
      <c r="G110" s="1"/>
      <c r="H110" s="1"/>
      <c r="I110" s="256"/>
      <c r="J110" s="257"/>
      <c r="K110" s="82"/>
      <c r="L110" s="185">
        <f>'E Budg CY'!F110</f>
        <v>-918550.991</v>
      </c>
      <c r="M110" s="89"/>
      <c r="N110" s="185"/>
      <c r="O110" s="185"/>
      <c r="P110" s="285"/>
      <c r="Q110" s="89"/>
      <c r="R110" s="16"/>
      <c r="S110" s="16"/>
      <c r="T110" s="265"/>
      <c r="U110" s="89"/>
      <c r="V110" s="28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</row>
    <row r="111" ht="3.75" customHeight="1">
      <c r="A111" s="1"/>
      <c r="B111" s="1"/>
      <c r="C111" s="89"/>
      <c r="D111" s="281"/>
      <c r="E111" s="82"/>
      <c r="F111" s="185"/>
      <c r="G111" s="89"/>
      <c r="H111" s="332"/>
      <c r="I111" s="256"/>
      <c r="J111" s="257"/>
      <c r="K111" s="82"/>
      <c r="L111" s="185"/>
      <c r="M111" s="89"/>
      <c r="N111" s="185"/>
      <c r="O111" s="185"/>
      <c r="P111" s="285"/>
      <c r="Q111" s="89"/>
      <c r="R111" s="16"/>
      <c r="S111" s="16"/>
      <c r="T111" s="265"/>
      <c r="U111" s="89"/>
      <c r="V111" s="28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</row>
    <row r="112" ht="15.0" customHeight="1">
      <c r="A112" s="1"/>
      <c r="B112" s="89" t="s">
        <v>221</v>
      </c>
      <c r="C112" s="89"/>
      <c r="D112" s="281"/>
      <c r="E112" s="82"/>
      <c r="F112" s="189">
        <f>'P Fcast 5yr'!G57</f>
        <v>-9409109.403</v>
      </c>
      <c r="G112" s="89"/>
      <c r="H112" s="89"/>
      <c r="I112" s="256"/>
      <c r="J112" s="257"/>
      <c r="K112" s="82"/>
      <c r="L112" s="185">
        <f>'E Budg CY'!F112</f>
        <v>-9409109.403</v>
      </c>
      <c r="M112" s="89"/>
      <c r="N112" s="185"/>
      <c r="O112" s="185"/>
      <c r="P112" s="285"/>
      <c r="Q112" s="89"/>
      <c r="R112" s="16"/>
      <c r="S112" s="16"/>
      <c r="T112" s="265"/>
      <c r="U112" s="89"/>
      <c r="V112" s="28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</row>
    <row r="113" ht="3.75" customHeight="1">
      <c r="A113" s="1"/>
      <c r="B113" s="1"/>
      <c r="C113" s="89"/>
      <c r="D113" s="281"/>
      <c r="E113" s="82"/>
      <c r="F113" s="189"/>
      <c r="G113" s="89"/>
      <c r="H113" s="89"/>
      <c r="I113" s="256"/>
      <c r="J113" s="257"/>
      <c r="K113" s="82"/>
      <c r="L113" s="189"/>
      <c r="M113" s="89"/>
      <c r="N113" s="185"/>
      <c r="O113" s="185"/>
      <c r="P113" s="285"/>
      <c r="Q113" s="89"/>
      <c r="R113" s="16"/>
      <c r="S113" s="16"/>
      <c r="T113" s="265"/>
      <c r="U113" s="89"/>
      <c r="V113" s="28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</row>
    <row r="114" ht="13.5" customHeight="1">
      <c r="A114" s="1"/>
      <c r="B114" s="89" t="s">
        <v>223</v>
      </c>
      <c r="C114" s="89"/>
      <c r="D114" s="281"/>
      <c r="E114" s="82"/>
      <c r="F114" s="85">
        <f>'P Fcast 5yr'!G59</f>
        <v>434987.6797</v>
      </c>
      <c r="G114" s="89"/>
      <c r="H114" s="89"/>
      <c r="I114" s="256"/>
      <c r="J114" s="257"/>
      <c r="K114" s="82"/>
      <c r="L114" s="185">
        <f>'E Budg CY'!F114</f>
        <v>434987.6797</v>
      </c>
      <c r="M114" s="89"/>
      <c r="N114" s="185"/>
      <c r="O114" s="185"/>
      <c r="P114" s="285"/>
      <c r="Q114" s="89"/>
      <c r="R114" s="16"/>
      <c r="S114" s="16"/>
      <c r="T114" s="265"/>
      <c r="U114" s="89"/>
      <c r="V114" s="28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</row>
    <row r="115" ht="4.5" customHeight="1">
      <c r="A115" s="1"/>
      <c r="B115" s="89"/>
      <c r="C115" s="89"/>
      <c r="D115" s="281"/>
      <c r="E115" s="82"/>
      <c r="F115" s="85"/>
      <c r="G115" s="89"/>
      <c r="H115" s="89"/>
      <c r="I115" s="256"/>
      <c r="J115" s="257"/>
      <c r="K115" s="82"/>
      <c r="L115" s="185"/>
      <c r="M115" s="89"/>
      <c r="N115" s="185"/>
      <c r="O115" s="185"/>
      <c r="P115" s="285"/>
      <c r="Q115" s="89"/>
      <c r="R115" s="16"/>
      <c r="S115" s="16"/>
      <c r="T115" s="265"/>
      <c r="U115" s="89"/>
      <c r="V115" s="28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</row>
    <row r="116" ht="13.5" customHeight="1">
      <c r="A116" s="1"/>
      <c r="B116" s="89" t="s">
        <v>225</v>
      </c>
      <c r="C116" s="89"/>
      <c r="D116" s="281"/>
      <c r="E116" s="82"/>
      <c r="F116" s="85">
        <f>'P Fcast 5yr'!G60</f>
        <v>0</v>
      </c>
      <c r="G116" s="89"/>
      <c r="H116" s="89"/>
      <c r="I116" s="256"/>
      <c r="J116" s="257"/>
      <c r="K116" s="82"/>
      <c r="L116" s="185">
        <f>'E Budg CY'!F116</f>
        <v>0</v>
      </c>
      <c r="M116" s="89"/>
      <c r="N116" s="185"/>
      <c r="O116" s="185"/>
      <c r="P116" s="285"/>
      <c r="Q116" s="89"/>
      <c r="R116" s="16"/>
      <c r="S116" s="16"/>
      <c r="T116" s="265"/>
      <c r="U116" s="89"/>
      <c r="V116" s="28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</row>
    <row r="117" ht="4.5" customHeight="1">
      <c r="A117" s="1"/>
      <c r="B117" s="89"/>
      <c r="C117" s="89"/>
      <c r="D117" s="281"/>
      <c r="E117" s="82"/>
      <c r="F117" s="85"/>
      <c r="G117" s="89"/>
      <c r="H117" s="89"/>
      <c r="I117" s="256"/>
      <c r="J117" s="257"/>
      <c r="K117" s="82"/>
      <c r="L117" s="85"/>
      <c r="M117" s="89"/>
      <c r="N117" s="185"/>
      <c r="O117" s="185"/>
      <c r="P117" s="285"/>
      <c r="Q117" s="89"/>
      <c r="R117" s="16"/>
      <c r="S117" s="16"/>
      <c r="T117" s="265"/>
      <c r="U117" s="89"/>
      <c r="V117" s="28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</row>
    <row r="118" ht="13.5" customHeight="1">
      <c r="A118" s="1"/>
      <c r="B118" s="89" t="s">
        <v>226</v>
      </c>
      <c r="C118" s="89"/>
      <c r="D118" s="281"/>
      <c r="E118" s="82"/>
      <c r="F118" s="85">
        <f>'P Fcast 5yr'!G61</f>
        <v>1000000</v>
      </c>
      <c r="G118" s="89"/>
      <c r="H118" s="89"/>
      <c r="I118" s="256"/>
      <c r="J118" s="257"/>
      <c r="K118" s="82"/>
      <c r="L118" s="85"/>
      <c r="M118" s="89"/>
      <c r="N118" s="185"/>
      <c r="O118" s="185"/>
      <c r="P118" s="285"/>
      <c r="Q118" s="89"/>
      <c r="R118" s="16"/>
      <c r="S118" s="16"/>
      <c r="T118" s="265"/>
      <c r="U118" s="89"/>
      <c r="V118" s="28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</row>
    <row r="119" ht="4.5" customHeight="1">
      <c r="A119" s="1"/>
      <c r="B119" s="89"/>
      <c r="C119" s="89"/>
      <c r="D119" s="281"/>
      <c r="E119" s="82"/>
      <c r="F119" s="85"/>
      <c r="G119" s="89"/>
      <c r="H119" s="89"/>
      <c r="I119" s="256"/>
      <c r="J119" s="257"/>
      <c r="K119" s="82"/>
      <c r="L119" s="85"/>
      <c r="M119" s="89"/>
      <c r="N119" s="185"/>
      <c r="O119" s="185"/>
      <c r="P119" s="285"/>
      <c r="Q119" s="89"/>
      <c r="R119" s="16"/>
      <c r="S119" s="16"/>
      <c r="T119" s="265"/>
      <c r="U119" s="89"/>
      <c r="V119" s="28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</row>
    <row r="120" ht="13.5" customHeight="1">
      <c r="A120" s="1"/>
      <c r="B120" s="89" t="s">
        <v>227</v>
      </c>
      <c r="C120" s="89"/>
      <c r="D120" s="281"/>
      <c r="E120" s="82"/>
      <c r="F120" s="189">
        <f>'P Fcast 5yr'!G62</f>
        <v>6195564.816</v>
      </c>
      <c r="G120" s="336" t="s">
        <v>228</v>
      </c>
      <c r="H120" s="1"/>
      <c r="I120" s="256"/>
      <c r="J120" s="257"/>
      <c r="K120" s="82"/>
      <c r="L120" s="185">
        <f>'E Budg CY'!F120</f>
        <v>6195564.816</v>
      </c>
      <c r="M120" s="89"/>
      <c r="N120" s="185"/>
      <c r="O120" s="185"/>
      <c r="P120" s="285"/>
      <c r="Q120" s="89"/>
      <c r="R120" s="16"/>
      <c r="S120" s="16"/>
      <c r="T120" s="265"/>
      <c r="U120" s="256"/>
      <c r="V120" s="28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</row>
    <row r="121" ht="4.5" customHeight="1">
      <c r="A121" s="1"/>
      <c r="B121" s="89"/>
      <c r="C121" s="89"/>
      <c r="D121" s="281"/>
      <c r="E121" s="82"/>
      <c r="F121" s="89"/>
      <c r="G121" s="336"/>
      <c r="H121" s="1"/>
      <c r="I121" s="256"/>
      <c r="J121" s="257"/>
      <c r="K121" s="82"/>
      <c r="L121" s="89"/>
      <c r="M121" s="89"/>
      <c r="N121" s="185"/>
      <c r="O121" s="185"/>
      <c r="P121" s="285"/>
      <c r="Q121" s="89"/>
      <c r="R121" s="16"/>
      <c r="S121" s="16"/>
      <c r="T121" s="265"/>
      <c r="U121" s="256"/>
      <c r="V121" s="28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</row>
    <row r="122" ht="13.5" customHeight="1">
      <c r="A122" s="1"/>
      <c r="B122" s="89" t="s">
        <v>229</v>
      </c>
      <c r="C122" s="89"/>
      <c r="D122" s="281"/>
      <c r="E122" s="82"/>
      <c r="F122" s="189">
        <f>'P Fcast 5yr'!G63</f>
        <v>-10530000</v>
      </c>
      <c r="G122" s="336" t="s">
        <v>228</v>
      </c>
      <c r="H122" s="1"/>
      <c r="I122" s="256"/>
      <c r="J122" s="257"/>
      <c r="K122" s="82"/>
      <c r="L122" s="185">
        <f>'E Budg CY'!F122</f>
        <v>-10530000</v>
      </c>
      <c r="M122" s="89"/>
      <c r="N122" s="185"/>
      <c r="O122" s="185"/>
      <c r="P122" s="285"/>
      <c r="Q122" s="89"/>
      <c r="R122" s="16"/>
      <c r="S122" s="16"/>
      <c r="T122" s="265"/>
      <c r="U122" s="89"/>
      <c r="V122" s="28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</row>
    <row r="123" ht="3.75" customHeight="1">
      <c r="A123" s="1"/>
      <c r="B123" s="89"/>
      <c r="C123" s="89"/>
      <c r="D123" s="281"/>
      <c r="E123" s="82"/>
      <c r="F123" s="337"/>
      <c r="G123" s="89"/>
      <c r="H123" s="89"/>
      <c r="I123" s="256"/>
      <c r="J123" s="257"/>
      <c r="K123" s="82"/>
      <c r="L123" s="337"/>
      <c r="M123" s="89"/>
      <c r="N123" s="185"/>
      <c r="O123" s="185"/>
      <c r="P123" s="285"/>
      <c r="Q123" s="89"/>
      <c r="R123" s="16"/>
      <c r="S123" s="16"/>
      <c r="T123" s="265"/>
      <c r="U123" s="89"/>
      <c r="V123" s="28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ht="13.5" customHeight="1">
      <c r="A124" s="1"/>
      <c r="B124" s="158" t="s">
        <v>230</v>
      </c>
      <c r="C124" s="89"/>
      <c r="D124" s="281"/>
      <c r="E124" s="82"/>
      <c r="F124" s="89"/>
      <c r="G124" s="89"/>
      <c r="H124" s="185">
        <f>SUM(F106:F122)</f>
        <v>10766024.49</v>
      </c>
      <c r="I124" s="256"/>
      <c r="J124" s="257"/>
      <c r="K124" s="82"/>
      <c r="L124" s="338"/>
      <c r="M124" s="89"/>
      <c r="N124" s="185">
        <f>SUM(L106:L122)</f>
        <v>9825828.322</v>
      </c>
      <c r="O124" s="89"/>
      <c r="P124" s="285"/>
      <c r="Q124" s="89"/>
      <c r="R124" s="189"/>
      <c r="S124" s="16"/>
      <c r="T124" s="265"/>
      <c r="U124" s="89"/>
      <c r="V124" s="28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</row>
    <row r="125" ht="18.75" customHeight="1">
      <c r="A125" s="1"/>
      <c r="B125" s="89" t="s">
        <v>231</v>
      </c>
      <c r="C125" s="89"/>
      <c r="D125" s="281"/>
      <c r="E125" s="82"/>
      <c r="F125" s="89"/>
      <c r="G125" s="89"/>
      <c r="H125" s="185">
        <f>'R Bal sheets'!F7</f>
        <v>6514000</v>
      </c>
      <c r="I125" s="256"/>
      <c r="J125" s="257"/>
      <c r="K125" s="82"/>
      <c r="L125" s="338"/>
      <c r="M125" s="89"/>
      <c r="N125" s="185">
        <f>'E Budg CY'!H125</f>
        <v>6514000</v>
      </c>
      <c r="O125" s="89"/>
      <c r="P125" s="285"/>
      <c r="Q125" s="89"/>
      <c r="R125" s="189"/>
      <c r="S125" s="16"/>
      <c r="T125" s="265"/>
      <c r="U125" s="89"/>
      <c r="V125" s="28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</row>
    <row r="126" ht="17.25" customHeight="1">
      <c r="A126" s="1"/>
      <c r="B126" s="89" t="s">
        <v>232</v>
      </c>
      <c r="C126" s="89"/>
      <c r="D126" s="281"/>
      <c r="E126" s="82"/>
      <c r="F126" s="89"/>
      <c r="G126" s="89"/>
      <c r="H126" s="339">
        <f>H124+H125</f>
        <v>17280024.49</v>
      </c>
      <c r="I126" s="340"/>
      <c r="J126" s="257"/>
      <c r="K126" s="82"/>
      <c r="L126" s="338"/>
      <c r="M126" s="89"/>
      <c r="N126" s="339">
        <f>N124+N125</f>
        <v>16339828.32</v>
      </c>
      <c r="O126" s="89"/>
      <c r="P126" s="285"/>
      <c r="Q126" s="89"/>
      <c r="R126" s="189">
        <f>H126-N126</f>
        <v>940196.1692</v>
      </c>
      <c r="S126" s="16"/>
      <c r="T126" s="265">
        <f>R126/N126</f>
        <v>0.05754014979</v>
      </c>
      <c r="U126" s="89"/>
      <c r="V126" s="28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</row>
    <row r="127" ht="14.25" customHeight="1">
      <c r="A127" s="1"/>
      <c r="B127" s="341"/>
      <c r="C127" s="89"/>
      <c r="D127" s="281"/>
      <c r="E127" s="82"/>
      <c r="F127" s="342"/>
      <c r="G127" s="337"/>
      <c r="H127" s="342"/>
      <c r="I127" s="343"/>
      <c r="J127" s="344"/>
      <c r="K127" s="345"/>
      <c r="L127" s="337"/>
      <c r="M127" s="337"/>
      <c r="N127" s="342"/>
      <c r="O127" s="342"/>
      <c r="P127" s="346"/>
      <c r="Q127" s="337"/>
      <c r="R127" s="342"/>
      <c r="S127" s="127"/>
      <c r="T127" s="308"/>
      <c r="U127" s="256"/>
      <c r="V127" s="28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ht="13.5" customHeight="1">
      <c r="A128" s="1"/>
      <c r="B128" s="158" t="s">
        <v>233</v>
      </c>
      <c r="C128" s="89"/>
      <c r="D128" s="281"/>
      <c r="E128" s="82"/>
      <c r="F128" s="348"/>
      <c r="G128" s="348"/>
      <c r="H128" s="348"/>
      <c r="I128" s="249"/>
      <c r="J128" s="349"/>
      <c r="K128" s="348"/>
      <c r="L128" s="348"/>
      <c r="M128" s="348"/>
      <c r="N128" s="350"/>
      <c r="O128" s="351"/>
      <c r="P128" s="352"/>
      <c r="Q128" s="353"/>
      <c r="R128" s="252"/>
      <c r="S128" s="252"/>
      <c r="T128" s="354"/>
      <c r="U128" s="256"/>
      <c r="V128" s="28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</row>
    <row r="129" ht="14.25" customHeight="1">
      <c r="A129" s="1"/>
      <c r="B129" s="89" t="s">
        <v>234</v>
      </c>
      <c r="C129" s="89"/>
      <c r="D129" s="254"/>
      <c r="E129" s="937"/>
      <c r="F129" s="258">
        <f>H18</f>
        <v>17808496</v>
      </c>
      <c r="G129" s="89"/>
      <c r="H129" s="1"/>
      <c r="I129" s="290"/>
      <c r="J129" s="264"/>
      <c r="K129" s="89"/>
      <c r="L129" s="258">
        <f>N18</f>
        <v>17848468</v>
      </c>
      <c r="M129" s="89"/>
      <c r="N129" s="1"/>
      <c r="O129" s="1"/>
      <c r="P129" s="356"/>
      <c r="Q129" s="89"/>
      <c r="R129" s="16">
        <f t="shared" ref="R129:R130" si="1">F129-L129</f>
        <v>-39972</v>
      </c>
      <c r="S129" s="16"/>
      <c r="T129" s="260">
        <f t="shared" ref="T129:T130" si="2">IF(L129&lt;&gt;0,R129/L129,"-     ")</f>
        <v>-0.002239519941</v>
      </c>
      <c r="U129" s="256"/>
      <c r="V129" s="28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ht="14.25" customHeight="1">
      <c r="A130" s="1"/>
      <c r="B130" s="89" t="s">
        <v>235</v>
      </c>
      <c r="C130" s="89"/>
      <c r="D130" s="254"/>
      <c r="E130" s="937"/>
      <c r="F130" s="274">
        <f>-F74</f>
        <v>-8415372</v>
      </c>
      <c r="G130" s="89"/>
      <c r="H130" s="1"/>
      <c r="I130" s="290"/>
      <c r="J130" s="264"/>
      <c r="K130" s="89"/>
      <c r="L130" s="274">
        <f>-L74</f>
        <v>-8419341</v>
      </c>
      <c r="M130" s="89"/>
      <c r="N130" s="1"/>
      <c r="O130" s="1"/>
      <c r="P130" s="356"/>
      <c r="Q130" s="89"/>
      <c r="R130" s="127">
        <f t="shared" si="1"/>
        <v>3969</v>
      </c>
      <c r="S130" s="16"/>
      <c r="T130" s="363">
        <f t="shared" si="2"/>
        <v>-0.000471414568</v>
      </c>
      <c r="U130" s="256"/>
      <c r="V130" s="28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</row>
    <row r="131" ht="14.25" customHeight="1">
      <c r="A131" s="1"/>
      <c r="B131" s="158" t="s">
        <v>237</v>
      </c>
      <c r="C131" s="89"/>
      <c r="D131" s="254"/>
      <c r="E131" s="937"/>
      <c r="F131" s="365">
        <f>H131/F129</f>
        <v>0.527451841</v>
      </c>
      <c r="G131" s="89"/>
      <c r="H131" s="367">
        <f>F129+F130</f>
        <v>9393124</v>
      </c>
      <c r="I131" s="264"/>
      <c r="J131" s="264"/>
      <c r="K131" s="89"/>
      <c r="L131" s="365">
        <f>N131/L129</f>
        <v>0.52828775</v>
      </c>
      <c r="M131" s="89"/>
      <c r="N131" s="367">
        <f>L129+L130</f>
        <v>9429127</v>
      </c>
      <c r="O131" s="91"/>
      <c r="P131" s="356"/>
      <c r="Q131" s="89"/>
      <c r="R131" s="369">
        <f>R129+R130</f>
        <v>-36003</v>
      </c>
      <c r="S131" s="16"/>
      <c r="T131" s="370">
        <f>R131/N131</f>
        <v>-0.003818275011</v>
      </c>
      <c r="U131" s="256"/>
      <c r="V131" s="28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</row>
    <row r="132" ht="14.25" customHeight="1">
      <c r="A132" s="1"/>
      <c r="B132" s="89"/>
      <c r="C132" s="89"/>
      <c r="D132" s="254"/>
      <c r="E132" s="937"/>
      <c r="F132" s="345"/>
      <c r="G132" s="345"/>
      <c r="H132" s="345"/>
      <c r="I132" s="344"/>
      <c r="J132" s="257"/>
      <c r="K132" s="345"/>
      <c r="L132" s="345"/>
      <c r="M132" s="345"/>
      <c r="N132" s="345"/>
      <c r="O132" s="337"/>
      <c r="P132" s="281"/>
      <c r="Q132" s="337"/>
      <c r="R132" s="127"/>
      <c r="S132" s="127"/>
      <c r="T132" s="371"/>
      <c r="U132" s="256"/>
      <c r="V132" s="28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</row>
    <row r="133" ht="14.25" customHeight="1">
      <c r="A133" s="1"/>
      <c r="B133" s="158" t="s">
        <v>238</v>
      </c>
      <c r="C133" s="89"/>
      <c r="D133" s="254"/>
      <c r="E133" s="937"/>
      <c r="F133" s="348"/>
      <c r="G133" s="348"/>
      <c r="H133" s="348"/>
      <c r="I133" s="249"/>
      <c r="J133" s="349"/>
      <c r="K133" s="348"/>
      <c r="L133" s="348"/>
      <c r="M133" s="348"/>
      <c r="N133" s="350"/>
      <c r="O133" s="351"/>
      <c r="P133" s="352"/>
      <c r="Q133" s="353"/>
      <c r="R133" s="252"/>
      <c r="S133" s="252"/>
      <c r="T133" s="354"/>
      <c r="U133" s="347"/>
      <c r="V133" s="28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ht="12.75" customHeight="1">
      <c r="A134" s="1"/>
      <c r="B134" s="1" t="s">
        <v>240</v>
      </c>
      <c r="C134" s="89"/>
      <c r="D134" s="254"/>
      <c r="E134" s="937"/>
      <c r="F134" s="258">
        <f>H22</f>
        <v>10044010.32</v>
      </c>
      <c r="G134" s="258"/>
      <c r="H134" s="376"/>
      <c r="I134" s="378"/>
      <c r="J134" s="379"/>
      <c r="K134" s="258"/>
      <c r="L134" s="258">
        <f>N22</f>
        <v>9895500</v>
      </c>
      <c r="M134" s="89"/>
      <c r="N134" s="1"/>
      <c r="O134" s="1"/>
      <c r="P134" s="356"/>
      <c r="Q134" s="89"/>
      <c r="R134" s="16">
        <f t="shared" ref="R134:R135" si="3">F134-L134</f>
        <v>148510.3204</v>
      </c>
      <c r="S134" s="16"/>
      <c r="T134" s="260">
        <f t="shared" ref="T134:T135" si="4">IF(L134&lt;&gt;0,R134/L134,"-     ")</f>
        <v>0.01500786422</v>
      </c>
      <c r="U134" s="256"/>
      <c r="V134" s="28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</row>
    <row r="135" ht="13.5" customHeight="1">
      <c r="A135" s="1"/>
      <c r="B135" s="1" t="s">
        <v>242</v>
      </c>
      <c r="C135" s="1"/>
      <c r="D135" s="281"/>
      <c r="E135" s="82"/>
      <c r="F135" s="274">
        <f>-F64</f>
        <v>-6801342</v>
      </c>
      <c r="G135" s="89"/>
      <c r="H135" s="1"/>
      <c r="I135" s="290"/>
      <c r="J135" s="264"/>
      <c r="K135" s="89"/>
      <c r="L135" s="274">
        <f>-L64</f>
        <v>-6750000</v>
      </c>
      <c r="M135" s="89"/>
      <c r="N135" s="1"/>
      <c r="O135" s="1"/>
      <c r="P135" s="356"/>
      <c r="Q135" s="89"/>
      <c r="R135" s="127">
        <f t="shared" si="3"/>
        <v>-51342</v>
      </c>
      <c r="S135" s="16"/>
      <c r="T135" s="363">
        <f t="shared" si="4"/>
        <v>0.007606222222</v>
      </c>
      <c r="U135" s="256"/>
      <c r="V135" s="28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ht="14.25" customHeight="1">
      <c r="A136" s="1"/>
      <c r="B136" s="197" t="s">
        <v>244</v>
      </c>
      <c r="C136" s="1"/>
      <c r="D136" s="281"/>
      <c r="E136" s="82"/>
      <c r="F136" s="365">
        <f>H136/F134</f>
        <v>0.3228459766</v>
      </c>
      <c r="G136" s="89"/>
      <c r="H136" s="367">
        <f>F134+F135</f>
        <v>3242668.32</v>
      </c>
      <c r="I136" s="264"/>
      <c r="J136" s="264"/>
      <c r="K136" s="89"/>
      <c r="L136" s="365">
        <f>N136/L134</f>
        <v>0.3178717599</v>
      </c>
      <c r="M136" s="89"/>
      <c r="N136" s="367">
        <f>L134+L135</f>
        <v>3145500</v>
      </c>
      <c r="O136" s="91"/>
      <c r="P136" s="356"/>
      <c r="Q136" s="89"/>
      <c r="R136" s="369">
        <f>R134+R135</f>
        <v>97168.32042</v>
      </c>
      <c r="S136" s="16"/>
      <c r="T136" s="370">
        <f>R136/N136</f>
        <v>0.03089121616</v>
      </c>
      <c r="U136" s="256"/>
      <c r="V136" s="28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</row>
    <row r="137" ht="14.25" customHeight="1">
      <c r="A137" s="1"/>
      <c r="B137" s="1"/>
      <c r="C137" s="1"/>
      <c r="D137" s="281"/>
      <c r="E137" s="82"/>
      <c r="F137" s="345"/>
      <c r="G137" s="345"/>
      <c r="H137" s="345"/>
      <c r="I137" s="344"/>
      <c r="J137" s="257"/>
      <c r="K137" s="345"/>
      <c r="L137" s="345"/>
      <c r="M137" s="345"/>
      <c r="N137" s="345"/>
      <c r="O137" s="337"/>
      <c r="P137" s="281"/>
      <c r="Q137" s="337"/>
      <c r="R137" s="127"/>
      <c r="S137" s="127"/>
      <c r="T137" s="371"/>
      <c r="U137" s="337"/>
      <c r="V137" s="372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</row>
    <row r="138" ht="17.25" customHeight="1">
      <c r="A138" s="1"/>
      <c r="B138" s="197" t="s">
        <v>245</v>
      </c>
      <c r="C138" s="1"/>
      <c r="D138" s="281"/>
      <c r="E138" s="82"/>
      <c r="F138" s="938" t="s">
        <v>310</v>
      </c>
      <c r="G138" s="387" t="str">
        <f>'F Population'!P$6</f>
        <v>2026 - 27</v>
      </c>
      <c r="H138" s="387"/>
      <c r="I138" s="239"/>
      <c r="J138" s="239"/>
      <c r="K138" s="240"/>
      <c r="L138" s="938" t="s">
        <v>171</v>
      </c>
      <c r="M138" s="387" t="str">
        <f>'F Population'!P$6</f>
        <v>2026 - 27</v>
      </c>
      <c r="N138" s="391"/>
      <c r="O138" s="239"/>
      <c r="P138" s="239"/>
      <c r="Q138" s="239"/>
      <c r="R138" s="394" t="s">
        <v>173</v>
      </c>
      <c r="S138" s="395"/>
      <c r="T138" s="396"/>
      <c r="U138" s="1"/>
      <c r="V138" s="372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</row>
    <row r="139" ht="5.25" customHeight="1">
      <c r="A139" s="1"/>
      <c r="B139" s="1"/>
      <c r="C139" s="1"/>
      <c r="D139" s="281"/>
      <c r="E139" s="82"/>
      <c r="F139" s="1"/>
      <c r="G139" s="1"/>
      <c r="H139" s="1"/>
      <c r="I139" s="1"/>
      <c r="J139" s="356"/>
      <c r="K139" s="1"/>
      <c r="L139" s="1"/>
      <c r="M139" s="1"/>
      <c r="N139" s="1"/>
      <c r="O139" s="1"/>
      <c r="P139" s="356"/>
      <c r="Q139" s="1"/>
      <c r="R139" s="1"/>
      <c r="S139" s="1"/>
      <c r="T139" s="1"/>
      <c r="U139" s="1"/>
      <c r="V139" s="372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ht="14.25" customHeight="1">
      <c r="A140" s="1"/>
      <c r="B140" s="1" t="s">
        <v>246</v>
      </c>
      <c r="C140" s="1"/>
      <c r="D140" s="281"/>
      <c r="E140" s="39"/>
      <c r="F140" s="85">
        <f>'I Student rev'!P26</f>
        <v>4860660.5</v>
      </c>
      <c r="G140" s="1"/>
      <c r="H140" s="1"/>
      <c r="I140" s="1"/>
      <c r="J140" s="356"/>
      <c r="K140" s="1"/>
      <c r="L140" s="85">
        <f>'E Budg CY'!F140</f>
        <v>4775320</v>
      </c>
      <c r="M140" s="1"/>
      <c r="N140" s="1"/>
      <c r="O140" s="1"/>
      <c r="P140" s="356"/>
      <c r="Q140" s="1"/>
      <c r="R140" s="16">
        <f>F140-L140</f>
        <v>85340.5</v>
      </c>
      <c r="S140" s="1"/>
      <c r="T140" s="260">
        <f>IF(L140&lt;&gt;0,R140/L140,"-     ")</f>
        <v>0.01787115837</v>
      </c>
      <c r="U140" s="1"/>
      <c r="V140" s="372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ht="4.5" customHeight="1">
      <c r="A141" s="1"/>
      <c r="B141" s="1"/>
      <c r="C141" s="1"/>
      <c r="D141" s="281"/>
      <c r="E141" s="39"/>
      <c r="F141" s="85"/>
      <c r="G141" s="1"/>
      <c r="H141" s="1"/>
      <c r="I141" s="1"/>
      <c r="J141" s="356"/>
      <c r="K141" s="1"/>
      <c r="L141" s="85"/>
      <c r="M141" s="1"/>
      <c r="N141" s="1"/>
      <c r="O141" s="1"/>
      <c r="P141" s="356"/>
      <c r="Q141" s="1"/>
      <c r="R141" s="1"/>
      <c r="S141" s="1"/>
      <c r="T141" s="260"/>
      <c r="U141" s="1"/>
      <c r="V141" s="372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ht="14.25" customHeight="1">
      <c r="A142" s="1"/>
      <c r="B142" s="1" t="s">
        <v>247</v>
      </c>
      <c r="C142" s="1"/>
      <c r="D142" s="281"/>
      <c r="E142" s="1"/>
      <c r="F142" s="85">
        <f>'I Student rev'!P28</f>
        <v>4624457.197</v>
      </c>
      <c r="G142" s="1"/>
      <c r="H142" s="1"/>
      <c r="I142" s="1"/>
      <c r="J142" s="356"/>
      <c r="K142" s="1"/>
      <c r="L142" s="85">
        <f>'E Budg CY'!F142</f>
        <v>4567092</v>
      </c>
      <c r="M142" s="1"/>
      <c r="N142" s="1"/>
      <c r="O142" s="1"/>
      <c r="P142" s="356"/>
      <c r="Q142" s="1"/>
      <c r="R142" s="16">
        <f>F142-L142</f>
        <v>57365.19718</v>
      </c>
      <c r="S142" s="1"/>
      <c r="T142" s="260">
        <f>IF(L142&lt;&gt;0,R142/L142,"-     ")</f>
        <v>0.01256055214</v>
      </c>
      <c r="U142" s="1"/>
      <c r="V142" s="372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ht="4.5" customHeight="1">
      <c r="A143" s="1"/>
      <c r="B143" s="1"/>
      <c r="C143" s="1"/>
      <c r="D143" s="281"/>
      <c r="E143" s="1"/>
      <c r="F143" s="85"/>
      <c r="G143" s="1"/>
      <c r="H143" s="1"/>
      <c r="I143" s="1"/>
      <c r="J143" s="356"/>
      <c r="K143" s="1"/>
      <c r="L143" s="85"/>
      <c r="M143" s="1"/>
      <c r="N143" s="1"/>
      <c r="O143" s="1"/>
      <c r="P143" s="356"/>
      <c r="Q143" s="1"/>
      <c r="R143" s="1"/>
      <c r="S143" s="1"/>
      <c r="T143" s="1"/>
      <c r="U143" s="1"/>
      <c r="V143" s="372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ht="14.25" customHeight="1">
      <c r="A144" s="1"/>
      <c r="B144" s="1" t="s">
        <v>248</v>
      </c>
      <c r="C144" s="1"/>
      <c r="D144" s="281"/>
      <c r="E144" s="1"/>
      <c r="F144" s="400">
        <f>'I Student rev'!P30</f>
        <v>558892.6232</v>
      </c>
      <c r="G144" s="1"/>
      <c r="H144" s="1"/>
      <c r="I144" s="1"/>
      <c r="J144" s="356"/>
      <c r="K144" s="1"/>
      <c r="L144" s="400">
        <f>'E Budg CY'!F144</f>
        <v>553088</v>
      </c>
      <c r="M144" s="1"/>
      <c r="N144" s="1"/>
      <c r="O144" s="1"/>
      <c r="P144" s="356"/>
      <c r="Q144" s="1"/>
      <c r="R144" s="16">
        <f>F144-L144</f>
        <v>5804.623239</v>
      </c>
      <c r="S144" s="1"/>
      <c r="T144" s="402">
        <f>IF(L144&lt;&gt;0,R144/L144,"-     ")</f>
        <v>0.01049493614</v>
      </c>
      <c r="U144" s="1"/>
      <c r="V144" s="372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ht="4.5" customHeight="1">
      <c r="A145" s="1"/>
      <c r="B145" s="1"/>
      <c r="C145" s="1"/>
      <c r="D145" s="281"/>
      <c r="E145" s="1"/>
      <c r="F145" s="1"/>
      <c r="G145" s="1"/>
      <c r="H145" s="1"/>
      <c r="I145" s="1"/>
      <c r="J145" s="356"/>
      <c r="K145" s="1"/>
      <c r="L145" s="1"/>
      <c r="M145" s="1"/>
      <c r="N145" s="1"/>
      <c r="O145" s="1"/>
      <c r="P145" s="356"/>
      <c r="Q145" s="1"/>
      <c r="R145" s="1"/>
      <c r="S145" s="1"/>
      <c r="T145" s="1"/>
      <c r="U145" s="1"/>
      <c r="V145" s="372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ht="14.25" customHeight="1">
      <c r="A146" s="1"/>
      <c r="B146" s="1" t="s">
        <v>249</v>
      </c>
      <c r="C146" s="1"/>
      <c r="D146" s="939"/>
      <c r="E146" s="1"/>
      <c r="F146" s="294"/>
      <c r="G146" s="294"/>
      <c r="H146" s="405">
        <f>SUM(F140:F144)</f>
        <v>10044010.32</v>
      </c>
      <c r="I146" s="406" t="s">
        <v>251</v>
      </c>
      <c r="J146" s="407"/>
      <c r="K146" s="294"/>
      <c r="L146" s="294"/>
      <c r="M146" s="294"/>
      <c r="N146" s="405">
        <f>SUM(L140:L144)</f>
        <v>9895500</v>
      </c>
      <c r="O146" s="294"/>
      <c r="P146" s="407"/>
      <c r="Q146" s="294"/>
      <c r="R146" s="127">
        <f>H146-N146</f>
        <v>148510.3204</v>
      </c>
      <c r="S146" s="294"/>
      <c r="T146" s="363">
        <f>IF(N146&lt;&gt;0,R146/N146,"-     ")</f>
        <v>0.01500786422</v>
      </c>
      <c r="U146" s="294"/>
      <c r="V146" s="408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ht="14.25" customHeight="1">
      <c r="A151" s="1"/>
      <c r="B151" s="1"/>
      <c r="C151" s="1"/>
      <c r="D151" s="1"/>
      <c r="E151" s="1"/>
      <c r="F151" s="280">
        <f>SUM(F28:F70)</f>
        <v>50955825.22</v>
      </c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</row>
  </sheetData>
  <mergeCells count="5">
    <mergeCell ref="R2:T2"/>
    <mergeCell ref="L3:N3"/>
    <mergeCell ref="R4:T4"/>
    <mergeCell ref="R102:T102"/>
    <mergeCell ref="R138:T138"/>
  </mergeCells>
  <printOptions horizontalCentered="1" verticalCentered="1"/>
  <pageMargins bottom="1.0457" footer="0.0" header="0.0" left="0.7" right="0.7" top="1.0457"/>
  <pageSetup orientation="landscape" pageOrder="overThenDown"/>
  <headerFooter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9">
    <pageSetUpPr fitToPage="1"/>
  </sheetPr>
  <sheetViews>
    <sheetView workbookViewId="0"/>
  </sheetViews>
  <sheetFormatPr customHeight="1" defaultColWidth="12.63" defaultRowHeight="15.0" outlineLevelCol="1"/>
  <cols>
    <col customWidth="1" min="1" max="1" width="3.75"/>
    <col customWidth="1" min="2" max="2" width="32.88"/>
    <col customWidth="1" min="3" max="3" width="2.63"/>
    <col customWidth="1" min="4" max="4" width="9.75"/>
    <col customWidth="1" min="5" max="5" width="2.63"/>
    <col customWidth="1" min="6" max="6" width="11.63"/>
    <col customWidth="1" min="7" max="7" width="2.63"/>
    <col customWidth="1" min="8" max="8" width="11.63"/>
    <col customWidth="1" min="9" max="9" width="2.63"/>
    <col customWidth="1" min="10" max="10" width="11.63"/>
    <col customWidth="1" min="11" max="11" width="2.63"/>
    <col customWidth="1" min="12" max="12" width="11.63"/>
    <col customWidth="1" min="13" max="13" width="2.63"/>
    <col customWidth="1" min="14" max="14" width="11.63"/>
    <col customWidth="1" min="15" max="15" width="2.63"/>
    <col customWidth="1" min="16" max="16" width="11.63"/>
    <col customWidth="1" min="17" max="17" width="2.63"/>
    <col customWidth="1" min="18" max="18" width="11.63"/>
    <col customWidth="1" min="19" max="19" width="2.63"/>
    <col customWidth="1" min="20" max="20" width="11.0"/>
    <col customWidth="1" min="21" max="26" width="8.63"/>
  </cols>
  <sheetData>
    <row r="1" ht="69.75" customHeight="1">
      <c r="A1" s="1"/>
      <c r="B1" s="2" t="str">
        <f>'A Cover'!G8</f>
        <v>Example University</v>
      </c>
      <c r="C1" s="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436"/>
      <c r="R1" s="438"/>
      <c r="S1" s="940"/>
      <c r="T1" s="16"/>
      <c r="U1" s="16"/>
      <c r="V1" s="16"/>
    </row>
    <row r="2" ht="15.0" customHeight="1">
      <c r="A2" s="1"/>
      <c r="B2" s="941" t="s">
        <v>479</v>
      </c>
      <c r="C2" s="942"/>
      <c r="D2" s="29" t="s">
        <v>0</v>
      </c>
      <c r="E2" s="1" t="s">
        <v>9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430">
        <f>'A Cover'!G12</f>
        <v>46307</v>
      </c>
      <c r="R2" s="35"/>
      <c r="S2" s="21"/>
      <c r="T2" s="16"/>
      <c r="U2" s="16"/>
      <c r="V2" s="16"/>
    </row>
    <row r="3" ht="5.25" customHeight="1">
      <c r="A3" s="1"/>
      <c r="B3" s="373" t="s">
        <v>480</v>
      </c>
      <c r="C3" s="151"/>
      <c r="D3" s="1"/>
      <c r="E3" s="1"/>
      <c r="F3" s="943" t="s">
        <v>481</v>
      </c>
      <c r="G3" s="889"/>
      <c r="H3" s="94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6"/>
      <c r="U3" s="16"/>
      <c r="V3" s="16"/>
    </row>
    <row r="4" ht="10.5" customHeight="1">
      <c r="A4" s="1"/>
      <c r="B4" s="205"/>
      <c r="C4" s="1"/>
      <c r="D4" s="1"/>
      <c r="E4" s="1"/>
      <c r="F4" s="945"/>
      <c r="G4" s="44"/>
      <c r="H4" s="648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6"/>
      <c r="U4" s="16"/>
      <c r="V4" s="16"/>
    </row>
    <row r="5" ht="12.0" customHeight="1">
      <c r="A5" s="1"/>
      <c r="B5" s="1"/>
      <c r="C5" s="1"/>
      <c r="D5" s="1"/>
      <c r="E5" s="1"/>
      <c r="F5" s="946" t="s">
        <v>309</v>
      </c>
      <c r="G5" s="947"/>
      <c r="H5" s="948" t="s">
        <v>310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6"/>
      <c r="U5" s="16"/>
      <c r="V5" s="16"/>
    </row>
    <row r="6" ht="14.25" customHeight="1">
      <c r="A6" s="1"/>
      <c r="B6" s="949" t="s">
        <v>482</v>
      </c>
      <c r="C6" s="1"/>
      <c r="D6" s="950" t="s">
        <v>483</v>
      </c>
      <c r="E6" s="39"/>
      <c r="F6" s="951" t="str">
        <f>'F Population'!$P$6</f>
        <v>2026 - 27</v>
      </c>
      <c r="G6" s="39"/>
      <c r="H6" s="951" t="str">
        <f>'F Population'!$P$6</f>
        <v>2026 - 27</v>
      </c>
      <c r="I6" s="39"/>
      <c r="J6" s="553" t="str">
        <f>'F Population'!U$6</f>
        <v>2027 - 28</v>
      </c>
      <c r="K6" s="39"/>
      <c r="L6" s="553" t="str">
        <f>'F Population'!W6</f>
        <v>2028 - 29</v>
      </c>
      <c r="M6" s="39"/>
      <c r="N6" s="553" t="str">
        <f>'F Population'!Y6</f>
        <v>2029 - 30</v>
      </c>
      <c r="O6" s="39"/>
      <c r="P6" s="553" t="str">
        <f>'F Population'!AA6</f>
        <v>2030 - 31</v>
      </c>
      <c r="Q6" s="554"/>
      <c r="R6" s="553" t="str">
        <f>'F Population'!AC6</f>
        <v>2031 - 32</v>
      </c>
      <c r="S6" s="1"/>
      <c r="T6" s="16"/>
      <c r="U6" s="16"/>
      <c r="V6" s="16"/>
    </row>
    <row r="7" ht="12.75" customHeight="1">
      <c r="A7" s="1"/>
      <c r="B7" s="952"/>
      <c r="C7" s="1"/>
      <c r="D7" s="952"/>
      <c r="E7" s="1"/>
      <c r="F7" s="418"/>
      <c r="G7" s="418"/>
      <c r="H7" s="418"/>
      <c r="I7" s="418"/>
      <c r="J7" s="418"/>
      <c r="K7" s="418"/>
      <c r="L7" s="418"/>
      <c r="M7" s="418"/>
      <c r="N7" s="92"/>
      <c r="O7" s="418"/>
      <c r="P7" s="1"/>
      <c r="Q7" s="418"/>
      <c r="R7" s="1"/>
      <c r="S7" s="418"/>
      <c r="T7" s="16"/>
      <c r="U7" s="16"/>
      <c r="V7" s="16"/>
    </row>
    <row r="8" ht="14.25" customHeight="1">
      <c r="A8" s="1"/>
      <c r="B8" s="139" t="s">
        <v>484</v>
      </c>
      <c r="C8" s="1"/>
      <c r="D8" s="953"/>
      <c r="E8" s="1"/>
      <c r="F8" s="954">
        <v>240000.0</v>
      </c>
      <c r="G8" s="92"/>
      <c r="H8" s="954">
        <v>231140.0</v>
      </c>
      <c r="I8" s="418"/>
      <c r="J8" s="954"/>
      <c r="K8" s="92"/>
      <c r="L8" s="954"/>
      <c r="M8" s="418"/>
      <c r="N8" s="954"/>
      <c r="O8" s="418"/>
      <c r="P8" s="954"/>
      <c r="Q8" s="418"/>
      <c r="R8" s="954"/>
      <c r="S8" s="418"/>
      <c r="T8" s="16"/>
      <c r="U8" s="16"/>
      <c r="V8" s="16"/>
    </row>
    <row r="9" ht="4.5" customHeight="1">
      <c r="A9" s="1"/>
      <c r="B9" s="1"/>
      <c r="C9" s="1"/>
      <c r="D9" s="174"/>
      <c r="E9" s="1"/>
      <c r="F9" s="92"/>
      <c r="G9" s="92"/>
      <c r="H9" s="92"/>
      <c r="I9" s="418"/>
      <c r="J9" s="92"/>
      <c r="K9" s="92"/>
      <c r="L9" s="92"/>
      <c r="M9" s="418"/>
      <c r="N9" s="92"/>
      <c r="O9" s="418"/>
      <c r="P9" s="92"/>
      <c r="Q9" s="418"/>
      <c r="R9" s="92"/>
      <c r="S9" s="418"/>
      <c r="T9" s="16"/>
      <c r="U9" s="16"/>
      <c r="V9" s="16"/>
    </row>
    <row r="10" ht="14.25" customHeight="1">
      <c r="A10" s="1"/>
      <c r="B10" s="139"/>
      <c r="C10" s="1"/>
      <c r="D10" s="953"/>
      <c r="E10" s="1"/>
      <c r="F10" s="83"/>
      <c r="G10" s="92"/>
      <c r="H10" s="429"/>
      <c r="I10" s="418"/>
      <c r="J10" s="954"/>
      <c r="K10" s="92"/>
      <c r="L10" s="83"/>
      <c r="M10" s="418"/>
      <c r="N10" s="83"/>
      <c r="O10" s="418"/>
      <c r="P10" s="83"/>
      <c r="Q10" s="418"/>
      <c r="R10" s="83"/>
      <c r="S10" s="418"/>
      <c r="T10" s="16"/>
      <c r="U10" s="16"/>
      <c r="V10" s="16"/>
    </row>
    <row r="11" ht="4.5" customHeight="1">
      <c r="A11" s="1"/>
      <c r="B11" s="955"/>
      <c r="C11" s="1"/>
      <c r="D11" s="174"/>
      <c r="E11" s="1"/>
      <c r="F11" s="92"/>
      <c r="G11" s="92"/>
      <c r="H11" s="92"/>
      <c r="I11" s="418"/>
      <c r="J11" s="92"/>
      <c r="K11" s="92"/>
      <c r="L11" s="92"/>
      <c r="M11" s="418"/>
      <c r="N11" s="92"/>
      <c r="O11" s="418"/>
      <c r="P11" s="92"/>
      <c r="Q11" s="418"/>
      <c r="R11" s="92"/>
      <c r="S11" s="418"/>
      <c r="T11" s="16"/>
      <c r="U11" s="16"/>
      <c r="V11" s="16"/>
    </row>
    <row r="12" ht="14.25" customHeight="1">
      <c r="A12" s="1"/>
      <c r="B12" s="139"/>
      <c r="C12" s="1"/>
      <c r="D12" s="953"/>
      <c r="E12" s="1"/>
      <c r="F12" s="83"/>
      <c r="G12" s="92"/>
      <c r="H12" s="83"/>
      <c r="I12" s="418"/>
      <c r="J12" s="83"/>
      <c r="K12" s="92"/>
      <c r="L12" s="83"/>
      <c r="M12" s="418"/>
      <c r="N12" s="83"/>
      <c r="O12" s="418"/>
      <c r="P12" s="83"/>
      <c r="Q12" s="418"/>
      <c r="R12" s="83"/>
      <c r="S12" s="418"/>
      <c r="T12" s="16"/>
      <c r="U12" s="16"/>
      <c r="V12" s="16"/>
    </row>
    <row r="13" ht="4.5" customHeight="1">
      <c r="A13" s="1"/>
      <c r="B13" s="1"/>
      <c r="C13" s="1"/>
      <c r="D13" s="174"/>
      <c r="E13" s="1"/>
      <c r="F13" s="92"/>
      <c r="G13" s="92"/>
      <c r="H13" s="92"/>
      <c r="I13" s="418"/>
      <c r="J13" s="92"/>
      <c r="K13" s="92"/>
      <c r="L13" s="92"/>
      <c r="M13" s="418"/>
      <c r="N13" s="92"/>
      <c r="O13" s="418"/>
      <c r="P13" s="92"/>
      <c r="Q13" s="418"/>
      <c r="R13" s="92"/>
      <c r="S13" s="418"/>
      <c r="T13" s="16"/>
      <c r="U13" s="16"/>
      <c r="V13" s="16"/>
    </row>
    <row r="14" ht="14.25" customHeight="1">
      <c r="A14" s="1"/>
      <c r="B14" s="139"/>
      <c r="C14" s="1"/>
      <c r="D14" s="953"/>
      <c r="E14" s="1"/>
      <c r="F14" s="83"/>
      <c r="G14" s="92"/>
      <c r="H14" s="83"/>
      <c r="I14" s="418"/>
      <c r="J14" s="83"/>
      <c r="K14" s="92"/>
      <c r="L14" s="83"/>
      <c r="M14" s="418"/>
      <c r="N14" s="83"/>
      <c r="O14" s="418"/>
      <c r="P14" s="83"/>
      <c r="Q14" s="418"/>
      <c r="R14" s="83"/>
      <c r="S14" s="418"/>
      <c r="T14" s="16"/>
      <c r="U14" s="16"/>
      <c r="V14" s="16"/>
    </row>
    <row r="15" ht="4.5" customHeight="1">
      <c r="A15" s="1"/>
      <c r="B15" s="1"/>
      <c r="C15" s="1"/>
      <c r="D15" s="174"/>
      <c r="E15" s="1"/>
      <c r="F15" s="92"/>
      <c r="G15" s="92"/>
      <c r="H15" s="92"/>
      <c r="I15" s="418"/>
      <c r="J15" s="92"/>
      <c r="K15" s="92"/>
      <c r="L15" s="92"/>
      <c r="M15" s="418"/>
      <c r="N15" s="92"/>
      <c r="O15" s="418"/>
      <c r="P15" s="92"/>
      <c r="Q15" s="418"/>
      <c r="R15" s="92"/>
      <c r="S15" s="418"/>
      <c r="T15" s="16"/>
      <c r="U15" s="16"/>
      <c r="V15" s="16"/>
    </row>
    <row r="16" ht="14.25" customHeight="1">
      <c r="A16" s="1"/>
      <c r="B16" s="139"/>
      <c r="C16" s="1"/>
      <c r="D16" s="953"/>
      <c r="E16" s="1"/>
      <c r="F16" s="83"/>
      <c r="G16" s="92"/>
      <c r="H16" s="83"/>
      <c r="I16" s="418"/>
      <c r="J16" s="83"/>
      <c r="K16" s="92"/>
      <c r="L16" s="83"/>
      <c r="M16" s="418"/>
      <c r="N16" s="83"/>
      <c r="O16" s="418"/>
      <c r="P16" s="83"/>
      <c r="Q16" s="418"/>
      <c r="R16" s="83"/>
      <c r="S16" s="418"/>
      <c r="T16" s="16"/>
      <c r="U16" s="16"/>
      <c r="V16" s="16"/>
    </row>
    <row r="17" ht="4.5" customHeight="1">
      <c r="A17" s="1"/>
      <c r="B17" s="1"/>
      <c r="C17" s="1"/>
      <c r="D17" s="174"/>
      <c r="E17" s="1"/>
      <c r="F17" s="92"/>
      <c r="G17" s="92"/>
      <c r="H17" s="92"/>
      <c r="I17" s="418"/>
      <c r="J17" s="92"/>
      <c r="K17" s="92"/>
      <c r="L17" s="92"/>
      <c r="M17" s="418"/>
      <c r="N17" s="92"/>
      <c r="O17" s="418"/>
      <c r="P17" s="92"/>
      <c r="Q17" s="418"/>
      <c r="R17" s="92"/>
      <c r="S17" s="418"/>
      <c r="T17" s="16"/>
      <c r="U17" s="16"/>
      <c r="V17" s="16"/>
    </row>
    <row r="18" ht="14.25" customHeight="1">
      <c r="A18" s="1"/>
      <c r="B18" s="139"/>
      <c r="C18" s="1"/>
      <c r="D18" s="953"/>
      <c r="E18" s="1"/>
      <c r="F18" s="83"/>
      <c r="G18" s="92"/>
      <c r="H18" s="83"/>
      <c r="I18" s="418"/>
      <c r="J18" s="83"/>
      <c r="K18" s="92"/>
      <c r="L18" s="83"/>
      <c r="M18" s="418"/>
      <c r="N18" s="83"/>
      <c r="O18" s="418"/>
      <c r="P18" s="83"/>
      <c r="Q18" s="418"/>
      <c r="R18" s="83"/>
      <c r="S18" s="418"/>
      <c r="T18" s="16"/>
      <c r="U18" s="16"/>
      <c r="V18" s="16"/>
    </row>
    <row r="19" ht="4.5" customHeight="1">
      <c r="A19" s="1"/>
      <c r="B19" s="1"/>
      <c r="C19" s="1"/>
      <c r="D19" s="174"/>
      <c r="E19" s="1"/>
      <c r="F19" s="92"/>
      <c r="G19" s="92"/>
      <c r="H19" s="92"/>
      <c r="I19" s="418"/>
      <c r="J19" s="92"/>
      <c r="K19" s="92"/>
      <c r="L19" s="92"/>
      <c r="M19" s="418"/>
      <c r="N19" s="92"/>
      <c r="O19" s="418"/>
      <c r="P19" s="92"/>
      <c r="Q19" s="418"/>
      <c r="R19" s="92"/>
      <c r="S19" s="418"/>
      <c r="T19" s="16"/>
      <c r="U19" s="16"/>
      <c r="V19" s="16"/>
    </row>
    <row r="20" ht="14.25" customHeight="1">
      <c r="A20" s="1"/>
      <c r="B20" s="139"/>
      <c r="C20" s="1"/>
      <c r="D20" s="953"/>
      <c r="E20" s="1"/>
      <c r="F20" s="83"/>
      <c r="G20" s="92"/>
      <c r="H20" s="83"/>
      <c r="I20" s="418"/>
      <c r="J20" s="83"/>
      <c r="K20" s="92"/>
      <c r="L20" s="83"/>
      <c r="M20" s="418"/>
      <c r="N20" s="83"/>
      <c r="O20" s="418"/>
      <c r="P20" s="83"/>
      <c r="Q20" s="418"/>
      <c r="R20" s="83"/>
      <c r="S20" s="418"/>
      <c r="T20" s="16"/>
      <c r="U20" s="16"/>
      <c r="V20" s="16"/>
    </row>
    <row r="21" ht="4.5" customHeight="1">
      <c r="A21" s="1"/>
      <c r="B21" s="1"/>
      <c r="C21" s="1"/>
      <c r="D21" s="174"/>
      <c r="E21" s="1"/>
      <c r="F21" s="92"/>
      <c r="G21" s="92"/>
      <c r="H21" s="92"/>
      <c r="I21" s="418"/>
      <c r="J21" s="92"/>
      <c r="K21" s="92"/>
      <c r="L21" s="92"/>
      <c r="M21" s="418"/>
      <c r="N21" s="92"/>
      <c r="O21" s="418"/>
      <c r="P21" s="92"/>
      <c r="Q21" s="418"/>
      <c r="R21" s="92"/>
      <c r="S21" s="418"/>
      <c r="T21" s="16"/>
      <c r="U21" s="16"/>
      <c r="V21" s="16"/>
    </row>
    <row r="22" ht="15.0" customHeight="1">
      <c r="A22" s="1"/>
      <c r="B22" s="139"/>
      <c r="C22" s="1"/>
      <c r="D22" s="953"/>
      <c r="E22" s="1"/>
      <c r="F22" s="83"/>
      <c r="G22" s="92"/>
      <c r="H22" s="83"/>
      <c r="I22" s="418"/>
      <c r="J22" s="83"/>
      <c r="K22" s="92"/>
      <c r="L22" s="83"/>
      <c r="M22" s="418"/>
      <c r="N22" s="83"/>
      <c r="O22" s="418"/>
      <c r="P22" s="83"/>
      <c r="Q22" s="418"/>
      <c r="R22" s="83"/>
      <c r="S22" s="418"/>
      <c r="T22" s="16"/>
      <c r="U22" s="16"/>
      <c r="V22" s="16"/>
    </row>
    <row r="23" ht="4.5" customHeight="1">
      <c r="A23" s="1"/>
      <c r="B23" s="1"/>
      <c r="C23" s="1"/>
      <c r="D23" s="174"/>
      <c r="E23" s="1"/>
      <c r="F23" s="92"/>
      <c r="G23" s="92"/>
      <c r="H23" s="92"/>
      <c r="I23" s="418"/>
      <c r="J23" s="92"/>
      <c r="K23" s="92"/>
      <c r="L23" s="92"/>
      <c r="M23" s="418"/>
      <c r="N23" s="92"/>
      <c r="O23" s="418"/>
      <c r="P23" s="92"/>
      <c r="Q23" s="418"/>
      <c r="R23" s="92"/>
      <c r="S23" s="418"/>
      <c r="T23" s="16"/>
      <c r="U23" s="16"/>
      <c r="V23" s="16"/>
    </row>
    <row r="24" ht="15.0" customHeight="1">
      <c r="A24" s="1"/>
      <c r="B24" s="139"/>
      <c r="C24" s="1"/>
      <c r="D24" s="953"/>
      <c r="E24" s="1"/>
      <c r="F24" s="83"/>
      <c r="G24" s="92"/>
      <c r="H24" s="83"/>
      <c r="I24" s="418"/>
      <c r="J24" s="83"/>
      <c r="K24" s="92"/>
      <c r="L24" s="83"/>
      <c r="M24" s="418"/>
      <c r="N24" s="83"/>
      <c r="O24" s="418"/>
      <c r="P24" s="83"/>
      <c r="Q24" s="418"/>
      <c r="R24" s="83"/>
      <c r="S24" s="418"/>
      <c r="T24" s="16"/>
      <c r="U24" s="16"/>
      <c r="V24" s="16"/>
    </row>
    <row r="25" ht="4.5" customHeight="1">
      <c r="A25" s="1"/>
      <c r="B25" s="1"/>
      <c r="C25" s="1"/>
      <c r="D25" s="174"/>
      <c r="E25" s="1"/>
      <c r="F25" s="92"/>
      <c r="G25" s="92"/>
      <c r="H25" s="92"/>
      <c r="I25" s="418"/>
      <c r="J25" s="92"/>
      <c r="K25" s="92"/>
      <c r="L25" s="92"/>
      <c r="M25" s="418"/>
      <c r="N25" s="92"/>
      <c r="O25" s="418"/>
      <c r="P25" s="92"/>
      <c r="Q25" s="418"/>
      <c r="R25" s="92"/>
      <c r="S25" s="418"/>
      <c r="T25" s="16"/>
      <c r="U25" s="16"/>
      <c r="V25" s="16"/>
    </row>
    <row r="26" ht="15.0" customHeight="1">
      <c r="A26" s="1"/>
      <c r="B26" s="139"/>
      <c r="C26" s="1"/>
      <c r="D26" s="953"/>
      <c r="E26" s="1"/>
      <c r="F26" s="83"/>
      <c r="G26" s="92"/>
      <c r="H26" s="83"/>
      <c r="I26" s="418"/>
      <c r="J26" s="83"/>
      <c r="K26" s="92"/>
      <c r="L26" s="83"/>
      <c r="M26" s="418"/>
      <c r="N26" s="83"/>
      <c r="O26" s="418"/>
      <c r="P26" s="83"/>
      <c r="Q26" s="418"/>
      <c r="R26" s="83"/>
      <c r="S26" s="418"/>
      <c r="T26" s="16"/>
      <c r="U26" s="16"/>
      <c r="V26" s="16"/>
    </row>
    <row r="27" ht="4.5" customHeight="1">
      <c r="A27" s="1"/>
      <c r="B27" s="1"/>
      <c r="C27" s="1"/>
      <c r="D27" s="174"/>
      <c r="E27" s="1"/>
      <c r="F27" s="92"/>
      <c r="G27" s="92"/>
      <c r="H27" s="92"/>
      <c r="I27" s="418"/>
      <c r="J27" s="92"/>
      <c r="K27" s="92"/>
      <c r="L27" s="92"/>
      <c r="M27" s="418"/>
      <c r="N27" s="92"/>
      <c r="O27" s="418"/>
      <c r="P27" s="92"/>
      <c r="Q27" s="418"/>
      <c r="R27" s="92"/>
      <c r="S27" s="418"/>
      <c r="T27" s="16"/>
      <c r="U27" s="16"/>
      <c r="V27" s="16"/>
    </row>
    <row r="28" ht="15.0" customHeight="1">
      <c r="A28" s="1"/>
      <c r="B28" s="139"/>
      <c r="C28" s="1"/>
      <c r="D28" s="953"/>
      <c r="E28" s="1"/>
      <c r="F28" s="83"/>
      <c r="G28" s="92"/>
      <c r="H28" s="83"/>
      <c r="I28" s="418"/>
      <c r="J28" s="83"/>
      <c r="K28" s="92"/>
      <c r="L28" s="83"/>
      <c r="M28" s="418"/>
      <c r="N28" s="83"/>
      <c r="O28" s="418"/>
      <c r="P28" s="83"/>
      <c r="Q28" s="418"/>
      <c r="R28" s="83"/>
      <c r="S28" s="418"/>
      <c r="T28" s="16"/>
      <c r="U28" s="16"/>
      <c r="V28" s="16"/>
    </row>
    <row r="29" ht="4.5" customHeight="1">
      <c r="A29" s="1"/>
      <c r="B29" s="1"/>
      <c r="C29" s="1"/>
      <c r="D29" s="174"/>
      <c r="E29" s="1"/>
      <c r="F29" s="92"/>
      <c r="G29" s="92"/>
      <c r="H29" s="92"/>
      <c r="I29" s="418"/>
      <c r="J29" s="92"/>
      <c r="K29" s="92"/>
      <c r="L29" s="92"/>
      <c r="M29" s="418"/>
      <c r="N29" s="92"/>
      <c r="O29" s="418"/>
      <c r="P29" s="92"/>
      <c r="Q29" s="418"/>
      <c r="R29" s="92"/>
      <c r="S29" s="418"/>
      <c r="T29" s="16"/>
      <c r="U29" s="16"/>
      <c r="V29" s="16"/>
    </row>
    <row r="30" ht="14.25" customHeight="1">
      <c r="A30" s="1"/>
      <c r="B30" s="1" t="s">
        <v>485</v>
      </c>
      <c r="C30" s="956"/>
      <c r="D30" s="957" t="str">
        <f>IF(SUM('F Population'!W49:Y49)&gt;0,'F Population'!U49,"")</f>
        <v/>
      </c>
      <c r="E30" s="958"/>
      <c r="F30" s="295">
        <f>IF(B30&lt;&gt;"",IF($D30=F6,'F Population'!W49,0),0)</f>
        <v>0</v>
      </c>
      <c r="G30" s="1"/>
      <c r="H30" s="83"/>
      <c r="I30" s="1"/>
      <c r="J30" s="295">
        <f>IF($B30&lt;&gt;"",IF($D30&lt;&gt;J6,IF(F30='F Population'!$W49,IF('F Population'!$Y49&gt;0,'F Population'!$Y49,0),0),'F Population'!$W49),0)</f>
        <v>0</v>
      </c>
      <c r="K30" s="1"/>
      <c r="L30" s="295">
        <f>IF($B30&lt;&gt;"",IF($D30&lt;&gt;L6,IF(J30='F Population'!$W49,IF('F Population'!$Y49&gt;0,'F Population'!$Y49,0),J30*(1+'M Non student'!J27)),'F Population'!$W49),0)</f>
        <v>0</v>
      </c>
      <c r="M30" s="1"/>
      <c r="N30" s="295">
        <f>IF($B30&lt;&gt;"",IF($D30&lt;&gt;N6,IF(L30='F Population'!$W49,IF('F Population'!$Y49&gt;0,'F Population'!$Y49,0),L30*(1+'M Non student'!L27)),'F Population'!$W49),0)</f>
        <v>0</v>
      </c>
      <c r="O30" s="1"/>
      <c r="P30" s="295">
        <f>IF($B30&lt;&gt;"",IF($D30&lt;&gt;P6,IF(N30='F Population'!$W49,IF('F Population'!$Y49&gt;0,'F Population'!$Y49,0),N30*(1+'M Non student'!N27)),'F Population'!$W49),0)</f>
        <v>0</v>
      </c>
      <c r="Q30" s="1"/>
      <c r="R30" s="295">
        <f>IF($B30&lt;&gt;"",IF($D30&lt;&gt;R6,IF(P30='F Population'!$W49,IF('F Population'!$Y49&gt;0,'F Population'!$Y49,0),P30*(1+'M Non student'!P27)),'F Population'!$W49),0)</f>
        <v>0</v>
      </c>
      <c r="S30" s="418"/>
      <c r="T30" s="16"/>
      <c r="U30" s="16"/>
      <c r="V30" s="16"/>
    </row>
    <row r="31" ht="4.5" customHeight="1">
      <c r="A31" s="1"/>
      <c r="B31" s="1"/>
      <c r="C31" s="959" t="s">
        <v>486</v>
      </c>
      <c r="D31" s="147"/>
      <c r="E31" s="592"/>
      <c r="F31" s="405"/>
      <c r="G31" s="85"/>
      <c r="H31" s="294"/>
      <c r="I31" s="1"/>
      <c r="J31" s="405"/>
      <c r="K31" s="85"/>
      <c r="L31" s="294"/>
      <c r="M31" s="1"/>
      <c r="N31" s="405"/>
      <c r="O31" s="1"/>
      <c r="P31" s="405"/>
      <c r="Q31" s="1"/>
      <c r="R31" s="405"/>
      <c r="S31" s="1"/>
      <c r="T31" s="16"/>
      <c r="U31" s="16"/>
      <c r="V31" s="16"/>
    </row>
    <row r="32" ht="7.5" customHeight="1">
      <c r="A32" s="1"/>
      <c r="B32" s="1"/>
      <c r="C32" s="597"/>
      <c r="D32" s="598"/>
      <c r="E32" s="602"/>
      <c r="F32" s="85"/>
      <c r="G32" s="85"/>
      <c r="H32" s="1"/>
      <c r="I32" s="1"/>
      <c r="J32" s="85"/>
      <c r="K32" s="85"/>
      <c r="L32" s="1"/>
      <c r="M32" s="1"/>
      <c r="N32" s="85"/>
      <c r="O32" s="1"/>
      <c r="P32" s="85"/>
      <c r="Q32" s="1"/>
      <c r="R32" s="85"/>
      <c r="S32" s="1"/>
      <c r="T32" s="16"/>
      <c r="U32" s="16"/>
      <c r="V32" s="16"/>
    </row>
    <row r="33" ht="14.25" customHeight="1">
      <c r="A33" s="1"/>
      <c r="B33" s="151" t="s">
        <v>487</v>
      </c>
      <c r="C33" s="151"/>
      <c r="D33" s="1"/>
      <c r="E33" s="1"/>
      <c r="F33" s="85">
        <f>SUM(F8:F30)</f>
        <v>240000</v>
      </c>
      <c r="G33" s="85"/>
      <c r="H33" s="85">
        <f>SUM(H8:H30)</f>
        <v>231140</v>
      </c>
      <c r="I33" s="1"/>
      <c r="J33" s="85">
        <f>SUM(J8:J30)</f>
        <v>0</v>
      </c>
      <c r="K33" s="85"/>
      <c r="L33" s="85">
        <f>SUM(L8:L30)</f>
        <v>0</v>
      </c>
      <c r="M33" s="1"/>
      <c r="N33" s="85">
        <f>SUM(N8:N30)</f>
        <v>0</v>
      </c>
      <c r="O33" s="1"/>
      <c r="P33" s="85">
        <f>SUM(P8:P30)</f>
        <v>0</v>
      </c>
      <c r="Q33" s="1"/>
      <c r="R33" s="85">
        <f>SUM(R8:R30)</f>
        <v>0</v>
      </c>
      <c r="S33" s="1"/>
      <c r="T33" s="16"/>
      <c r="U33" s="16"/>
      <c r="V33" s="16"/>
    </row>
    <row r="34" ht="4.5" customHeight="1">
      <c r="A34" s="1"/>
      <c r="B34" s="1"/>
      <c r="C34" s="1"/>
      <c r="D34" s="1"/>
      <c r="E34" s="1"/>
      <c r="F34" s="405"/>
      <c r="G34" s="85"/>
      <c r="H34" s="294"/>
      <c r="I34" s="1"/>
      <c r="J34" s="405"/>
      <c r="K34" s="85"/>
      <c r="L34" s="294"/>
      <c r="M34" s="1"/>
      <c r="N34" s="405"/>
      <c r="O34" s="1"/>
      <c r="P34" s="405"/>
      <c r="Q34" s="1"/>
      <c r="R34" s="405"/>
      <c r="S34" s="1"/>
      <c r="T34" s="16"/>
      <c r="U34" s="16"/>
      <c r="V34" s="16"/>
    </row>
    <row r="35" ht="7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6"/>
      <c r="U35" s="16"/>
      <c r="V35" s="16"/>
    </row>
    <row r="36" ht="14.25" customHeight="1">
      <c r="A36" s="1"/>
      <c r="B36" s="1"/>
      <c r="C36" s="1"/>
      <c r="D36" s="1"/>
      <c r="E36" s="1"/>
      <c r="F36" s="960" t="s">
        <v>488</v>
      </c>
      <c r="G36" s="1"/>
      <c r="H36" s="960" t="s">
        <v>489</v>
      </c>
      <c r="I36" s="1"/>
      <c r="J36" s="960" t="s">
        <v>490</v>
      </c>
      <c r="K36" s="1"/>
      <c r="L36" s="961" t="s">
        <v>491</v>
      </c>
      <c r="M36" s="962"/>
      <c r="N36" s="962"/>
      <c r="O36" s="962"/>
      <c r="P36" s="962"/>
      <c r="Q36" s="962"/>
      <c r="R36" s="963"/>
      <c r="S36" s="1"/>
      <c r="T36" s="16"/>
      <c r="U36" s="16"/>
      <c r="V36" s="16"/>
    </row>
    <row r="37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6"/>
      <c r="U37" s="16"/>
      <c r="V37" s="16"/>
    </row>
    <row r="38" ht="14.25" customHeight="1">
      <c r="A38" s="1"/>
      <c r="B38" s="1"/>
      <c r="C38" s="1"/>
      <c r="D38" s="964" t="s">
        <v>492</v>
      </c>
      <c r="E38" s="1" t="s">
        <v>493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6"/>
      <c r="U38" s="16"/>
      <c r="V38" s="16"/>
    </row>
    <row r="39" ht="14.25" customHeight="1">
      <c r="A39" s="1"/>
      <c r="B39" s="1"/>
      <c r="C39" s="1"/>
      <c r="D39" s="1"/>
      <c r="E39" s="1" t="s">
        <v>494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6"/>
      <c r="U39" s="16"/>
      <c r="V39" s="16"/>
    </row>
    <row r="40" ht="14.25" customHeight="1">
      <c r="A40" s="1"/>
      <c r="B40" s="1"/>
      <c r="C40" s="1"/>
      <c r="D40" s="1"/>
      <c r="E40" s="1" t="s">
        <v>495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6"/>
      <c r="U40" s="16"/>
      <c r="V40" s="16"/>
    </row>
    <row r="41" ht="14.25" customHeight="1">
      <c r="A41" s="1"/>
      <c r="B41" s="1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</row>
    <row r="4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6"/>
    </row>
    <row r="43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6"/>
    </row>
    <row r="44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6"/>
    </row>
    <row r="45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6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6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6"/>
    </row>
    <row r="48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6"/>
    </row>
    <row r="49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6"/>
    </row>
    <row r="50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6"/>
    </row>
    <row r="5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6"/>
    </row>
    <row r="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6"/>
    </row>
    <row r="53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6"/>
    </row>
    <row r="54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6"/>
    </row>
    <row r="55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6"/>
    </row>
    <row r="5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6"/>
    </row>
    <row r="57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6"/>
    </row>
    <row r="58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6"/>
    </row>
    <row r="59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6"/>
    </row>
    <row r="60" ht="14.25" customHeight="1">
      <c r="A60" s="1"/>
      <c r="B60" s="1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</row>
    <row r="61" ht="14.25" customHeight="1">
      <c r="A61" s="1"/>
      <c r="B61" s="1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</row>
    <row r="62" ht="14.25" customHeight="1">
      <c r="A62" s="1"/>
      <c r="B62" s="1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</row>
    <row r="63" ht="14.25" customHeight="1">
      <c r="A63" s="1"/>
      <c r="B63" s="1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</row>
    <row r="64" ht="14.25" customHeight="1">
      <c r="A64" s="1"/>
      <c r="B64" s="1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</row>
    <row r="65" ht="14.25" customHeight="1">
      <c r="A65" s="1"/>
      <c r="B65" s="1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</row>
    <row r="66" ht="14.25" customHeight="1">
      <c r="A66" s="1"/>
      <c r="B66" s="1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</row>
    <row r="67" ht="14.25" customHeight="1">
      <c r="A67" s="1"/>
      <c r="B67" s="1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</row>
    <row r="68" ht="14.25" customHeight="1">
      <c r="A68" s="1"/>
      <c r="B68" s="1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</row>
    <row r="69" ht="14.25" customHeight="1">
      <c r="A69" s="1"/>
      <c r="B69" s="1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</row>
    <row r="70" ht="14.25" customHeight="1">
      <c r="A70" s="1"/>
      <c r="B70" s="1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</row>
    <row r="71" ht="14.25" customHeight="1">
      <c r="A71" s="1"/>
      <c r="B71" s="1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</row>
    <row r="72" ht="14.25" customHeight="1">
      <c r="A72" s="1"/>
      <c r="B72" s="1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</row>
    <row r="73" ht="14.25" customHeight="1">
      <c r="A73" s="1"/>
      <c r="B73" s="1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</row>
    <row r="74" ht="14.25" customHeight="1">
      <c r="A74" s="1"/>
      <c r="B74" s="1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</row>
    <row r="75" ht="14.25" customHeight="1">
      <c r="A75" s="1"/>
      <c r="B75" s="1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</row>
    <row r="76" ht="14.25" customHeight="1">
      <c r="A76" s="1"/>
      <c r="B76" s="1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</row>
    <row r="77" ht="14.25" customHeight="1">
      <c r="A77" s="1"/>
      <c r="B77" s="1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</row>
    <row r="78" ht="14.25" customHeight="1">
      <c r="A78" s="1"/>
      <c r="B78" s="1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</row>
    <row r="79" ht="14.25" customHeight="1">
      <c r="A79" s="1"/>
      <c r="B79" s="1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ht="14.25" customHeight="1">
      <c r="A80" s="1"/>
      <c r="B80" s="1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ht="14.25" customHeight="1">
      <c r="A81" s="1"/>
      <c r="B81" s="1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</row>
    <row r="82" ht="14.25" customHeight="1">
      <c r="A82" s="1"/>
      <c r="B82" s="1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ht="14.25" customHeight="1">
      <c r="A83" s="1"/>
      <c r="B83" s="1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</row>
    <row r="84" ht="14.25" customHeight="1">
      <c r="A84" s="1"/>
      <c r="B84" s="1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</row>
    <row r="85" ht="14.25" customHeight="1">
      <c r="A85" s="1"/>
      <c r="B85" s="1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</row>
    <row r="86" ht="14.25" customHeight="1">
      <c r="A86" s="1"/>
      <c r="B86" s="1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</row>
    <row r="87" ht="14.25" customHeight="1">
      <c r="A87" s="1"/>
      <c r="B87" s="1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</row>
    <row r="88" ht="14.25" customHeight="1">
      <c r="A88" s="1"/>
      <c r="B88" s="1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</row>
    <row r="89" ht="14.25" customHeight="1">
      <c r="A89" s="1"/>
      <c r="B89" s="1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</row>
    <row r="90" ht="14.25" customHeight="1">
      <c r="A90" s="1"/>
      <c r="B90" s="1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</row>
    <row r="91" ht="14.25" customHeight="1">
      <c r="A91" s="1"/>
      <c r="B91" s="1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</row>
    <row r="92" ht="14.25" customHeight="1">
      <c r="A92" s="1"/>
      <c r="B92" s="1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</row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7">
    <mergeCell ref="Q2:S2"/>
    <mergeCell ref="B3:B4"/>
    <mergeCell ref="F3:H4"/>
    <mergeCell ref="B6:B7"/>
    <mergeCell ref="D6:D7"/>
    <mergeCell ref="C31:E32"/>
    <mergeCell ref="L36:R36"/>
  </mergeCells>
  <printOptions/>
  <pageMargins bottom="0.75" footer="0.0" header="0.0" left="0.7" right="0.7" top="0.75"/>
  <pageSetup orientation="landscape"/>
  <headerFooter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1">
    <pageSetUpPr/>
  </sheetPr>
  <sheetViews>
    <sheetView workbookViewId="0">
      <pane xSplit="9.0" ySplit="5.0" topLeftCell="J6" activePane="bottomRight" state="frozen"/>
      <selection activeCell="J1" sqref="J1" pane="topRight"/>
      <selection activeCell="A6" sqref="A6" pane="bottomLeft"/>
      <selection activeCell="J6" sqref="J6" pane="bottomRight"/>
    </sheetView>
  </sheetViews>
  <sheetFormatPr customHeight="1" defaultColWidth="12.63" defaultRowHeight="15.0" outlineLevelCol="1"/>
  <cols>
    <col customWidth="1" min="1" max="1" width="3.75"/>
    <col customWidth="1" min="2" max="2" width="39.38"/>
    <col customWidth="1" min="3" max="3" width="1.5"/>
    <col customWidth="1" min="4" max="4" width="11.13"/>
    <col customWidth="1" min="5" max="5" width="2.13"/>
    <col customWidth="1" min="6" max="6" width="5.63"/>
    <col customWidth="1" min="7" max="7" width="2.38"/>
    <col customWidth="1" min="8" max="8" width="6.38"/>
    <col customWidth="1" min="9" max="9" width="2.38"/>
    <col customWidth="1" min="10" max="10" width="13.5"/>
    <col customWidth="1" min="11" max="11" width="2.63"/>
    <col customWidth="1" min="12" max="12" width="2.75"/>
    <col customWidth="1" min="13" max="13" width="4.5"/>
    <col customWidth="1" min="14" max="14" width="5.5"/>
    <col customWidth="1" min="15" max="16" width="2.75"/>
    <col customWidth="1" min="17" max="17" width="4.63"/>
    <col customWidth="1" min="18" max="18" width="5.5"/>
    <col customWidth="1" min="19" max="20" width="2.75"/>
    <col customWidth="1" min="21" max="21" width="4.5"/>
    <col customWidth="1" min="22" max="22" width="5.5"/>
    <col customWidth="1" min="23" max="24" width="2.75"/>
    <col customWidth="1" min="25" max="25" width="4.63"/>
    <col customWidth="1" min="26" max="26" width="5.5"/>
    <col customWidth="1" min="27" max="27" width="2.75"/>
    <col customWidth="1" min="28" max="28" width="2.88"/>
    <col customWidth="1" min="29" max="29" width="4.63"/>
    <col customWidth="1" min="30" max="30" width="5.5"/>
    <col customWidth="1" min="31" max="32" width="2.75"/>
    <col customWidth="1" min="33" max="33" width="4.63"/>
    <col customWidth="1" min="34" max="34" width="5.5"/>
    <col customWidth="1" min="35" max="35" width="2.75"/>
    <col customWidth="1" min="36" max="36" width="2.63"/>
    <col customWidth="1" min="37" max="37" width="4.5"/>
    <col customWidth="1" min="38" max="39" width="5.38"/>
    <col customWidth="1" min="40" max="40" width="8.38"/>
    <col customWidth="1" min="41" max="41" width="13.0"/>
    <col customWidth="1" min="42" max="42" width="12.13"/>
    <col customWidth="1" min="43" max="43" width="11.5"/>
    <col customWidth="1" min="44" max="47" width="11.38"/>
    <col customWidth="1" min="48" max="48" width="11.5"/>
    <col customWidth="1" min="49" max="49" width="8.88"/>
    <col customWidth="1" min="50" max="50" width="11.13"/>
    <col customWidth="1" min="51" max="51" width="8.88"/>
    <col customWidth="1" min="52" max="52" width="10.38"/>
    <col customWidth="1" min="53" max="53" width="8.38"/>
    <col customWidth="1" min="54" max="54" width="11.88"/>
    <col customWidth="1" min="55" max="55" width="8.38"/>
    <col customWidth="1" min="56" max="56" width="9.88"/>
    <col customWidth="1" min="57" max="58" width="8.38"/>
  </cols>
  <sheetData>
    <row r="1" ht="72.75" customHeight="1">
      <c r="A1" s="1"/>
      <c r="B1" s="2" t="str">
        <f>'A Cover'!G8</f>
        <v>Example University</v>
      </c>
      <c r="C1" s="8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8"/>
      <c r="Y1" s="438"/>
      <c r="Z1" s="436"/>
      <c r="AA1" s="436"/>
      <c r="AB1" s="438"/>
      <c r="AC1" s="438"/>
      <c r="AD1" s="940"/>
      <c r="AE1" s="940"/>
      <c r="AF1" s="1"/>
      <c r="AG1" s="1"/>
      <c r="AH1" s="1"/>
      <c r="AI1" s="436"/>
      <c r="AJ1" s="438"/>
      <c r="AK1" s="940"/>
      <c r="AL1" s="39"/>
      <c r="AM1" s="940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</row>
    <row r="2" ht="14.25" customHeight="1">
      <c r="A2" s="1"/>
      <c r="B2" s="364" t="s">
        <v>496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965" t="s">
        <v>0</v>
      </c>
      <c r="Q2" s="966"/>
      <c r="R2" s="34" t="s">
        <v>9</v>
      </c>
      <c r="S2" s="49"/>
      <c r="T2" s="1"/>
      <c r="U2" s="1"/>
      <c r="V2" s="1"/>
      <c r="W2" s="1"/>
      <c r="X2" s="1"/>
      <c r="Y2" s="1"/>
      <c r="Z2" s="1"/>
      <c r="AA2" s="1"/>
      <c r="AB2" s="1"/>
      <c r="AC2" s="1"/>
      <c r="AD2" s="967">
        <f>'A Cover'!G$12</f>
        <v>46307</v>
      </c>
      <c r="AE2" s="147"/>
      <c r="AF2" s="27"/>
      <c r="AG2" s="437"/>
      <c r="AH2" s="432"/>
      <c r="AI2" s="437"/>
      <c r="AJ2" s="1"/>
      <c r="AK2" s="968"/>
      <c r="AL2" s="968"/>
      <c r="AM2" s="940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ht="3.0" customHeight="1">
      <c r="A3" s="1"/>
      <c r="B3" s="1"/>
      <c r="C3" s="96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438"/>
      <c r="Q3" s="438"/>
      <c r="R3" s="437"/>
      <c r="S3" s="437"/>
      <c r="T3" s="438"/>
      <c r="U3" s="438"/>
      <c r="V3" s="437"/>
      <c r="W3" s="437"/>
      <c r="X3" s="438"/>
      <c r="Y3" s="438"/>
      <c r="Z3" s="940"/>
      <c r="AA3" s="940"/>
      <c r="AB3" s="438"/>
      <c r="AC3" s="438"/>
      <c r="AD3" s="37"/>
      <c r="AE3" s="44"/>
      <c r="AF3" s="38"/>
      <c r="AG3" s="437"/>
      <c r="AH3" s="438"/>
      <c r="AI3" s="437"/>
      <c r="AJ3" s="1"/>
      <c r="AK3" s="1"/>
      <c r="AL3" s="1"/>
      <c r="AM3" s="940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</row>
    <row r="4" ht="4.5" customHeight="1">
      <c r="A4" s="1"/>
      <c r="B4" s="970" t="s">
        <v>497</v>
      </c>
      <c r="C4" s="147"/>
      <c r="D4" s="2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971"/>
      <c r="Q4" s="971"/>
      <c r="R4" s="972"/>
      <c r="S4" s="972"/>
      <c r="T4" s="971"/>
      <c r="U4" s="971"/>
      <c r="V4" s="973"/>
      <c r="W4" s="973"/>
      <c r="X4" s="971"/>
      <c r="Y4" s="971"/>
      <c r="Z4" s="974"/>
      <c r="AA4" s="974"/>
      <c r="AB4" s="971"/>
      <c r="AC4" s="971"/>
      <c r="AD4" s="974"/>
      <c r="AE4" s="974"/>
      <c r="AF4" s="971"/>
      <c r="AG4" s="437"/>
      <c r="AH4" s="971"/>
      <c r="AI4" s="437"/>
      <c r="AJ4" s="1"/>
      <c r="AK4" s="1"/>
      <c r="AL4" s="1"/>
      <c r="AM4" s="940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</row>
    <row r="5" ht="14.25" customHeight="1">
      <c r="A5" s="1"/>
      <c r="B5" s="37"/>
      <c r="C5" s="44"/>
      <c r="D5" s="38"/>
      <c r="E5" s="39"/>
      <c r="F5" s="39"/>
      <c r="G5" s="39"/>
      <c r="H5" s="39"/>
      <c r="I5" s="39"/>
      <c r="J5" s="398" t="str">
        <f>'F Population'!N$6</f>
        <v>2025 - 26</v>
      </c>
      <c r="K5" s="39"/>
      <c r="L5" s="975" t="str">
        <f>'F Population'!P$6</f>
        <v>2026 - 27</v>
      </c>
      <c r="M5" s="243"/>
      <c r="N5" s="244"/>
      <c r="O5" s="39"/>
      <c r="P5" s="975" t="str">
        <f>'F Population'!U$6</f>
        <v>2027 - 28</v>
      </c>
      <c r="Q5" s="243"/>
      <c r="R5" s="244"/>
      <c r="S5" s="39"/>
      <c r="T5" s="975" t="str">
        <f>'F Population'!W$6</f>
        <v>2028 - 29</v>
      </c>
      <c r="U5" s="243"/>
      <c r="V5" s="244"/>
      <c r="W5" s="39"/>
      <c r="X5" s="975" t="str">
        <f>'F Population'!Y$6</f>
        <v>2029 - 30</v>
      </c>
      <c r="Y5" s="243"/>
      <c r="Z5" s="244"/>
      <c r="AA5" s="39"/>
      <c r="AB5" s="975" t="str">
        <f>'F Population'!AA$6</f>
        <v>2030 - 31</v>
      </c>
      <c r="AC5" s="243"/>
      <c r="AD5" s="244"/>
      <c r="AE5" s="39"/>
      <c r="AF5" s="975" t="str">
        <f>'F Population'!AC$6</f>
        <v>2031 - 32</v>
      </c>
      <c r="AG5" s="243"/>
      <c r="AH5" s="244"/>
      <c r="AI5" s="437"/>
      <c r="AJ5" s="976" t="s">
        <v>126</v>
      </c>
      <c r="AK5" s="35"/>
      <c r="AL5" s="21"/>
      <c r="AM5" s="940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</row>
    <row r="6" ht="18.75" customHeight="1">
      <c r="A6" s="1"/>
      <c r="B6" s="151" t="s">
        <v>498</v>
      </c>
      <c r="C6" s="180"/>
      <c r="D6" s="39"/>
      <c r="E6" s="977" t="s">
        <v>499</v>
      </c>
      <c r="F6" s="147"/>
      <c r="G6" s="27"/>
      <c r="H6" s="978" t="s">
        <v>500</v>
      </c>
      <c r="I6" s="979"/>
      <c r="J6" s="980" t="s">
        <v>501</v>
      </c>
      <c r="K6" s="39"/>
      <c r="L6" s="39"/>
      <c r="M6" s="39"/>
      <c r="N6" s="39"/>
      <c r="O6" s="39"/>
      <c r="P6" s="85"/>
      <c r="Q6" s="85"/>
      <c r="R6" s="981"/>
      <c r="S6" s="981"/>
      <c r="T6" s="85"/>
      <c r="U6" s="85"/>
      <c r="V6" s="981"/>
      <c r="W6" s="981"/>
      <c r="X6" s="85"/>
      <c r="Y6" s="85"/>
      <c r="Z6" s="981"/>
      <c r="AA6" s="982"/>
      <c r="AB6" s="85"/>
      <c r="AC6" s="85"/>
      <c r="AD6" s="981"/>
      <c r="AE6" s="982"/>
      <c r="AF6" s="85"/>
      <c r="AG6" s="85"/>
      <c r="AH6" s="981"/>
      <c r="AI6" s="437"/>
      <c r="AJ6" s="85"/>
      <c r="AK6" s="85"/>
      <c r="AL6" s="981"/>
      <c r="AM6" s="940"/>
      <c r="AN6" s="1"/>
      <c r="AO6" s="983" t="s">
        <v>502</v>
      </c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</row>
    <row r="7" ht="4.5" customHeight="1">
      <c r="A7" s="1"/>
      <c r="B7" s="203"/>
      <c r="C7" s="180"/>
      <c r="D7" s="39"/>
      <c r="E7" s="984"/>
      <c r="G7" s="985"/>
      <c r="H7" s="986"/>
      <c r="I7" s="979"/>
      <c r="J7" s="986"/>
      <c r="K7" s="39"/>
      <c r="L7" s="39"/>
      <c r="M7" s="39"/>
      <c r="N7" s="39"/>
      <c r="O7" s="39"/>
      <c r="P7" s="85"/>
      <c r="Q7" s="85"/>
      <c r="R7" s="981"/>
      <c r="S7" s="981"/>
      <c r="T7" s="85"/>
      <c r="U7" s="85"/>
      <c r="V7" s="981"/>
      <c r="W7" s="981"/>
      <c r="X7" s="85"/>
      <c r="Y7" s="85"/>
      <c r="Z7" s="981"/>
      <c r="AA7" s="982"/>
      <c r="AB7" s="85"/>
      <c r="AC7" s="85"/>
      <c r="AD7" s="981"/>
      <c r="AE7" s="982"/>
      <c r="AF7" s="85"/>
      <c r="AG7" s="85"/>
      <c r="AH7" s="981"/>
      <c r="AI7" s="437"/>
      <c r="AJ7" s="85"/>
      <c r="AK7" s="85"/>
      <c r="AL7" s="981"/>
      <c r="AM7" s="940"/>
      <c r="AN7" s="1"/>
      <c r="AO7" s="987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</row>
    <row r="8" ht="14.25" customHeight="1">
      <c r="A8" s="1"/>
      <c r="B8" s="988" t="s">
        <v>503</v>
      </c>
      <c r="C8" s="988"/>
      <c r="D8" s="989" t="s">
        <v>504</v>
      </c>
      <c r="E8" s="37"/>
      <c r="F8" s="44"/>
      <c r="G8" s="38"/>
      <c r="H8" s="205"/>
      <c r="I8" s="979"/>
      <c r="J8" s="205"/>
      <c r="K8" s="39"/>
      <c r="L8" s="990"/>
      <c r="M8" s="990"/>
      <c r="N8" s="990"/>
      <c r="O8" s="990"/>
      <c r="P8" s="990"/>
      <c r="Q8" s="990"/>
      <c r="R8" s="990"/>
      <c r="S8" s="990"/>
      <c r="T8" s="990"/>
      <c r="U8" s="990"/>
      <c r="V8" s="990"/>
      <c r="W8" s="990"/>
      <c r="X8" s="990"/>
      <c r="Y8" s="990"/>
      <c r="Z8" s="990"/>
      <c r="AA8" s="990"/>
      <c r="AB8" s="990"/>
      <c r="AC8" s="990"/>
      <c r="AD8" s="990"/>
      <c r="AE8" s="990"/>
      <c r="AF8" s="990"/>
      <c r="AG8" s="990"/>
      <c r="AH8" s="990"/>
      <c r="AI8" s="437"/>
      <c r="AJ8" s="991"/>
      <c r="AK8" s="35"/>
      <c r="AL8" s="21"/>
      <c r="AM8" s="940"/>
      <c r="AN8" s="1"/>
      <c r="AO8" s="983" t="s">
        <v>505</v>
      </c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</row>
    <row r="9" ht="4.5" customHeight="1">
      <c r="A9" s="1"/>
      <c r="B9" s="203"/>
      <c r="C9" s="180"/>
      <c r="D9" s="39"/>
      <c r="E9" s="39"/>
      <c r="F9" s="39"/>
      <c r="G9" s="39"/>
      <c r="H9" s="992"/>
      <c r="I9" s="979"/>
      <c r="J9" s="39"/>
      <c r="K9" s="39"/>
      <c r="L9" s="39"/>
      <c r="M9" s="39"/>
      <c r="N9" s="39"/>
      <c r="O9" s="39"/>
      <c r="P9" s="85"/>
      <c r="Q9" s="85"/>
      <c r="R9" s="981"/>
      <c r="S9" s="981"/>
      <c r="T9" s="85"/>
      <c r="U9" s="85"/>
      <c r="V9" s="981"/>
      <c r="W9" s="981"/>
      <c r="X9" s="85"/>
      <c r="Y9" s="85"/>
      <c r="Z9" s="981"/>
      <c r="AA9" s="982"/>
      <c r="AB9" s="85"/>
      <c r="AC9" s="85"/>
      <c r="AD9" s="981"/>
      <c r="AE9" s="982"/>
      <c r="AF9" s="85"/>
      <c r="AG9" s="85"/>
      <c r="AH9" s="981"/>
      <c r="AI9" s="437"/>
      <c r="AJ9" s="85"/>
      <c r="AK9" s="85"/>
      <c r="AL9" s="981"/>
      <c r="AM9" s="940"/>
      <c r="AN9" s="1"/>
      <c r="AO9" s="987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</row>
    <row r="10" ht="15.0" customHeight="1">
      <c r="A10" s="1"/>
      <c r="B10" s="83" t="s">
        <v>506</v>
      </c>
      <c r="C10" s="180"/>
      <c r="D10" s="993" t="s">
        <v>507</v>
      </c>
      <c r="E10" s="994"/>
      <c r="F10" s="995">
        <v>30.0</v>
      </c>
      <c r="G10" s="994"/>
      <c r="H10" s="995">
        <v>10.0</v>
      </c>
      <c r="I10" s="39"/>
      <c r="J10" s="83">
        <v>3278446.0</v>
      </c>
      <c r="K10" s="39"/>
      <c r="L10" s="996">
        <v>8600000.0</v>
      </c>
      <c r="M10" s="20"/>
      <c r="N10" s="22"/>
      <c r="O10" s="997"/>
      <c r="P10" s="996">
        <v>2200000.0</v>
      </c>
      <c r="Q10" s="20"/>
      <c r="R10" s="22"/>
      <c r="S10" s="997"/>
      <c r="T10" s="996"/>
      <c r="U10" s="20"/>
      <c r="V10" s="22"/>
      <c r="W10" s="998"/>
      <c r="X10" s="996"/>
      <c r="Y10" s="20"/>
      <c r="Z10" s="22"/>
      <c r="AA10" s="998"/>
      <c r="AB10" s="996"/>
      <c r="AC10" s="20"/>
      <c r="AD10" s="22"/>
      <c r="AE10" s="998"/>
      <c r="AF10" s="996"/>
      <c r="AG10" s="20"/>
      <c r="AH10" s="22"/>
      <c r="AI10" s="437"/>
      <c r="AJ10" s="999">
        <f>SUM(J10:AH10)</f>
        <v>14078446</v>
      </c>
      <c r="AK10" s="35"/>
      <c r="AL10" s="21"/>
      <c r="AM10" s="940"/>
      <c r="AN10" s="1"/>
      <c r="AO10" s="983" t="s">
        <v>502</v>
      </c>
      <c r="AP10" s="85">
        <f>SUM($J10:J10)</f>
        <v>3278446</v>
      </c>
      <c r="AQ10" s="1"/>
      <c r="AR10" s="85">
        <f>SUM($J10:L10)</f>
        <v>11878446</v>
      </c>
      <c r="AS10" s="1"/>
      <c r="AT10" s="85">
        <f>SUM($J10:P10)</f>
        <v>14078446</v>
      </c>
      <c r="AU10" s="1"/>
      <c r="AV10" s="85">
        <f>SUM($J10:T10)</f>
        <v>14078446</v>
      </c>
      <c r="AW10" s="1"/>
      <c r="AX10" s="85">
        <f>SUM($J10:X10)</f>
        <v>14078446</v>
      </c>
      <c r="AY10" s="1"/>
      <c r="AZ10" s="85">
        <f>SUM($J10:AB10)</f>
        <v>14078446</v>
      </c>
      <c r="BA10" s="1"/>
      <c r="BB10" s="85">
        <f>SUM($J10:AF10)</f>
        <v>14078446</v>
      </c>
      <c r="BC10" s="1"/>
      <c r="BD10" s="39" t="str">
        <f>RIGHT(D10,2)</f>
        <v>26</v>
      </c>
      <c r="BE10" s="1"/>
      <c r="BF10" s="1"/>
    </row>
    <row r="11" ht="4.5" customHeight="1">
      <c r="A11" s="1"/>
      <c r="B11" s="203"/>
      <c r="C11" s="180"/>
      <c r="D11" s="39"/>
      <c r="E11" s="994"/>
      <c r="F11" s="39"/>
      <c r="G11" s="994"/>
      <c r="H11" s="39"/>
      <c r="I11" s="979"/>
      <c r="J11" s="92"/>
      <c r="K11" s="39"/>
      <c r="L11" s="85"/>
      <c r="M11" s="85"/>
      <c r="N11" s="981"/>
      <c r="O11" s="981"/>
      <c r="P11" s="85"/>
      <c r="Q11" s="85"/>
      <c r="R11" s="981"/>
      <c r="S11" s="981"/>
      <c r="T11" s="85"/>
      <c r="U11" s="85"/>
      <c r="V11" s="981"/>
      <c r="W11" s="982"/>
      <c r="X11" s="85"/>
      <c r="Y11" s="85"/>
      <c r="Z11" s="981"/>
      <c r="AA11" s="982"/>
      <c r="AB11" s="85"/>
      <c r="AC11" s="85"/>
      <c r="AD11" s="981"/>
      <c r="AE11" s="982"/>
      <c r="AF11" s="85"/>
      <c r="AG11" s="85"/>
      <c r="AH11" s="981"/>
      <c r="AI11" s="437"/>
      <c r="AJ11" s="85"/>
      <c r="AK11" s="85"/>
      <c r="AL11" s="981"/>
      <c r="AM11" s="940"/>
      <c r="AN11" s="1"/>
      <c r="AO11" s="987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</row>
    <row r="12" ht="14.25" customHeight="1">
      <c r="A12" s="1"/>
      <c r="B12" s="83" t="s">
        <v>508</v>
      </c>
      <c r="C12" s="180"/>
      <c r="D12" s="993" t="s">
        <v>509</v>
      </c>
      <c r="E12" s="994"/>
      <c r="F12" s="995">
        <v>30.0</v>
      </c>
      <c r="G12" s="994"/>
      <c r="H12" s="995">
        <v>10.0</v>
      </c>
      <c r="I12" s="39"/>
      <c r="J12" s="83">
        <v>100437.0</v>
      </c>
      <c r="K12" s="39"/>
      <c r="L12" s="996">
        <v>2400000.0</v>
      </c>
      <c r="M12" s="20"/>
      <c r="N12" s="22"/>
      <c r="O12" s="997"/>
      <c r="P12" s="996">
        <v>6300000.0</v>
      </c>
      <c r="Q12" s="20"/>
      <c r="R12" s="22"/>
      <c r="S12" s="997"/>
      <c r="T12" s="996">
        <v>860000.0</v>
      </c>
      <c r="U12" s="20"/>
      <c r="V12" s="22"/>
      <c r="W12" s="998"/>
      <c r="X12" s="996"/>
      <c r="Y12" s="20"/>
      <c r="Z12" s="22"/>
      <c r="AA12" s="998"/>
      <c r="AB12" s="996"/>
      <c r="AC12" s="20"/>
      <c r="AD12" s="22"/>
      <c r="AE12" s="998"/>
      <c r="AF12" s="996"/>
      <c r="AG12" s="20"/>
      <c r="AH12" s="22"/>
      <c r="AI12" s="437"/>
      <c r="AJ12" s="999">
        <f>SUM(J12:AH12)</f>
        <v>9660437</v>
      </c>
      <c r="AK12" s="35"/>
      <c r="AL12" s="21"/>
      <c r="AM12" s="940"/>
      <c r="AN12" s="1"/>
      <c r="AO12" s="983" t="s">
        <v>502</v>
      </c>
      <c r="AP12" s="85">
        <f>SUM($J12:J12)</f>
        <v>100437</v>
      </c>
      <c r="AQ12" s="1"/>
      <c r="AR12" s="85">
        <f>SUM($J12:L12)</f>
        <v>2500437</v>
      </c>
      <c r="AS12" s="1"/>
      <c r="AT12" s="85">
        <f>SUM($J12:P12)</f>
        <v>8800437</v>
      </c>
      <c r="AU12" s="1"/>
      <c r="AV12" s="85">
        <f>SUM($J12:T12)</f>
        <v>9660437</v>
      </c>
      <c r="AW12" s="1"/>
      <c r="AX12" s="85">
        <f>SUM($J12:X12)</f>
        <v>9660437</v>
      </c>
      <c r="AY12" s="1"/>
      <c r="AZ12" s="85">
        <f>SUM($J12:AB12)</f>
        <v>9660437</v>
      </c>
      <c r="BA12" s="1"/>
      <c r="BB12" s="85">
        <f>SUM($J12:AF12)</f>
        <v>9660437</v>
      </c>
      <c r="BC12" s="1"/>
      <c r="BD12" s="39" t="str">
        <f>RIGHT(D12,2)</f>
        <v>27</v>
      </c>
      <c r="BE12" s="1"/>
      <c r="BF12" s="1"/>
    </row>
    <row r="13" ht="4.5" customHeight="1">
      <c r="A13" s="1"/>
      <c r="B13" s="203"/>
      <c r="C13" s="180"/>
      <c r="D13" s="39"/>
      <c r="E13" s="994"/>
      <c r="F13" s="1000"/>
      <c r="G13" s="994"/>
      <c r="H13" s="1000"/>
      <c r="I13" s="979"/>
      <c r="J13" s="92"/>
      <c r="K13" s="39"/>
      <c r="L13" s="85"/>
      <c r="M13" s="85"/>
      <c r="N13" s="981"/>
      <c r="O13" s="981"/>
      <c r="P13" s="85"/>
      <c r="Q13" s="85"/>
      <c r="R13" s="981"/>
      <c r="S13" s="981"/>
      <c r="T13" s="85"/>
      <c r="U13" s="85"/>
      <c r="V13" s="981"/>
      <c r="W13" s="982"/>
      <c r="X13" s="85"/>
      <c r="Y13" s="85"/>
      <c r="Z13" s="981"/>
      <c r="AA13" s="982"/>
      <c r="AB13" s="85"/>
      <c r="AC13" s="85"/>
      <c r="AD13" s="981"/>
      <c r="AE13" s="982"/>
      <c r="AF13" s="85"/>
      <c r="AG13" s="85"/>
      <c r="AH13" s="981"/>
      <c r="AI13" s="437"/>
      <c r="AJ13" s="85"/>
      <c r="AK13" s="85"/>
      <c r="AL13" s="981"/>
      <c r="AM13" s="940"/>
      <c r="AN13" s="1"/>
      <c r="AO13" s="987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</row>
    <row r="14" ht="14.25" customHeight="1">
      <c r="A14" s="1"/>
      <c r="B14" s="83"/>
      <c r="C14" s="180"/>
      <c r="D14" s="993"/>
      <c r="E14" s="994"/>
      <c r="F14" s="995"/>
      <c r="G14" s="994"/>
      <c r="H14" s="995"/>
      <c r="I14" s="39"/>
      <c r="J14" s="83"/>
      <c r="K14" s="39"/>
      <c r="L14" s="996"/>
      <c r="M14" s="20"/>
      <c r="N14" s="22"/>
      <c r="O14" s="997"/>
      <c r="P14" s="996"/>
      <c r="Q14" s="20"/>
      <c r="R14" s="22"/>
      <c r="S14" s="997"/>
      <c r="T14" s="996"/>
      <c r="U14" s="20"/>
      <c r="V14" s="22"/>
      <c r="W14" s="998"/>
      <c r="X14" s="996"/>
      <c r="Y14" s="20"/>
      <c r="Z14" s="22"/>
      <c r="AA14" s="998"/>
      <c r="AB14" s="996"/>
      <c r="AC14" s="20"/>
      <c r="AD14" s="22"/>
      <c r="AE14" s="998"/>
      <c r="AF14" s="996"/>
      <c r="AG14" s="20"/>
      <c r="AH14" s="22"/>
      <c r="AI14" s="437"/>
      <c r="AJ14" s="999">
        <f>SUM(J14:AH14)</f>
        <v>0</v>
      </c>
      <c r="AK14" s="35"/>
      <c r="AL14" s="21"/>
      <c r="AM14" s="940"/>
      <c r="AN14" s="1"/>
      <c r="AO14" s="983" t="s">
        <v>502</v>
      </c>
      <c r="AP14" s="85">
        <f>SUM($J14:J14)</f>
        <v>0</v>
      </c>
      <c r="AQ14" s="1"/>
      <c r="AR14" s="85">
        <f>SUM($J14:L14)</f>
        <v>0</v>
      </c>
      <c r="AS14" s="1"/>
      <c r="AT14" s="85">
        <f>SUM($J14:P14)</f>
        <v>0</v>
      </c>
      <c r="AU14" s="1"/>
      <c r="AV14" s="85">
        <f>SUM($J14:T14)</f>
        <v>0</v>
      </c>
      <c r="AW14" s="1"/>
      <c r="AX14" s="85">
        <f>SUM($J14:X14)</f>
        <v>0</v>
      </c>
      <c r="AY14" s="1"/>
      <c r="AZ14" s="85">
        <f>SUM($J14:AB14)</f>
        <v>0</v>
      </c>
      <c r="BA14" s="1"/>
      <c r="BB14" s="85">
        <f>SUM($J14:AF14)</f>
        <v>0</v>
      </c>
      <c r="BC14" s="1"/>
      <c r="BD14" s="39" t="str">
        <f>RIGHT(D14,2)</f>
        <v/>
      </c>
      <c r="BE14" s="1"/>
      <c r="BF14" s="1"/>
    </row>
    <row r="15" ht="4.5" customHeight="1">
      <c r="A15" s="1"/>
      <c r="B15" s="203"/>
      <c r="C15" s="180"/>
      <c r="D15" s="39"/>
      <c r="E15" s="994"/>
      <c r="F15" s="1000"/>
      <c r="G15" s="994"/>
      <c r="H15" s="1000"/>
      <c r="I15" s="979"/>
      <c r="J15" s="92"/>
      <c r="K15" s="39"/>
      <c r="L15" s="85"/>
      <c r="M15" s="85"/>
      <c r="N15" s="981"/>
      <c r="O15" s="981"/>
      <c r="P15" s="85"/>
      <c r="Q15" s="85"/>
      <c r="R15" s="981"/>
      <c r="S15" s="981"/>
      <c r="T15" s="85"/>
      <c r="U15" s="85"/>
      <c r="V15" s="981"/>
      <c r="W15" s="982"/>
      <c r="X15" s="85"/>
      <c r="Y15" s="85"/>
      <c r="Z15" s="981"/>
      <c r="AA15" s="982"/>
      <c r="AB15" s="85"/>
      <c r="AC15" s="85"/>
      <c r="AD15" s="981"/>
      <c r="AE15" s="982"/>
      <c r="AF15" s="85"/>
      <c r="AG15" s="85"/>
      <c r="AH15" s="981"/>
      <c r="AI15" s="437"/>
      <c r="AJ15" s="85"/>
      <c r="AK15" s="85"/>
      <c r="AL15" s="981"/>
      <c r="AM15" s="940"/>
      <c r="AN15" s="1"/>
      <c r="AO15" s="987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</row>
    <row r="16" ht="14.25" customHeight="1">
      <c r="A16" s="1"/>
      <c r="B16" s="83"/>
      <c r="C16" s="180"/>
      <c r="D16" s="993"/>
      <c r="E16" s="994"/>
      <c r="F16" s="995"/>
      <c r="G16" s="994"/>
      <c r="H16" s="995"/>
      <c r="I16" s="39"/>
      <c r="J16" s="83"/>
      <c r="K16" s="39"/>
      <c r="L16" s="996"/>
      <c r="M16" s="20"/>
      <c r="N16" s="22"/>
      <c r="O16" s="997"/>
      <c r="P16" s="996"/>
      <c r="Q16" s="20"/>
      <c r="R16" s="22"/>
      <c r="S16" s="997"/>
      <c r="T16" s="996"/>
      <c r="U16" s="20"/>
      <c r="V16" s="22"/>
      <c r="W16" s="998"/>
      <c r="X16" s="996"/>
      <c r="Y16" s="20"/>
      <c r="Z16" s="22"/>
      <c r="AA16" s="998"/>
      <c r="AB16" s="996"/>
      <c r="AC16" s="20"/>
      <c r="AD16" s="22"/>
      <c r="AE16" s="998"/>
      <c r="AF16" s="996"/>
      <c r="AG16" s="20"/>
      <c r="AH16" s="22"/>
      <c r="AI16" s="437"/>
      <c r="AJ16" s="999">
        <f>SUM(J16:AH16)</f>
        <v>0</v>
      </c>
      <c r="AK16" s="35"/>
      <c r="AL16" s="21"/>
      <c r="AM16" s="940"/>
      <c r="AN16" s="1"/>
      <c r="AO16" s="983" t="s">
        <v>502</v>
      </c>
      <c r="AP16" s="85">
        <f>SUM($J16:J16)</f>
        <v>0</v>
      </c>
      <c r="AQ16" s="1"/>
      <c r="AR16" s="85">
        <f>SUM($J16:L16)</f>
        <v>0</v>
      </c>
      <c r="AS16" s="1"/>
      <c r="AT16" s="85">
        <f>SUM($J16:P16)</f>
        <v>0</v>
      </c>
      <c r="AU16" s="1"/>
      <c r="AV16" s="85">
        <f>SUM($J16:T16)</f>
        <v>0</v>
      </c>
      <c r="AW16" s="1"/>
      <c r="AX16" s="85">
        <f>SUM($J16:X16)</f>
        <v>0</v>
      </c>
      <c r="AY16" s="1"/>
      <c r="AZ16" s="85">
        <f>SUM($J16:AB16)</f>
        <v>0</v>
      </c>
      <c r="BA16" s="1"/>
      <c r="BB16" s="85">
        <f>SUM($J16:AF16)</f>
        <v>0</v>
      </c>
      <c r="BC16" s="1"/>
      <c r="BD16" s="39" t="str">
        <f>RIGHT(D16,2)</f>
        <v/>
      </c>
      <c r="BE16" s="1"/>
      <c r="BF16" s="1"/>
    </row>
    <row r="17" ht="4.5" customHeight="1">
      <c r="A17" s="1"/>
      <c r="B17" s="203"/>
      <c r="C17" s="180"/>
      <c r="D17" s="39"/>
      <c r="E17" s="994"/>
      <c r="F17" s="1000"/>
      <c r="G17" s="994"/>
      <c r="H17" s="1000"/>
      <c r="I17" s="979"/>
      <c r="J17" s="39"/>
      <c r="K17" s="39"/>
      <c r="L17" s="85"/>
      <c r="M17" s="85"/>
      <c r="N17" s="981"/>
      <c r="O17" s="981"/>
      <c r="P17" s="85"/>
      <c r="Q17" s="85"/>
      <c r="R17" s="981"/>
      <c r="S17" s="981"/>
      <c r="T17" s="85"/>
      <c r="U17" s="85"/>
      <c r="V17" s="981"/>
      <c r="W17" s="982"/>
      <c r="X17" s="85"/>
      <c r="Y17" s="85"/>
      <c r="Z17" s="981"/>
      <c r="AA17" s="982"/>
      <c r="AB17" s="85"/>
      <c r="AC17" s="85"/>
      <c r="AD17" s="981"/>
      <c r="AE17" s="982"/>
      <c r="AF17" s="85"/>
      <c r="AG17" s="85"/>
      <c r="AH17" s="981"/>
      <c r="AI17" s="437"/>
      <c r="AJ17" s="85"/>
      <c r="AK17" s="85"/>
      <c r="AL17" s="981"/>
      <c r="AM17" s="940"/>
      <c r="AN17" s="1"/>
      <c r="AO17" s="987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</row>
    <row r="18" ht="15.0" customHeight="1">
      <c r="A18" s="1"/>
      <c r="B18" s="83"/>
      <c r="C18" s="180"/>
      <c r="D18" s="993"/>
      <c r="E18" s="994"/>
      <c r="F18" s="995"/>
      <c r="G18" s="994"/>
      <c r="H18" s="995"/>
      <c r="I18" s="39"/>
      <c r="J18" s="83"/>
      <c r="K18" s="39"/>
      <c r="L18" s="996"/>
      <c r="M18" s="20"/>
      <c r="N18" s="22"/>
      <c r="O18" s="997"/>
      <c r="P18" s="996"/>
      <c r="Q18" s="20"/>
      <c r="R18" s="22"/>
      <c r="S18" s="997"/>
      <c r="T18" s="996"/>
      <c r="U18" s="20"/>
      <c r="V18" s="22"/>
      <c r="W18" s="998"/>
      <c r="X18" s="996"/>
      <c r="Y18" s="20"/>
      <c r="Z18" s="22"/>
      <c r="AA18" s="998"/>
      <c r="AB18" s="996"/>
      <c r="AC18" s="20"/>
      <c r="AD18" s="22"/>
      <c r="AE18" s="998"/>
      <c r="AF18" s="996"/>
      <c r="AG18" s="20"/>
      <c r="AH18" s="22"/>
      <c r="AI18" s="437"/>
      <c r="AJ18" s="999">
        <f>SUM(J18:AH18)</f>
        <v>0</v>
      </c>
      <c r="AK18" s="35"/>
      <c r="AL18" s="21"/>
      <c r="AM18" s="940"/>
      <c r="AN18" s="1"/>
      <c r="AO18" s="983" t="s">
        <v>502</v>
      </c>
      <c r="AP18" s="85">
        <f>SUM($J18:J18)</f>
        <v>0</v>
      </c>
      <c r="AQ18" s="1"/>
      <c r="AR18" s="85">
        <f>SUM($J18:L18)</f>
        <v>0</v>
      </c>
      <c r="AS18" s="1"/>
      <c r="AT18" s="85">
        <f>SUM($J18:P18)</f>
        <v>0</v>
      </c>
      <c r="AU18" s="1"/>
      <c r="AV18" s="85">
        <f>SUM($J18:T18)</f>
        <v>0</v>
      </c>
      <c r="AW18" s="1"/>
      <c r="AX18" s="85">
        <f>SUM($J18:X18)</f>
        <v>0</v>
      </c>
      <c r="AY18" s="1"/>
      <c r="AZ18" s="85">
        <f>SUM($J18:AB18)</f>
        <v>0</v>
      </c>
      <c r="BA18" s="1"/>
      <c r="BB18" s="85">
        <f>SUM($J18:AF18)</f>
        <v>0</v>
      </c>
      <c r="BC18" s="1"/>
      <c r="BD18" s="39" t="str">
        <f>RIGHT(D18,2)</f>
        <v/>
      </c>
      <c r="BE18" s="1"/>
      <c r="BF18" s="1"/>
    </row>
    <row r="19" ht="4.5" customHeight="1">
      <c r="A19" s="1"/>
      <c r="B19" s="203"/>
      <c r="C19" s="180"/>
      <c r="D19" s="39"/>
      <c r="E19" s="994"/>
      <c r="F19" s="39"/>
      <c r="G19" s="994"/>
      <c r="H19" s="39"/>
      <c r="I19" s="979"/>
      <c r="J19" s="92"/>
      <c r="K19" s="39"/>
      <c r="L19" s="85"/>
      <c r="M19" s="85"/>
      <c r="N19" s="981"/>
      <c r="O19" s="981"/>
      <c r="P19" s="85"/>
      <c r="Q19" s="85"/>
      <c r="R19" s="981"/>
      <c r="S19" s="981"/>
      <c r="T19" s="85"/>
      <c r="U19" s="85"/>
      <c r="V19" s="981"/>
      <c r="W19" s="982"/>
      <c r="X19" s="85"/>
      <c r="Y19" s="85"/>
      <c r="Z19" s="981"/>
      <c r="AA19" s="982"/>
      <c r="AB19" s="85"/>
      <c r="AC19" s="85"/>
      <c r="AD19" s="981"/>
      <c r="AE19" s="982"/>
      <c r="AF19" s="85"/>
      <c r="AG19" s="85"/>
      <c r="AH19" s="981"/>
      <c r="AI19" s="437"/>
      <c r="AJ19" s="85"/>
      <c r="AK19" s="85"/>
      <c r="AL19" s="981"/>
      <c r="AM19" s="940"/>
      <c r="AN19" s="1"/>
      <c r="AO19" s="987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</row>
    <row r="20" ht="15.0" customHeight="1">
      <c r="A20" s="1"/>
      <c r="B20" s="83"/>
      <c r="C20" s="180"/>
      <c r="D20" s="993"/>
      <c r="E20" s="994"/>
      <c r="F20" s="995"/>
      <c r="G20" s="994"/>
      <c r="H20" s="995"/>
      <c r="I20" s="39"/>
      <c r="J20" s="83"/>
      <c r="K20" s="39"/>
      <c r="L20" s="996"/>
      <c r="M20" s="20"/>
      <c r="N20" s="22"/>
      <c r="O20" s="997"/>
      <c r="P20" s="996"/>
      <c r="Q20" s="20"/>
      <c r="R20" s="22"/>
      <c r="S20" s="997"/>
      <c r="T20" s="996"/>
      <c r="U20" s="20"/>
      <c r="V20" s="22"/>
      <c r="W20" s="998"/>
      <c r="X20" s="996"/>
      <c r="Y20" s="20"/>
      <c r="Z20" s="22"/>
      <c r="AA20" s="998"/>
      <c r="AB20" s="996"/>
      <c r="AC20" s="20"/>
      <c r="AD20" s="22"/>
      <c r="AE20" s="998"/>
      <c r="AF20" s="996"/>
      <c r="AG20" s="20"/>
      <c r="AH20" s="22"/>
      <c r="AI20" s="437"/>
      <c r="AJ20" s="999">
        <f>SUM(J20:AH20)</f>
        <v>0</v>
      </c>
      <c r="AK20" s="35"/>
      <c r="AL20" s="21"/>
      <c r="AM20" s="940"/>
      <c r="AN20" s="1"/>
      <c r="AO20" s="983" t="s">
        <v>502</v>
      </c>
      <c r="AP20" s="85">
        <f>SUM($J20:J20)</f>
        <v>0</v>
      </c>
      <c r="AQ20" s="1"/>
      <c r="AR20" s="85">
        <f>SUM($J20:L20)</f>
        <v>0</v>
      </c>
      <c r="AS20" s="1"/>
      <c r="AT20" s="85">
        <f>SUM($J20:P20)</f>
        <v>0</v>
      </c>
      <c r="AU20" s="1"/>
      <c r="AV20" s="85">
        <f>SUM($J20:T20)</f>
        <v>0</v>
      </c>
      <c r="AW20" s="1"/>
      <c r="AX20" s="85">
        <f>SUM($J20:X20)</f>
        <v>0</v>
      </c>
      <c r="AY20" s="1"/>
      <c r="AZ20" s="85">
        <f>SUM($J20:AB20)</f>
        <v>0</v>
      </c>
      <c r="BA20" s="1"/>
      <c r="BB20" s="85">
        <f>SUM($J20:AF20)</f>
        <v>0</v>
      </c>
      <c r="BC20" s="1"/>
      <c r="BD20" s="39" t="str">
        <f>RIGHT(D20,2)</f>
        <v/>
      </c>
      <c r="BE20" s="1"/>
      <c r="BF20" s="1"/>
    </row>
    <row r="21" ht="4.5" customHeight="1">
      <c r="A21" s="1"/>
      <c r="B21" s="203"/>
      <c r="C21" s="180"/>
      <c r="D21" s="39"/>
      <c r="E21" s="994"/>
      <c r="F21" s="1000"/>
      <c r="G21" s="994"/>
      <c r="H21" s="1000"/>
      <c r="I21" s="979"/>
      <c r="J21" s="92"/>
      <c r="K21" s="39"/>
      <c r="L21" s="85"/>
      <c r="M21" s="85"/>
      <c r="N21" s="981"/>
      <c r="O21" s="981"/>
      <c r="P21" s="85"/>
      <c r="Q21" s="85"/>
      <c r="R21" s="981"/>
      <c r="S21" s="981"/>
      <c r="T21" s="85"/>
      <c r="U21" s="85"/>
      <c r="V21" s="981"/>
      <c r="W21" s="982"/>
      <c r="X21" s="85"/>
      <c r="Y21" s="85"/>
      <c r="Z21" s="981"/>
      <c r="AA21" s="982"/>
      <c r="AB21" s="85"/>
      <c r="AC21" s="85"/>
      <c r="AD21" s="981"/>
      <c r="AE21" s="982"/>
      <c r="AF21" s="85"/>
      <c r="AG21" s="85"/>
      <c r="AH21" s="981"/>
      <c r="AI21" s="437"/>
      <c r="AJ21" s="85"/>
      <c r="AK21" s="85"/>
      <c r="AL21" s="981"/>
      <c r="AM21" s="940"/>
      <c r="AN21" s="1"/>
      <c r="AO21" s="987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</row>
    <row r="22" ht="15.0" customHeight="1">
      <c r="A22" s="1"/>
      <c r="B22" s="83"/>
      <c r="C22" s="180"/>
      <c r="D22" s="993"/>
      <c r="E22" s="994"/>
      <c r="F22" s="995"/>
      <c r="G22" s="994"/>
      <c r="H22" s="995"/>
      <c r="I22" s="39"/>
      <c r="J22" s="83"/>
      <c r="K22" s="39"/>
      <c r="L22" s="996"/>
      <c r="M22" s="20"/>
      <c r="N22" s="22"/>
      <c r="O22" s="997"/>
      <c r="P22" s="996"/>
      <c r="Q22" s="20"/>
      <c r="R22" s="22"/>
      <c r="S22" s="997"/>
      <c r="T22" s="996"/>
      <c r="U22" s="20"/>
      <c r="V22" s="22"/>
      <c r="W22" s="998"/>
      <c r="X22" s="996"/>
      <c r="Y22" s="20"/>
      <c r="Z22" s="22"/>
      <c r="AA22" s="998"/>
      <c r="AB22" s="996"/>
      <c r="AC22" s="20"/>
      <c r="AD22" s="22"/>
      <c r="AE22" s="998"/>
      <c r="AF22" s="996"/>
      <c r="AG22" s="20"/>
      <c r="AH22" s="22"/>
      <c r="AI22" s="437"/>
      <c r="AJ22" s="999">
        <f>SUM(J22:AH22)</f>
        <v>0</v>
      </c>
      <c r="AK22" s="35"/>
      <c r="AL22" s="21"/>
      <c r="AM22" s="940"/>
      <c r="AN22" s="1"/>
      <c r="AO22" s="983" t="s">
        <v>502</v>
      </c>
      <c r="AP22" s="85">
        <f>SUM($J22:J22)</f>
        <v>0</v>
      </c>
      <c r="AQ22" s="1"/>
      <c r="AR22" s="85">
        <f>SUM($J22:L22)</f>
        <v>0</v>
      </c>
      <c r="AS22" s="1"/>
      <c r="AT22" s="85">
        <f>SUM($J22:P22)</f>
        <v>0</v>
      </c>
      <c r="AU22" s="1"/>
      <c r="AV22" s="85">
        <f>SUM($J22:T22)</f>
        <v>0</v>
      </c>
      <c r="AW22" s="1"/>
      <c r="AX22" s="85">
        <f>SUM($J22:X22)</f>
        <v>0</v>
      </c>
      <c r="AY22" s="1"/>
      <c r="AZ22" s="85">
        <f>SUM($J22:AB22)</f>
        <v>0</v>
      </c>
      <c r="BA22" s="1"/>
      <c r="BB22" s="85">
        <f>SUM($J22:AF22)</f>
        <v>0</v>
      </c>
      <c r="BC22" s="1"/>
      <c r="BD22" s="39" t="str">
        <f>RIGHT(D22,2)</f>
        <v/>
      </c>
      <c r="BE22" s="1"/>
      <c r="BF22" s="1"/>
    </row>
    <row r="23" ht="4.5" customHeight="1">
      <c r="A23" s="1"/>
      <c r="B23" s="203"/>
      <c r="C23" s="180"/>
      <c r="D23" s="39"/>
      <c r="E23" s="994"/>
      <c r="F23" s="1000"/>
      <c r="G23" s="994"/>
      <c r="H23" s="1000"/>
      <c r="I23" s="979"/>
      <c r="J23" s="92"/>
      <c r="K23" s="39"/>
      <c r="L23" s="85"/>
      <c r="M23" s="85"/>
      <c r="N23" s="981"/>
      <c r="O23" s="981"/>
      <c r="P23" s="85"/>
      <c r="Q23" s="85"/>
      <c r="R23" s="981"/>
      <c r="S23" s="981"/>
      <c r="T23" s="85"/>
      <c r="U23" s="85"/>
      <c r="V23" s="981"/>
      <c r="W23" s="982"/>
      <c r="X23" s="85"/>
      <c r="Y23" s="85"/>
      <c r="Z23" s="981"/>
      <c r="AA23" s="982"/>
      <c r="AB23" s="85"/>
      <c r="AC23" s="85"/>
      <c r="AD23" s="981"/>
      <c r="AE23" s="982"/>
      <c r="AF23" s="85"/>
      <c r="AG23" s="85"/>
      <c r="AH23" s="981"/>
      <c r="AI23" s="437"/>
      <c r="AJ23" s="85"/>
      <c r="AK23" s="85"/>
      <c r="AL23" s="981"/>
      <c r="AM23" s="940"/>
      <c r="AN23" s="1"/>
      <c r="AO23" s="987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</row>
    <row r="24" ht="15.0" customHeight="1">
      <c r="A24" s="1"/>
      <c r="B24" s="83"/>
      <c r="C24" s="180"/>
      <c r="D24" s="993"/>
      <c r="E24" s="994"/>
      <c r="F24" s="995"/>
      <c r="G24" s="994"/>
      <c r="H24" s="995"/>
      <c r="I24" s="39"/>
      <c r="J24" s="83"/>
      <c r="K24" s="39"/>
      <c r="L24" s="996"/>
      <c r="M24" s="20"/>
      <c r="N24" s="22"/>
      <c r="O24" s="997"/>
      <c r="P24" s="996"/>
      <c r="Q24" s="20"/>
      <c r="R24" s="22"/>
      <c r="S24" s="997"/>
      <c r="T24" s="996"/>
      <c r="U24" s="20"/>
      <c r="V24" s="22"/>
      <c r="W24" s="998"/>
      <c r="X24" s="996"/>
      <c r="Y24" s="20"/>
      <c r="Z24" s="22"/>
      <c r="AA24" s="998"/>
      <c r="AB24" s="996"/>
      <c r="AC24" s="20"/>
      <c r="AD24" s="22"/>
      <c r="AE24" s="998"/>
      <c r="AF24" s="996"/>
      <c r="AG24" s="20"/>
      <c r="AH24" s="22"/>
      <c r="AI24" s="437"/>
      <c r="AJ24" s="999">
        <f>SUM(J24:AH24)</f>
        <v>0</v>
      </c>
      <c r="AK24" s="35"/>
      <c r="AL24" s="21"/>
      <c r="AM24" s="940"/>
      <c r="AN24" s="1"/>
      <c r="AO24" s="983" t="s">
        <v>502</v>
      </c>
      <c r="AP24" s="85">
        <f>SUM($J24:J24)</f>
        <v>0</v>
      </c>
      <c r="AQ24" s="1"/>
      <c r="AR24" s="85">
        <f>SUM($J24:L24)</f>
        <v>0</v>
      </c>
      <c r="AS24" s="1"/>
      <c r="AT24" s="85">
        <f>SUM($J24:P24)</f>
        <v>0</v>
      </c>
      <c r="AU24" s="1"/>
      <c r="AV24" s="85">
        <f>SUM($J24:T24)</f>
        <v>0</v>
      </c>
      <c r="AW24" s="1"/>
      <c r="AX24" s="85">
        <f>SUM($J24:X24)</f>
        <v>0</v>
      </c>
      <c r="AY24" s="1"/>
      <c r="AZ24" s="85">
        <f>SUM($J24:AB24)</f>
        <v>0</v>
      </c>
      <c r="BA24" s="1"/>
      <c r="BB24" s="85">
        <f>SUM($J24:AF24)</f>
        <v>0</v>
      </c>
      <c r="BC24" s="1"/>
      <c r="BD24" s="39" t="str">
        <f>RIGHT(D24,2)</f>
        <v/>
      </c>
      <c r="BE24" s="1"/>
      <c r="BF24" s="1"/>
    </row>
    <row r="25" ht="4.5" customHeight="1">
      <c r="A25" s="1"/>
      <c r="B25" s="203"/>
      <c r="C25" s="180"/>
      <c r="D25" s="39"/>
      <c r="E25" s="994"/>
      <c r="F25" s="1000"/>
      <c r="G25" s="994"/>
      <c r="H25" s="1000"/>
      <c r="I25" s="979"/>
      <c r="J25" s="39"/>
      <c r="K25" s="39"/>
      <c r="L25" s="85"/>
      <c r="M25" s="85"/>
      <c r="N25" s="981"/>
      <c r="O25" s="981"/>
      <c r="P25" s="85"/>
      <c r="Q25" s="85"/>
      <c r="R25" s="981"/>
      <c r="S25" s="981"/>
      <c r="T25" s="85"/>
      <c r="U25" s="85"/>
      <c r="V25" s="981"/>
      <c r="W25" s="982"/>
      <c r="X25" s="85"/>
      <c r="Y25" s="85"/>
      <c r="Z25" s="981"/>
      <c r="AA25" s="982"/>
      <c r="AB25" s="85"/>
      <c r="AC25" s="85"/>
      <c r="AD25" s="981"/>
      <c r="AE25" s="982"/>
      <c r="AF25" s="85"/>
      <c r="AG25" s="85"/>
      <c r="AH25" s="981"/>
      <c r="AI25" s="437"/>
      <c r="AJ25" s="85"/>
      <c r="AK25" s="85"/>
      <c r="AL25" s="981"/>
      <c r="AM25" s="940"/>
      <c r="AN25" s="1"/>
      <c r="AO25" s="987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</row>
    <row r="26" ht="15.0" customHeight="1">
      <c r="A26" s="1"/>
      <c r="B26" s="83"/>
      <c r="C26" s="180"/>
      <c r="D26" s="993"/>
      <c r="E26" s="994"/>
      <c r="F26" s="995"/>
      <c r="G26" s="994"/>
      <c r="H26" s="995"/>
      <c r="I26" s="39"/>
      <c r="J26" s="83"/>
      <c r="K26" s="39"/>
      <c r="L26" s="996"/>
      <c r="M26" s="20"/>
      <c r="N26" s="22"/>
      <c r="O26" s="997"/>
      <c r="P26" s="996"/>
      <c r="Q26" s="20"/>
      <c r="R26" s="22"/>
      <c r="S26" s="997"/>
      <c r="T26" s="996"/>
      <c r="U26" s="20"/>
      <c r="V26" s="22"/>
      <c r="W26" s="998"/>
      <c r="X26" s="996"/>
      <c r="Y26" s="20"/>
      <c r="Z26" s="22"/>
      <c r="AA26" s="998"/>
      <c r="AB26" s="996"/>
      <c r="AC26" s="20"/>
      <c r="AD26" s="22"/>
      <c r="AE26" s="998"/>
      <c r="AF26" s="996"/>
      <c r="AG26" s="20"/>
      <c r="AH26" s="22"/>
      <c r="AI26" s="437"/>
      <c r="AJ26" s="999">
        <f>SUM(J26:AH26)</f>
        <v>0</v>
      </c>
      <c r="AK26" s="35"/>
      <c r="AL26" s="21"/>
      <c r="AM26" s="940"/>
      <c r="AN26" s="1"/>
      <c r="AO26" s="983" t="s">
        <v>502</v>
      </c>
      <c r="AP26" s="85">
        <f>SUM($J26:J26)</f>
        <v>0</v>
      </c>
      <c r="AQ26" s="1"/>
      <c r="AR26" s="85">
        <f>SUM($J26:L26)</f>
        <v>0</v>
      </c>
      <c r="AS26" s="1"/>
      <c r="AT26" s="85">
        <f>SUM($J26:P26)</f>
        <v>0</v>
      </c>
      <c r="AU26" s="1"/>
      <c r="AV26" s="85">
        <f>SUM($J26:T26)</f>
        <v>0</v>
      </c>
      <c r="AW26" s="1"/>
      <c r="AX26" s="85">
        <f>SUM($J26:X26)</f>
        <v>0</v>
      </c>
      <c r="AY26" s="1"/>
      <c r="AZ26" s="85">
        <f>SUM($J26:AB26)</f>
        <v>0</v>
      </c>
      <c r="BA26" s="1"/>
      <c r="BB26" s="85">
        <f>SUM($J26:AF26)</f>
        <v>0</v>
      </c>
      <c r="BC26" s="1"/>
      <c r="BD26" s="39" t="str">
        <f>RIGHT(D26,2)</f>
        <v/>
      </c>
      <c r="BE26" s="1"/>
      <c r="BF26" s="1"/>
    </row>
    <row r="27" ht="4.5" customHeight="1">
      <c r="A27" s="1"/>
      <c r="B27" s="203"/>
      <c r="C27" s="180"/>
      <c r="D27" s="39"/>
      <c r="E27" s="994"/>
      <c r="F27" s="39"/>
      <c r="G27" s="994"/>
      <c r="H27" s="39"/>
      <c r="I27" s="979"/>
      <c r="J27" s="39"/>
      <c r="K27" s="39"/>
      <c r="L27" s="85"/>
      <c r="M27" s="85"/>
      <c r="N27" s="981"/>
      <c r="O27" s="981"/>
      <c r="P27" s="85"/>
      <c r="Q27" s="85"/>
      <c r="R27" s="981"/>
      <c r="S27" s="981"/>
      <c r="T27" s="85"/>
      <c r="U27" s="85"/>
      <c r="V27" s="981"/>
      <c r="W27" s="982"/>
      <c r="X27" s="85"/>
      <c r="Y27" s="85"/>
      <c r="Z27" s="981"/>
      <c r="AA27" s="982"/>
      <c r="AB27" s="85"/>
      <c r="AC27" s="85"/>
      <c r="AD27" s="981"/>
      <c r="AE27" s="982"/>
      <c r="AF27" s="85"/>
      <c r="AG27" s="85"/>
      <c r="AH27" s="981"/>
      <c r="AI27" s="437"/>
      <c r="AJ27" s="85"/>
      <c r="AK27" s="85"/>
      <c r="AL27" s="981"/>
      <c r="AM27" s="940"/>
      <c r="AN27" s="1"/>
      <c r="AO27" s="987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</row>
    <row r="28" ht="15.0" customHeight="1">
      <c r="A28" s="1"/>
      <c r="B28" s="83"/>
      <c r="C28" s="180"/>
      <c r="D28" s="993"/>
      <c r="E28" s="994"/>
      <c r="F28" s="995"/>
      <c r="G28" s="994"/>
      <c r="H28" s="995"/>
      <c r="I28" s="39"/>
      <c r="J28" s="83"/>
      <c r="K28" s="39"/>
      <c r="L28" s="996"/>
      <c r="M28" s="20"/>
      <c r="N28" s="22"/>
      <c r="O28" s="997"/>
      <c r="P28" s="996"/>
      <c r="Q28" s="20"/>
      <c r="R28" s="22"/>
      <c r="S28" s="997"/>
      <c r="T28" s="996"/>
      <c r="U28" s="20"/>
      <c r="V28" s="22"/>
      <c r="W28" s="998"/>
      <c r="X28" s="996"/>
      <c r="Y28" s="20"/>
      <c r="Z28" s="22"/>
      <c r="AA28" s="998"/>
      <c r="AB28" s="996"/>
      <c r="AC28" s="20"/>
      <c r="AD28" s="22"/>
      <c r="AE28" s="998"/>
      <c r="AF28" s="996"/>
      <c r="AG28" s="20"/>
      <c r="AH28" s="22"/>
      <c r="AI28" s="437"/>
      <c r="AJ28" s="999">
        <f>SUM(J28:AH28)</f>
        <v>0</v>
      </c>
      <c r="AK28" s="35"/>
      <c r="AL28" s="21"/>
      <c r="AM28" s="940"/>
      <c r="AN28" s="1"/>
      <c r="AO28" s="983" t="s">
        <v>502</v>
      </c>
      <c r="AP28" s="85">
        <f>SUM($J28:J28)</f>
        <v>0</v>
      </c>
      <c r="AQ28" s="1"/>
      <c r="AR28" s="85">
        <f>SUM($J28:L28)</f>
        <v>0</v>
      </c>
      <c r="AS28" s="1"/>
      <c r="AT28" s="85">
        <f>SUM($J28:P28)</f>
        <v>0</v>
      </c>
      <c r="AU28" s="1"/>
      <c r="AV28" s="85">
        <f>SUM($J28:T28)</f>
        <v>0</v>
      </c>
      <c r="AW28" s="1"/>
      <c r="AX28" s="85">
        <f>SUM($J28:X28)</f>
        <v>0</v>
      </c>
      <c r="AY28" s="1"/>
      <c r="AZ28" s="85">
        <f>SUM($J28:AB28)</f>
        <v>0</v>
      </c>
      <c r="BA28" s="1"/>
      <c r="BB28" s="85">
        <f>SUM($J28:AF28)</f>
        <v>0</v>
      </c>
      <c r="BC28" s="1"/>
      <c r="BD28" s="39" t="str">
        <f>RIGHT(D28,2)</f>
        <v/>
      </c>
      <c r="BE28" s="1"/>
      <c r="BF28" s="1"/>
    </row>
    <row r="29" ht="4.5" customHeight="1">
      <c r="A29" s="1"/>
      <c r="B29" s="203"/>
      <c r="C29" s="180"/>
      <c r="D29" s="39"/>
      <c r="E29" s="994"/>
      <c r="F29" s="39"/>
      <c r="G29" s="994"/>
      <c r="H29" s="39"/>
      <c r="I29" s="979"/>
      <c r="J29" s="92"/>
      <c r="K29" s="39"/>
      <c r="L29" s="85"/>
      <c r="M29" s="85"/>
      <c r="N29" s="981"/>
      <c r="O29" s="981"/>
      <c r="P29" s="85"/>
      <c r="Q29" s="85"/>
      <c r="R29" s="981"/>
      <c r="S29" s="981"/>
      <c r="T29" s="85"/>
      <c r="U29" s="85"/>
      <c r="V29" s="981"/>
      <c r="W29" s="982"/>
      <c r="X29" s="85"/>
      <c r="Y29" s="85"/>
      <c r="Z29" s="981"/>
      <c r="AA29" s="982"/>
      <c r="AB29" s="85"/>
      <c r="AC29" s="85"/>
      <c r="AD29" s="981"/>
      <c r="AE29" s="982"/>
      <c r="AF29" s="85"/>
      <c r="AG29" s="85"/>
      <c r="AH29" s="981"/>
      <c r="AI29" s="437"/>
      <c r="AJ29" s="85"/>
      <c r="AK29" s="85"/>
      <c r="AL29" s="981"/>
      <c r="AM29" s="940"/>
      <c r="AN29" s="1"/>
      <c r="AO29" s="987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</row>
    <row r="30" ht="15.0" customHeight="1">
      <c r="A30" s="1"/>
      <c r="B30" s="83"/>
      <c r="C30" s="180"/>
      <c r="D30" s="993"/>
      <c r="E30" s="994"/>
      <c r="F30" s="995"/>
      <c r="G30" s="994"/>
      <c r="H30" s="995"/>
      <c r="I30" s="39"/>
      <c r="J30" s="83"/>
      <c r="K30" s="39"/>
      <c r="L30" s="996"/>
      <c r="M30" s="20"/>
      <c r="N30" s="22"/>
      <c r="O30" s="997"/>
      <c r="P30" s="996"/>
      <c r="Q30" s="20"/>
      <c r="R30" s="22"/>
      <c r="S30" s="997"/>
      <c r="T30" s="996"/>
      <c r="U30" s="20"/>
      <c r="V30" s="22"/>
      <c r="W30" s="998"/>
      <c r="X30" s="996"/>
      <c r="Y30" s="20"/>
      <c r="Z30" s="22"/>
      <c r="AA30" s="998"/>
      <c r="AB30" s="996"/>
      <c r="AC30" s="20"/>
      <c r="AD30" s="22"/>
      <c r="AE30" s="998"/>
      <c r="AF30" s="996"/>
      <c r="AG30" s="20"/>
      <c r="AH30" s="22"/>
      <c r="AI30" s="437"/>
      <c r="AJ30" s="999">
        <f>SUM(J30:AH30)</f>
        <v>0</v>
      </c>
      <c r="AK30" s="35"/>
      <c r="AL30" s="21"/>
      <c r="AM30" s="940"/>
      <c r="AN30" s="1"/>
      <c r="AO30" s="983" t="s">
        <v>502</v>
      </c>
      <c r="AP30" s="85">
        <f>SUM($J30:J30)</f>
        <v>0</v>
      </c>
      <c r="AQ30" s="1"/>
      <c r="AR30" s="85">
        <f>SUM($J30:L30)</f>
        <v>0</v>
      </c>
      <c r="AS30" s="1"/>
      <c r="AT30" s="85">
        <f>SUM($J30:P30)</f>
        <v>0</v>
      </c>
      <c r="AU30" s="1"/>
      <c r="AV30" s="85">
        <f>SUM($J30:T30)</f>
        <v>0</v>
      </c>
      <c r="AW30" s="1"/>
      <c r="AX30" s="85">
        <f>SUM($J30:X30)</f>
        <v>0</v>
      </c>
      <c r="AY30" s="1"/>
      <c r="AZ30" s="85">
        <f>SUM($J30:AB30)</f>
        <v>0</v>
      </c>
      <c r="BA30" s="1"/>
      <c r="BB30" s="85">
        <f>SUM($J30:AF30)</f>
        <v>0</v>
      </c>
      <c r="BC30" s="1"/>
      <c r="BD30" s="39" t="str">
        <f>RIGHT(D30,2)</f>
        <v/>
      </c>
      <c r="BE30" s="1"/>
      <c r="BF30" s="1"/>
    </row>
    <row r="31" ht="4.5" customHeight="1">
      <c r="A31" s="1"/>
      <c r="B31" s="203"/>
      <c r="C31" s="180"/>
      <c r="D31" s="39"/>
      <c r="E31" s="994"/>
      <c r="F31" s="1000"/>
      <c r="G31" s="994"/>
      <c r="H31" s="1000"/>
      <c r="I31" s="979"/>
      <c r="J31" s="92"/>
      <c r="K31" s="39"/>
      <c r="L31" s="85"/>
      <c r="M31" s="85"/>
      <c r="N31" s="981"/>
      <c r="O31" s="981"/>
      <c r="P31" s="85"/>
      <c r="Q31" s="85"/>
      <c r="R31" s="981"/>
      <c r="S31" s="981"/>
      <c r="T31" s="85"/>
      <c r="U31" s="85"/>
      <c r="V31" s="981"/>
      <c r="W31" s="982"/>
      <c r="X31" s="85"/>
      <c r="Y31" s="85"/>
      <c r="Z31" s="981"/>
      <c r="AA31" s="982"/>
      <c r="AB31" s="85"/>
      <c r="AC31" s="85"/>
      <c r="AD31" s="981"/>
      <c r="AE31" s="982"/>
      <c r="AF31" s="85"/>
      <c r="AG31" s="85"/>
      <c r="AH31" s="981"/>
      <c r="AI31" s="437"/>
      <c r="AJ31" s="85"/>
      <c r="AK31" s="85"/>
      <c r="AL31" s="981"/>
      <c r="AM31" s="940"/>
      <c r="AN31" s="1"/>
      <c r="AO31" s="987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</row>
    <row r="32" ht="15.0" customHeight="1">
      <c r="A32" s="1"/>
      <c r="B32" s="83"/>
      <c r="C32" s="180"/>
      <c r="D32" s="993"/>
      <c r="E32" s="994"/>
      <c r="F32" s="995"/>
      <c r="G32" s="994"/>
      <c r="H32" s="995"/>
      <c r="I32" s="39"/>
      <c r="J32" s="83"/>
      <c r="K32" s="39"/>
      <c r="L32" s="996"/>
      <c r="M32" s="20"/>
      <c r="N32" s="22"/>
      <c r="O32" s="997"/>
      <c r="P32" s="996"/>
      <c r="Q32" s="20"/>
      <c r="R32" s="22"/>
      <c r="S32" s="997"/>
      <c r="T32" s="996"/>
      <c r="U32" s="20"/>
      <c r="V32" s="22"/>
      <c r="W32" s="998"/>
      <c r="X32" s="996"/>
      <c r="Y32" s="20"/>
      <c r="Z32" s="22"/>
      <c r="AA32" s="998"/>
      <c r="AB32" s="996"/>
      <c r="AC32" s="20"/>
      <c r="AD32" s="22"/>
      <c r="AE32" s="998"/>
      <c r="AF32" s="996"/>
      <c r="AG32" s="20"/>
      <c r="AH32" s="22"/>
      <c r="AI32" s="437"/>
      <c r="AJ32" s="999">
        <f>SUM(J32:AH32)</f>
        <v>0</v>
      </c>
      <c r="AK32" s="35"/>
      <c r="AL32" s="21"/>
      <c r="AM32" s="940"/>
      <c r="AN32" s="1"/>
      <c r="AO32" s="983" t="s">
        <v>502</v>
      </c>
      <c r="AP32" s="85">
        <f>SUM($J32:J32)</f>
        <v>0</v>
      </c>
      <c r="AQ32" s="1"/>
      <c r="AR32" s="85">
        <f>SUM($J32:L32)</f>
        <v>0</v>
      </c>
      <c r="AS32" s="1"/>
      <c r="AT32" s="85">
        <f>SUM($J32:P32)</f>
        <v>0</v>
      </c>
      <c r="AU32" s="1"/>
      <c r="AV32" s="85">
        <f>SUM($J32:T32)</f>
        <v>0</v>
      </c>
      <c r="AW32" s="1"/>
      <c r="AX32" s="85">
        <f>SUM($J32:X32)</f>
        <v>0</v>
      </c>
      <c r="AY32" s="1"/>
      <c r="AZ32" s="85">
        <f>SUM($J32:AB32)</f>
        <v>0</v>
      </c>
      <c r="BA32" s="1"/>
      <c r="BB32" s="85">
        <f>SUM($J32:AF32)</f>
        <v>0</v>
      </c>
      <c r="BC32" s="1"/>
      <c r="BD32" s="39" t="str">
        <f>RIGHT(D32,2)</f>
        <v/>
      </c>
      <c r="BE32" s="1"/>
      <c r="BF32" s="1"/>
    </row>
    <row r="33" ht="4.5" customHeight="1">
      <c r="A33" s="1"/>
      <c r="B33" s="203"/>
      <c r="C33" s="180"/>
      <c r="D33" s="39"/>
      <c r="E33" s="994"/>
      <c r="F33" s="1000"/>
      <c r="G33" s="994"/>
      <c r="H33" s="1000"/>
      <c r="I33" s="979"/>
      <c r="J33" s="92"/>
      <c r="K33" s="39"/>
      <c r="L33" s="85"/>
      <c r="M33" s="85"/>
      <c r="N33" s="981"/>
      <c r="O33" s="981"/>
      <c r="P33" s="85"/>
      <c r="Q33" s="85"/>
      <c r="R33" s="981"/>
      <c r="S33" s="981"/>
      <c r="T33" s="85"/>
      <c r="U33" s="85"/>
      <c r="V33" s="981"/>
      <c r="W33" s="982"/>
      <c r="X33" s="85"/>
      <c r="Y33" s="85"/>
      <c r="Z33" s="981"/>
      <c r="AA33" s="982"/>
      <c r="AB33" s="85"/>
      <c r="AC33" s="85"/>
      <c r="AD33" s="981"/>
      <c r="AE33" s="982"/>
      <c r="AF33" s="85"/>
      <c r="AG33" s="85"/>
      <c r="AH33" s="981"/>
      <c r="AI33" s="437"/>
      <c r="AJ33" s="85"/>
      <c r="AK33" s="85"/>
      <c r="AL33" s="981"/>
      <c r="AM33" s="940"/>
      <c r="AN33" s="1"/>
      <c r="AO33" s="987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</row>
    <row r="34" ht="15.0" customHeight="1">
      <c r="A34" s="1"/>
      <c r="B34" s="83"/>
      <c r="C34" s="180"/>
      <c r="D34" s="993"/>
      <c r="E34" s="994"/>
      <c r="F34" s="995"/>
      <c r="G34" s="994"/>
      <c r="H34" s="995"/>
      <c r="I34" s="39"/>
      <c r="J34" s="83"/>
      <c r="K34" s="39"/>
      <c r="L34" s="996"/>
      <c r="M34" s="20"/>
      <c r="N34" s="22"/>
      <c r="O34" s="997"/>
      <c r="P34" s="996"/>
      <c r="Q34" s="20"/>
      <c r="R34" s="22"/>
      <c r="S34" s="997"/>
      <c r="T34" s="996"/>
      <c r="U34" s="20"/>
      <c r="V34" s="22"/>
      <c r="W34" s="998"/>
      <c r="X34" s="996"/>
      <c r="Y34" s="20"/>
      <c r="Z34" s="22"/>
      <c r="AA34" s="998"/>
      <c r="AB34" s="996"/>
      <c r="AC34" s="20"/>
      <c r="AD34" s="22"/>
      <c r="AE34" s="998"/>
      <c r="AF34" s="996"/>
      <c r="AG34" s="20"/>
      <c r="AH34" s="22"/>
      <c r="AI34" s="437"/>
      <c r="AJ34" s="999">
        <f>SUM(J34:AH34)</f>
        <v>0</v>
      </c>
      <c r="AK34" s="35"/>
      <c r="AL34" s="21"/>
      <c r="AM34" s="940"/>
      <c r="AN34" s="1"/>
      <c r="AO34" s="983" t="s">
        <v>502</v>
      </c>
      <c r="AP34" s="85">
        <f>SUM($J34:J34)</f>
        <v>0</v>
      </c>
      <c r="AQ34" s="1"/>
      <c r="AR34" s="85">
        <f>SUM($J34:L34)</f>
        <v>0</v>
      </c>
      <c r="AS34" s="1"/>
      <c r="AT34" s="85">
        <f>SUM($J34:P34)</f>
        <v>0</v>
      </c>
      <c r="AU34" s="1"/>
      <c r="AV34" s="85">
        <f>SUM($J34:T34)</f>
        <v>0</v>
      </c>
      <c r="AW34" s="1"/>
      <c r="AX34" s="85">
        <f>SUM($J34:X34)</f>
        <v>0</v>
      </c>
      <c r="AY34" s="1"/>
      <c r="AZ34" s="85">
        <f>SUM($J34:AB34)</f>
        <v>0</v>
      </c>
      <c r="BA34" s="1"/>
      <c r="BB34" s="85">
        <f>SUM($J34:AF34)</f>
        <v>0</v>
      </c>
      <c r="BC34" s="1"/>
      <c r="BD34" s="39" t="str">
        <f>RIGHT(D34,2)</f>
        <v/>
      </c>
      <c r="BE34" s="1"/>
      <c r="BF34" s="1"/>
    </row>
    <row r="35" ht="4.5" customHeight="1">
      <c r="A35" s="1"/>
      <c r="B35" s="203"/>
      <c r="C35" s="180"/>
      <c r="D35" s="39"/>
      <c r="E35" s="994"/>
      <c r="F35" s="1000"/>
      <c r="G35" s="994"/>
      <c r="H35" s="1000"/>
      <c r="I35" s="979"/>
      <c r="J35" s="92"/>
      <c r="K35" s="39"/>
      <c r="L35" s="85"/>
      <c r="M35" s="85"/>
      <c r="N35" s="981"/>
      <c r="O35" s="981"/>
      <c r="P35" s="85"/>
      <c r="Q35" s="85"/>
      <c r="R35" s="981"/>
      <c r="S35" s="981"/>
      <c r="T35" s="85"/>
      <c r="U35" s="85"/>
      <c r="V35" s="981"/>
      <c r="W35" s="982"/>
      <c r="X35" s="85"/>
      <c r="Y35" s="85"/>
      <c r="Z35" s="981"/>
      <c r="AA35" s="982"/>
      <c r="AB35" s="85"/>
      <c r="AC35" s="85"/>
      <c r="AD35" s="981"/>
      <c r="AE35" s="982"/>
      <c r="AF35" s="85"/>
      <c r="AG35" s="85"/>
      <c r="AH35" s="981"/>
      <c r="AI35" s="437"/>
      <c r="AJ35" s="85"/>
      <c r="AK35" s="85"/>
      <c r="AL35" s="981"/>
      <c r="AM35" s="940"/>
      <c r="AN35" s="1"/>
      <c r="AO35" s="987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</row>
    <row r="36" ht="15.0" customHeight="1">
      <c r="A36" s="1"/>
      <c r="B36" s="83"/>
      <c r="C36" s="180"/>
      <c r="D36" s="993"/>
      <c r="E36" s="994"/>
      <c r="F36" s="995"/>
      <c r="G36" s="994"/>
      <c r="H36" s="995"/>
      <c r="I36" s="39"/>
      <c r="J36" s="83"/>
      <c r="K36" s="39"/>
      <c r="L36" s="996"/>
      <c r="M36" s="20"/>
      <c r="N36" s="22"/>
      <c r="O36" s="997"/>
      <c r="P36" s="996"/>
      <c r="Q36" s="20"/>
      <c r="R36" s="22"/>
      <c r="S36" s="997"/>
      <c r="T36" s="996"/>
      <c r="U36" s="20"/>
      <c r="V36" s="22"/>
      <c r="W36" s="998"/>
      <c r="X36" s="996"/>
      <c r="Y36" s="20"/>
      <c r="Z36" s="22"/>
      <c r="AA36" s="998"/>
      <c r="AB36" s="996"/>
      <c r="AC36" s="20"/>
      <c r="AD36" s="22"/>
      <c r="AE36" s="998"/>
      <c r="AF36" s="996"/>
      <c r="AG36" s="20"/>
      <c r="AH36" s="22"/>
      <c r="AI36" s="437"/>
      <c r="AJ36" s="999">
        <f>SUM(J36:AH36)</f>
        <v>0</v>
      </c>
      <c r="AK36" s="35"/>
      <c r="AL36" s="21"/>
      <c r="AM36" s="940"/>
      <c r="AN36" s="1"/>
      <c r="AO36" s="983" t="s">
        <v>502</v>
      </c>
      <c r="AP36" s="85">
        <f>SUM($J36:J36)</f>
        <v>0</v>
      </c>
      <c r="AQ36" s="1"/>
      <c r="AR36" s="85">
        <f>SUM($J36:L36)</f>
        <v>0</v>
      </c>
      <c r="AS36" s="1"/>
      <c r="AT36" s="85">
        <f>SUM($J36:P36)</f>
        <v>0</v>
      </c>
      <c r="AU36" s="1"/>
      <c r="AV36" s="85">
        <f>SUM($J36:T36)</f>
        <v>0</v>
      </c>
      <c r="AW36" s="1"/>
      <c r="AX36" s="85">
        <f>SUM($J36:X36)</f>
        <v>0</v>
      </c>
      <c r="AY36" s="1"/>
      <c r="AZ36" s="85">
        <f>SUM($J36:AB36)</f>
        <v>0</v>
      </c>
      <c r="BA36" s="1"/>
      <c r="BB36" s="85">
        <f>SUM($J36:AF36)</f>
        <v>0</v>
      </c>
      <c r="BC36" s="1"/>
      <c r="BD36" s="39" t="str">
        <f>RIGHT(D36,2)</f>
        <v/>
      </c>
      <c r="BE36" s="1"/>
      <c r="BF36" s="1"/>
    </row>
    <row r="37" ht="4.5" customHeight="1">
      <c r="A37" s="1"/>
      <c r="B37" s="203"/>
      <c r="C37" s="180"/>
      <c r="D37" s="39"/>
      <c r="E37" s="994"/>
      <c r="F37" s="1000"/>
      <c r="G37" s="994"/>
      <c r="H37" s="1000"/>
      <c r="I37" s="979"/>
      <c r="J37" s="92"/>
      <c r="K37" s="39"/>
      <c r="L37" s="85"/>
      <c r="M37" s="85"/>
      <c r="N37" s="981"/>
      <c r="O37" s="981"/>
      <c r="P37" s="85"/>
      <c r="Q37" s="85"/>
      <c r="R37" s="981"/>
      <c r="S37" s="981"/>
      <c r="T37" s="85"/>
      <c r="U37" s="85"/>
      <c r="V37" s="981"/>
      <c r="W37" s="982"/>
      <c r="X37" s="85"/>
      <c r="Y37" s="85"/>
      <c r="Z37" s="981"/>
      <c r="AA37" s="982"/>
      <c r="AB37" s="85"/>
      <c r="AC37" s="85"/>
      <c r="AD37" s="981"/>
      <c r="AE37" s="982"/>
      <c r="AF37" s="85"/>
      <c r="AG37" s="85"/>
      <c r="AH37" s="981"/>
      <c r="AI37" s="437"/>
      <c r="AJ37" s="85"/>
      <c r="AK37" s="85"/>
      <c r="AL37" s="981"/>
      <c r="AM37" s="940"/>
      <c r="AN37" s="1"/>
      <c r="AO37" s="987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</row>
    <row r="38" ht="15.0" customHeight="1">
      <c r="A38" s="1"/>
      <c r="B38" s="83"/>
      <c r="C38" s="180"/>
      <c r="D38" s="993"/>
      <c r="E38" s="994"/>
      <c r="F38" s="995"/>
      <c r="G38" s="994"/>
      <c r="H38" s="995"/>
      <c r="I38" s="39"/>
      <c r="J38" s="83"/>
      <c r="K38" s="39"/>
      <c r="L38" s="996"/>
      <c r="M38" s="20"/>
      <c r="N38" s="22"/>
      <c r="O38" s="997"/>
      <c r="P38" s="996"/>
      <c r="Q38" s="20"/>
      <c r="R38" s="22"/>
      <c r="S38" s="997"/>
      <c r="T38" s="996"/>
      <c r="U38" s="20"/>
      <c r="V38" s="22"/>
      <c r="W38" s="998"/>
      <c r="X38" s="996"/>
      <c r="Y38" s="20"/>
      <c r="Z38" s="22"/>
      <c r="AA38" s="998"/>
      <c r="AB38" s="996"/>
      <c r="AC38" s="20"/>
      <c r="AD38" s="22"/>
      <c r="AE38" s="998"/>
      <c r="AF38" s="996"/>
      <c r="AG38" s="20"/>
      <c r="AH38" s="22"/>
      <c r="AI38" s="437"/>
      <c r="AJ38" s="999">
        <f>SUM(J38:AH38)</f>
        <v>0</v>
      </c>
      <c r="AK38" s="35"/>
      <c r="AL38" s="21"/>
      <c r="AM38" s="940"/>
      <c r="AN38" s="1"/>
      <c r="AO38" s="983" t="s">
        <v>502</v>
      </c>
      <c r="AP38" s="85">
        <f>SUM($J38:J38)</f>
        <v>0</v>
      </c>
      <c r="AQ38" s="1"/>
      <c r="AR38" s="85">
        <f>SUM($J38:L38)</f>
        <v>0</v>
      </c>
      <c r="AS38" s="1"/>
      <c r="AT38" s="85">
        <f>SUM($J38:P38)</f>
        <v>0</v>
      </c>
      <c r="AU38" s="1"/>
      <c r="AV38" s="85">
        <f>SUM($J38:T38)</f>
        <v>0</v>
      </c>
      <c r="AW38" s="1"/>
      <c r="AX38" s="85">
        <f>SUM($J38:X38)</f>
        <v>0</v>
      </c>
      <c r="AY38" s="1"/>
      <c r="AZ38" s="85">
        <f>SUM($J38:AB38)</f>
        <v>0</v>
      </c>
      <c r="BA38" s="1"/>
      <c r="BB38" s="85">
        <f>SUM($J38:AF38)</f>
        <v>0</v>
      </c>
      <c r="BC38" s="1"/>
      <c r="BD38" s="39" t="str">
        <f>RIGHT(D38,2)</f>
        <v/>
      </c>
      <c r="BE38" s="1"/>
      <c r="BF38" s="1"/>
    </row>
    <row r="39" ht="4.5" customHeight="1">
      <c r="A39" s="1"/>
      <c r="B39" s="203"/>
      <c r="C39" s="180"/>
      <c r="D39" s="39"/>
      <c r="E39" s="994"/>
      <c r="F39" s="1000"/>
      <c r="G39" s="994"/>
      <c r="H39" s="1000"/>
      <c r="I39" s="979"/>
      <c r="J39" s="92"/>
      <c r="K39" s="39"/>
      <c r="L39" s="85"/>
      <c r="M39" s="85"/>
      <c r="N39" s="981"/>
      <c r="O39" s="981"/>
      <c r="P39" s="85"/>
      <c r="Q39" s="85"/>
      <c r="R39" s="981"/>
      <c r="S39" s="981"/>
      <c r="T39" s="85"/>
      <c r="U39" s="85"/>
      <c r="V39" s="981"/>
      <c r="W39" s="982"/>
      <c r="X39" s="85"/>
      <c r="Y39" s="85"/>
      <c r="Z39" s="981"/>
      <c r="AA39" s="982"/>
      <c r="AB39" s="85"/>
      <c r="AC39" s="85"/>
      <c r="AD39" s="981"/>
      <c r="AE39" s="982"/>
      <c r="AF39" s="85"/>
      <c r="AG39" s="85"/>
      <c r="AH39" s="981"/>
      <c r="AI39" s="437"/>
      <c r="AJ39" s="85"/>
      <c r="AK39" s="85"/>
      <c r="AL39" s="981"/>
      <c r="AM39" s="940"/>
      <c r="AN39" s="1"/>
      <c r="AO39" s="987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</row>
    <row r="40" ht="15.0" customHeight="1">
      <c r="A40" s="1"/>
      <c r="B40" s="83"/>
      <c r="C40" s="180"/>
      <c r="D40" s="993"/>
      <c r="E40" s="994"/>
      <c r="F40" s="995"/>
      <c r="G40" s="994"/>
      <c r="H40" s="995"/>
      <c r="I40" s="39"/>
      <c r="J40" s="83"/>
      <c r="K40" s="39"/>
      <c r="L40" s="996"/>
      <c r="M40" s="20"/>
      <c r="N40" s="22"/>
      <c r="O40" s="997"/>
      <c r="P40" s="996"/>
      <c r="Q40" s="20"/>
      <c r="R40" s="22"/>
      <c r="S40" s="997"/>
      <c r="T40" s="996"/>
      <c r="U40" s="20"/>
      <c r="V40" s="22"/>
      <c r="W40" s="998"/>
      <c r="X40" s="996"/>
      <c r="Y40" s="20"/>
      <c r="Z40" s="22"/>
      <c r="AA40" s="998"/>
      <c r="AB40" s="996"/>
      <c r="AC40" s="20"/>
      <c r="AD40" s="22"/>
      <c r="AE40" s="998"/>
      <c r="AF40" s="996"/>
      <c r="AG40" s="20"/>
      <c r="AH40" s="22"/>
      <c r="AI40" s="437"/>
      <c r="AJ40" s="999">
        <f>SUM(J40:AH40)</f>
        <v>0</v>
      </c>
      <c r="AK40" s="35"/>
      <c r="AL40" s="21"/>
      <c r="AM40" s="940"/>
      <c r="AN40" s="1"/>
      <c r="AO40" s="983" t="s">
        <v>502</v>
      </c>
      <c r="AP40" s="85">
        <f>SUM($J40:J40)</f>
        <v>0</v>
      </c>
      <c r="AQ40" s="1"/>
      <c r="AR40" s="85">
        <f>SUM($J40:L40)</f>
        <v>0</v>
      </c>
      <c r="AS40" s="1"/>
      <c r="AT40" s="85">
        <f>SUM($J40:P40)</f>
        <v>0</v>
      </c>
      <c r="AU40" s="1"/>
      <c r="AV40" s="85">
        <f>SUM($J40:T40)</f>
        <v>0</v>
      </c>
      <c r="AW40" s="1"/>
      <c r="AX40" s="85">
        <f>SUM($J40:X40)</f>
        <v>0</v>
      </c>
      <c r="AY40" s="1"/>
      <c r="AZ40" s="85">
        <f>SUM($J40:AB40)</f>
        <v>0</v>
      </c>
      <c r="BA40" s="1"/>
      <c r="BB40" s="85">
        <f>SUM($J40:AF40)</f>
        <v>0</v>
      </c>
      <c r="BC40" s="1"/>
      <c r="BD40" s="39" t="str">
        <f>RIGHT(D40,2)</f>
        <v/>
      </c>
      <c r="BE40" s="1"/>
      <c r="BF40" s="1"/>
    </row>
    <row r="41" ht="4.5" customHeight="1">
      <c r="A41" s="1"/>
      <c r="B41" s="203"/>
      <c r="C41" s="180"/>
      <c r="D41" s="39"/>
      <c r="E41" s="994"/>
      <c r="F41" s="1000"/>
      <c r="G41" s="994"/>
      <c r="H41" s="1000"/>
      <c r="I41" s="979"/>
      <c r="J41" s="92"/>
      <c r="K41" s="39"/>
      <c r="L41" s="85"/>
      <c r="M41" s="85"/>
      <c r="N41" s="981"/>
      <c r="O41" s="981"/>
      <c r="P41" s="85"/>
      <c r="Q41" s="85"/>
      <c r="R41" s="981"/>
      <c r="S41" s="981"/>
      <c r="T41" s="85"/>
      <c r="U41" s="85"/>
      <c r="V41" s="981"/>
      <c r="W41" s="982"/>
      <c r="X41" s="85"/>
      <c r="Y41" s="85"/>
      <c r="Z41" s="981"/>
      <c r="AA41" s="982"/>
      <c r="AB41" s="85"/>
      <c r="AC41" s="85"/>
      <c r="AD41" s="981"/>
      <c r="AE41" s="982"/>
      <c r="AF41" s="85"/>
      <c r="AG41" s="85"/>
      <c r="AH41" s="981"/>
      <c r="AI41" s="437"/>
      <c r="AJ41" s="85"/>
      <c r="AK41" s="85"/>
      <c r="AL41" s="981"/>
      <c r="AM41" s="940"/>
      <c r="AN41" s="1"/>
      <c r="AO41" s="987"/>
      <c r="AP41" s="85"/>
      <c r="AQ41" s="1"/>
      <c r="AR41" s="85"/>
      <c r="AS41" s="1"/>
      <c r="AT41" s="85"/>
      <c r="AU41" s="1"/>
      <c r="AV41" s="85"/>
      <c r="AW41" s="1"/>
      <c r="AX41" s="85"/>
      <c r="AY41" s="1"/>
      <c r="AZ41" s="85"/>
      <c r="BA41" s="1"/>
      <c r="BB41" s="85"/>
      <c r="BC41" s="1"/>
      <c r="BD41" s="39"/>
      <c r="BE41" s="1"/>
      <c r="BF41" s="1"/>
    </row>
    <row r="42" ht="15.0" customHeight="1">
      <c r="A42" s="1"/>
      <c r="B42" s="83"/>
      <c r="C42" s="180"/>
      <c r="D42" s="993"/>
      <c r="E42" s="994"/>
      <c r="F42" s="995"/>
      <c r="G42" s="994"/>
      <c r="H42" s="995"/>
      <c r="I42" s="39"/>
      <c r="J42" s="83"/>
      <c r="K42" s="39"/>
      <c r="L42" s="996"/>
      <c r="M42" s="20"/>
      <c r="N42" s="22"/>
      <c r="O42" s="997"/>
      <c r="P42" s="996"/>
      <c r="Q42" s="20"/>
      <c r="R42" s="22"/>
      <c r="S42" s="997"/>
      <c r="T42" s="996"/>
      <c r="U42" s="20"/>
      <c r="V42" s="22"/>
      <c r="W42" s="998"/>
      <c r="X42" s="996"/>
      <c r="Y42" s="20"/>
      <c r="Z42" s="22"/>
      <c r="AA42" s="998"/>
      <c r="AB42" s="996"/>
      <c r="AC42" s="20"/>
      <c r="AD42" s="22"/>
      <c r="AE42" s="998"/>
      <c r="AF42" s="996"/>
      <c r="AG42" s="20"/>
      <c r="AH42" s="22"/>
      <c r="AI42" s="437"/>
      <c r="AJ42" s="999">
        <f>SUM(J42:AH42)</f>
        <v>0</v>
      </c>
      <c r="AK42" s="35"/>
      <c r="AL42" s="21"/>
      <c r="AM42" s="940"/>
      <c r="AN42" s="1"/>
      <c r="AO42" s="983" t="s">
        <v>502</v>
      </c>
      <c r="AP42" s="85">
        <f>SUM($J42:J42)</f>
        <v>0</v>
      </c>
      <c r="AQ42" s="1"/>
      <c r="AR42" s="85">
        <f>SUM($J42:L42)</f>
        <v>0</v>
      </c>
      <c r="AS42" s="1"/>
      <c r="AT42" s="85">
        <f>SUM($J42:P42)</f>
        <v>0</v>
      </c>
      <c r="AU42" s="1"/>
      <c r="AV42" s="85">
        <f>SUM($J42:T42)</f>
        <v>0</v>
      </c>
      <c r="AW42" s="1"/>
      <c r="AX42" s="85">
        <f>SUM($J42:X42)</f>
        <v>0</v>
      </c>
      <c r="AY42" s="1"/>
      <c r="AZ42" s="85">
        <f>SUM($J42:AB42)</f>
        <v>0</v>
      </c>
      <c r="BA42" s="1"/>
      <c r="BB42" s="85">
        <f>SUM($J42:AF42)</f>
        <v>0</v>
      </c>
      <c r="BC42" s="1"/>
      <c r="BD42" s="39" t="str">
        <f>RIGHT(D42,2)</f>
        <v/>
      </c>
      <c r="BE42" s="1"/>
      <c r="BF42" s="1"/>
    </row>
    <row r="43" ht="4.5" customHeight="1">
      <c r="A43" s="1"/>
      <c r="B43" s="203"/>
      <c r="C43" s="180"/>
      <c r="D43" s="39"/>
      <c r="E43" s="994"/>
      <c r="F43" s="1000"/>
      <c r="G43" s="994"/>
      <c r="H43" s="1000"/>
      <c r="I43" s="979"/>
      <c r="J43" s="39"/>
      <c r="K43" s="39"/>
      <c r="L43" s="85"/>
      <c r="M43" s="85"/>
      <c r="N43" s="981"/>
      <c r="O43" s="981"/>
      <c r="P43" s="85"/>
      <c r="Q43" s="85"/>
      <c r="R43" s="981"/>
      <c r="S43" s="981"/>
      <c r="T43" s="85"/>
      <c r="U43" s="85"/>
      <c r="V43" s="981"/>
      <c r="W43" s="982"/>
      <c r="X43" s="85"/>
      <c r="Y43" s="85"/>
      <c r="Z43" s="981"/>
      <c r="AA43" s="982"/>
      <c r="AB43" s="85"/>
      <c r="AC43" s="85"/>
      <c r="AD43" s="981"/>
      <c r="AE43" s="982"/>
      <c r="AF43" s="85"/>
      <c r="AG43" s="85"/>
      <c r="AH43" s="981"/>
      <c r="AI43" s="437"/>
      <c r="AJ43" s="85"/>
      <c r="AK43" s="85"/>
      <c r="AL43" s="981"/>
      <c r="AM43" s="940"/>
      <c r="AN43" s="1"/>
      <c r="AO43" s="987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</row>
    <row r="44" ht="15.0" customHeight="1">
      <c r="A44" s="1"/>
      <c r="B44" s="83"/>
      <c r="C44" s="180"/>
      <c r="D44" s="993"/>
      <c r="E44" s="994"/>
      <c r="F44" s="995"/>
      <c r="G44" s="994"/>
      <c r="H44" s="995"/>
      <c r="I44" s="39"/>
      <c r="J44" s="83"/>
      <c r="K44" s="39"/>
      <c r="L44" s="996"/>
      <c r="M44" s="20"/>
      <c r="N44" s="22"/>
      <c r="O44" s="997"/>
      <c r="P44" s="996"/>
      <c r="Q44" s="20"/>
      <c r="R44" s="22"/>
      <c r="S44" s="997"/>
      <c r="T44" s="996"/>
      <c r="U44" s="20"/>
      <c r="V44" s="22"/>
      <c r="W44" s="998"/>
      <c r="X44" s="996"/>
      <c r="Y44" s="20"/>
      <c r="Z44" s="22"/>
      <c r="AA44" s="998"/>
      <c r="AB44" s="996"/>
      <c r="AC44" s="20"/>
      <c r="AD44" s="22"/>
      <c r="AE44" s="998"/>
      <c r="AF44" s="996"/>
      <c r="AG44" s="20"/>
      <c r="AH44" s="22"/>
      <c r="AI44" s="437"/>
      <c r="AJ44" s="999">
        <f>SUM(J44:AH44)</f>
        <v>0</v>
      </c>
      <c r="AK44" s="35"/>
      <c r="AL44" s="21"/>
      <c r="AM44" s="940"/>
      <c r="AN44" s="1"/>
      <c r="AO44" s="983" t="s">
        <v>502</v>
      </c>
      <c r="AP44" s="85">
        <f>SUM($J44:J44)</f>
        <v>0</v>
      </c>
      <c r="AQ44" s="1"/>
      <c r="AR44" s="85">
        <f>SUM($J44:L44)</f>
        <v>0</v>
      </c>
      <c r="AS44" s="1"/>
      <c r="AT44" s="85">
        <f>SUM($J44:P44)</f>
        <v>0</v>
      </c>
      <c r="AU44" s="1"/>
      <c r="AV44" s="85">
        <f>SUM($J44:T44)</f>
        <v>0</v>
      </c>
      <c r="AW44" s="1"/>
      <c r="AX44" s="85">
        <f>SUM($J44:X44)</f>
        <v>0</v>
      </c>
      <c r="AY44" s="1"/>
      <c r="AZ44" s="1"/>
      <c r="BA44" s="1"/>
      <c r="BB44" s="1"/>
      <c r="BC44" s="1"/>
      <c r="BD44" s="39" t="str">
        <f>RIGHT(D44,2)</f>
        <v/>
      </c>
      <c r="BE44" s="1"/>
      <c r="BF44" s="1"/>
    </row>
    <row r="45" ht="4.5" customHeight="1">
      <c r="A45" s="1"/>
      <c r="B45" s="203"/>
      <c r="C45" s="180"/>
      <c r="D45" s="39"/>
      <c r="E45" s="994"/>
      <c r="F45" s="1000"/>
      <c r="G45" s="994"/>
      <c r="H45" s="1000"/>
      <c r="I45" s="979"/>
      <c r="J45" s="39"/>
      <c r="K45" s="39"/>
      <c r="L45" s="85"/>
      <c r="M45" s="85"/>
      <c r="N45" s="981"/>
      <c r="O45" s="981"/>
      <c r="P45" s="85"/>
      <c r="Q45" s="85"/>
      <c r="R45" s="981"/>
      <c r="S45" s="981"/>
      <c r="T45" s="85"/>
      <c r="U45" s="85"/>
      <c r="V45" s="981"/>
      <c r="W45" s="982"/>
      <c r="X45" s="85"/>
      <c r="Y45" s="85"/>
      <c r="Z45" s="981"/>
      <c r="AA45" s="982"/>
      <c r="AB45" s="85"/>
      <c r="AC45" s="85"/>
      <c r="AD45" s="981"/>
      <c r="AE45" s="982"/>
      <c r="AF45" s="85"/>
      <c r="AG45" s="85"/>
      <c r="AH45" s="981"/>
      <c r="AI45" s="437"/>
      <c r="AJ45" s="85"/>
      <c r="AK45" s="85"/>
      <c r="AL45" s="981"/>
      <c r="AM45" s="940"/>
      <c r="AN45" s="1"/>
      <c r="AO45" s="987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</row>
    <row r="46" ht="14.25" customHeight="1">
      <c r="A46" s="1"/>
      <c r="B46" s="309" t="s">
        <v>510</v>
      </c>
      <c r="C46" s="180"/>
      <c r="D46" s="39"/>
      <c r="E46" s="994"/>
      <c r="F46" s="995">
        <v>10.0</v>
      </c>
      <c r="G46" s="994"/>
      <c r="H46" s="995">
        <v>8.0</v>
      </c>
      <c r="I46" s="39"/>
      <c r="J46" s="39"/>
      <c r="K46" s="39"/>
      <c r="L46" s="996">
        <v>1000000.0</v>
      </c>
      <c r="M46" s="20"/>
      <c r="N46" s="22"/>
      <c r="O46" s="997"/>
      <c r="P46" s="996">
        <v>1000000.0</v>
      </c>
      <c r="Q46" s="20"/>
      <c r="R46" s="22"/>
      <c r="S46" s="997"/>
      <c r="T46" s="996">
        <v>1000000.0</v>
      </c>
      <c r="U46" s="20"/>
      <c r="V46" s="22"/>
      <c r="W46" s="998"/>
      <c r="X46" s="996">
        <v>1000000.0</v>
      </c>
      <c r="Y46" s="20"/>
      <c r="Z46" s="22"/>
      <c r="AA46" s="998"/>
      <c r="AB46" s="996">
        <v>1000000.0</v>
      </c>
      <c r="AC46" s="20"/>
      <c r="AD46" s="22"/>
      <c r="AE46" s="998"/>
      <c r="AF46" s="996">
        <v>1000000.0</v>
      </c>
      <c r="AG46" s="20"/>
      <c r="AH46" s="22"/>
      <c r="AI46" s="437"/>
      <c r="AJ46" s="999">
        <f>SUM(J46:AH46)</f>
        <v>6000000</v>
      </c>
      <c r="AK46" s="35"/>
      <c r="AL46" s="21"/>
      <c r="AM46" s="940"/>
      <c r="AN46" s="1"/>
      <c r="AO46" s="983" t="s">
        <v>502</v>
      </c>
      <c r="AP46" s="85">
        <f>SUM($J46:J46)</f>
        <v>0</v>
      </c>
      <c r="AQ46" s="1"/>
      <c r="AR46" s="85">
        <f>SUM($J46:L46)</f>
        <v>1000000</v>
      </c>
      <c r="AS46" s="1"/>
      <c r="AT46" s="85">
        <f>SUM($J46:P46)</f>
        <v>2000000</v>
      </c>
      <c r="AU46" s="1"/>
      <c r="AV46" s="85">
        <f>SUM($J46:T46)</f>
        <v>3000000</v>
      </c>
      <c r="AW46" s="1"/>
      <c r="AX46" s="85">
        <f>SUM($J46:X46)</f>
        <v>4000000</v>
      </c>
      <c r="AY46" s="1"/>
      <c r="AZ46" s="85">
        <f>SUM($J46:AB46)</f>
        <v>5000000</v>
      </c>
      <c r="BA46" s="1"/>
      <c r="BB46" s="85">
        <f>SUM($J46:AF46)</f>
        <v>6000000</v>
      </c>
      <c r="BC46" s="1"/>
      <c r="BD46" s="39" t="str">
        <f>RIGHT(D46,2)</f>
        <v/>
      </c>
      <c r="BE46" s="1"/>
      <c r="BF46" s="1"/>
    </row>
    <row r="47" ht="5.25" customHeight="1">
      <c r="A47" s="1"/>
      <c r="B47" s="82"/>
      <c r="C47" s="82"/>
      <c r="D47" s="39"/>
      <c r="E47" s="994"/>
      <c r="F47" s="994"/>
      <c r="G47" s="994"/>
      <c r="H47" s="994"/>
      <c r="I47" s="39"/>
      <c r="J47" s="39"/>
      <c r="K47" s="39"/>
      <c r="L47" s="1001"/>
      <c r="M47" s="1001"/>
      <c r="N47" s="1001"/>
      <c r="O47" s="39"/>
      <c r="P47" s="1001"/>
      <c r="Q47" s="1001"/>
      <c r="R47" s="1001"/>
      <c r="S47" s="997"/>
      <c r="T47" s="1001"/>
      <c r="U47" s="1001"/>
      <c r="V47" s="1001"/>
      <c r="W47" s="997"/>
      <c r="X47" s="1001"/>
      <c r="Y47" s="1001"/>
      <c r="Z47" s="1001"/>
      <c r="AA47" s="998"/>
      <c r="AB47" s="1001"/>
      <c r="AC47" s="1001"/>
      <c r="AD47" s="1001"/>
      <c r="AE47" s="998"/>
      <c r="AF47" s="1001"/>
      <c r="AG47" s="1001"/>
      <c r="AH47" s="1001"/>
      <c r="AI47" s="437"/>
      <c r="AJ47" s="1001"/>
      <c r="AK47" s="1001"/>
      <c r="AL47" s="1001"/>
      <c r="AM47" s="940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</row>
    <row r="48" ht="15.0" customHeight="1">
      <c r="A48" s="1"/>
      <c r="B48" s="180" t="s">
        <v>511</v>
      </c>
      <c r="C48" s="180"/>
      <c r="D48" s="39"/>
      <c r="E48" s="994"/>
      <c r="F48" s="994"/>
      <c r="G48" s="994"/>
      <c r="H48" s="994"/>
      <c r="I48" s="39"/>
      <c r="J48" s="1002">
        <f>SUM(J10:J46)</f>
        <v>3378883</v>
      </c>
      <c r="K48" s="39"/>
      <c r="L48" s="1003">
        <f>SUM(L10:L46)</f>
        <v>12000000</v>
      </c>
      <c r="M48" s="35"/>
      <c r="N48" s="21"/>
      <c r="O48" s="178"/>
      <c r="P48" s="1003">
        <f>SUM(P10:P46)</f>
        <v>9500000</v>
      </c>
      <c r="Q48" s="35"/>
      <c r="R48" s="21"/>
      <c r="S48" s="1004"/>
      <c r="T48" s="1003">
        <f>SUM(T10:T46)</f>
        <v>1860000</v>
      </c>
      <c r="U48" s="35"/>
      <c r="V48" s="21"/>
      <c r="W48" s="1004"/>
      <c r="X48" s="1003">
        <f>SUM(X10:X46)</f>
        <v>1000000</v>
      </c>
      <c r="Y48" s="35"/>
      <c r="Z48" s="21"/>
      <c r="AA48" s="1005"/>
      <c r="AB48" s="1003">
        <f>SUM(AB10:AB46)</f>
        <v>1000000</v>
      </c>
      <c r="AC48" s="35"/>
      <c r="AD48" s="21"/>
      <c r="AE48" s="1005"/>
      <c r="AF48" s="1003">
        <f>SUM(AF10:AF46)</f>
        <v>1000000</v>
      </c>
      <c r="AG48" s="35"/>
      <c r="AH48" s="21"/>
      <c r="AI48" s="437"/>
      <c r="AJ48" s="1003">
        <f>SUM(AJ10:AJ46)</f>
        <v>29738883</v>
      </c>
      <c r="AK48" s="35"/>
      <c r="AL48" s="21"/>
      <c r="AM48" s="940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</row>
    <row r="49" ht="5.25" customHeight="1">
      <c r="A49" s="1"/>
      <c r="B49" s="1"/>
      <c r="C49" s="1"/>
      <c r="D49" s="1"/>
      <c r="E49" s="994"/>
      <c r="F49" s="994"/>
      <c r="G49" s="994"/>
      <c r="H49" s="994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437"/>
      <c r="AJ49" s="39"/>
      <c r="AK49" s="39"/>
      <c r="AL49" s="39"/>
      <c r="AM49" s="940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</row>
    <row r="50" ht="15.0" customHeight="1">
      <c r="A50" s="1"/>
      <c r="B50" s="180" t="s">
        <v>512</v>
      </c>
      <c r="C50" s="180"/>
      <c r="D50" s="1"/>
      <c r="E50" s="994"/>
      <c r="F50" s="994"/>
      <c r="G50" s="994"/>
      <c r="H50" s="994"/>
      <c r="I50" s="39"/>
      <c r="J50" s="1006" t="s">
        <v>513</v>
      </c>
      <c r="K50" s="39"/>
      <c r="L50" s="996">
        <v>21000.0</v>
      </c>
      <c r="M50" s="20"/>
      <c r="N50" s="22"/>
      <c r="O50" s="981"/>
      <c r="P50" s="996"/>
      <c r="Q50" s="20"/>
      <c r="R50" s="22"/>
      <c r="S50" s="981"/>
      <c r="T50" s="996">
        <f>10000+40000</f>
        <v>50000</v>
      </c>
      <c r="U50" s="20"/>
      <c r="V50" s="22"/>
      <c r="W50" s="982"/>
      <c r="X50" s="996">
        <f>30000+50000</f>
        <v>80000</v>
      </c>
      <c r="Y50" s="20"/>
      <c r="Z50" s="22"/>
      <c r="AA50" s="982"/>
      <c r="AB50" s="996">
        <v>50000.0</v>
      </c>
      <c r="AC50" s="20"/>
      <c r="AD50" s="22"/>
      <c r="AE50" s="982"/>
      <c r="AF50" s="996">
        <v>50000.0</v>
      </c>
      <c r="AG50" s="20"/>
      <c r="AH50" s="22"/>
      <c r="AI50" s="437"/>
      <c r="AJ50" s="1"/>
      <c r="AK50" s="1"/>
      <c r="AL50" s="1"/>
      <c r="AM50" s="940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</row>
    <row r="51" ht="4.5" customHeight="1">
      <c r="A51" s="1"/>
      <c r="B51" s="309"/>
      <c r="C51" s="309"/>
      <c r="D51" s="1"/>
      <c r="E51" s="39"/>
      <c r="F51" s="39"/>
      <c r="G51" s="39"/>
      <c r="H51" s="39"/>
      <c r="I51" s="39"/>
      <c r="J51" s="199"/>
      <c r="K51" s="39"/>
      <c r="L51" s="85"/>
      <c r="M51" s="85"/>
      <c r="N51" s="981"/>
      <c r="O51" s="981"/>
      <c r="P51" s="85"/>
      <c r="Q51" s="85"/>
      <c r="R51" s="981"/>
      <c r="S51" s="981"/>
      <c r="T51" s="85"/>
      <c r="U51" s="85"/>
      <c r="V51" s="981"/>
      <c r="W51" s="982"/>
      <c r="X51" s="85"/>
      <c r="Y51" s="85"/>
      <c r="Z51" s="981"/>
      <c r="AA51" s="982"/>
      <c r="AB51" s="85"/>
      <c r="AC51" s="85"/>
      <c r="AD51" s="981"/>
      <c r="AE51" s="982"/>
      <c r="AF51" s="85"/>
      <c r="AG51" s="85"/>
      <c r="AH51" s="981"/>
      <c r="AI51" s="437"/>
      <c r="AJ51" s="1"/>
      <c r="AK51" s="1"/>
      <c r="AL51" s="1"/>
      <c r="AM51" s="940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</row>
    <row r="52" ht="15.0" customHeight="1">
      <c r="A52" s="1"/>
      <c r="B52" s="82"/>
      <c r="C52" s="82"/>
      <c r="D52" s="1"/>
      <c r="E52" s="39"/>
      <c r="F52" s="39"/>
      <c r="G52" s="39"/>
      <c r="H52" s="39"/>
      <c r="I52" s="39"/>
      <c r="J52" s="1006" t="s">
        <v>514</v>
      </c>
      <c r="K52" s="981"/>
      <c r="L52" s="1007">
        <v>5.0</v>
      </c>
      <c r="M52" s="20"/>
      <c r="N52" s="22"/>
      <c r="O52" s="1008"/>
      <c r="P52" s="1007"/>
      <c r="Q52" s="20"/>
      <c r="R52" s="22"/>
      <c r="S52" s="1008"/>
      <c r="T52" s="1007">
        <v>5.0</v>
      </c>
      <c r="U52" s="20"/>
      <c r="V52" s="22"/>
      <c r="W52" s="1008"/>
      <c r="X52" s="1007">
        <v>5.0</v>
      </c>
      <c r="Y52" s="20"/>
      <c r="Z52" s="22"/>
      <c r="AA52" s="1008"/>
      <c r="AB52" s="1007">
        <v>5.0</v>
      </c>
      <c r="AC52" s="20"/>
      <c r="AD52" s="22"/>
      <c r="AE52" s="1008"/>
      <c r="AF52" s="1007">
        <v>5.0</v>
      </c>
      <c r="AG52" s="20"/>
      <c r="AH52" s="22"/>
      <c r="AI52" s="981"/>
      <c r="AJ52" s="1"/>
      <c r="AK52" s="1"/>
      <c r="AL52" s="1"/>
      <c r="AM52" s="940"/>
      <c r="AN52" s="98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</row>
    <row r="53" ht="5.25" customHeight="1">
      <c r="A53" s="1"/>
      <c r="B53" s="309"/>
      <c r="C53" s="309"/>
      <c r="D53" s="1"/>
      <c r="E53" s="39"/>
      <c r="F53" s="39"/>
      <c r="G53" s="39"/>
      <c r="H53" s="39"/>
      <c r="I53" s="199"/>
      <c r="J53" s="1"/>
      <c r="K53" s="39"/>
      <c r="L53" s="85"/>
      <c r="M53" s="85"/>
      <c r="N53" s="981"/>
      <c r="O53" s="981"/>
      <c r="P53" s="85"/>
      <c r="Q53" s="85"/>
      <c r="R53" s="981"/>
      <c r="S53" s="981"/>
      <c r="T53" s="85"/>
      <c r="U53" s="85"/>
      <c r="V53" s="981"/>
      <c r="W53" s="982"/>
      <c r="X53" s="85"/>
      <c r="Y53" s="85"/>
      <c r="Z53" s="981"/>
      <c r="AA53" s="982"/>
      <c r="AB53" s="85"/>
      <c r="AC53" s="85"/>
      <c r="AD53" s="981"/>
      <c r="AE53" s="982"/>
      <c r="AF53" s="85"/>
      <c r="AG53" s="85"/>
      <c r="AH53" s="981"/>
      <c r="AI53" s="437"/>
      <c r="AJ53" s="1"/>
      <c r="AK53" s="1"/>
      <c r="AL53" s="1"/>
      <c r="AM53" s="940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</row>
    <row r="54" ht="15.0" customHeight="1">
      <c r="A54" s="1"/>
      <c r="B54" s="309" t="s">
        <v>515</v>
      </c>
      <c r="C54" s="521" t="s">
        <v>516</v>
      </c>
      <c r="D54" s="39"/>
      <c r="E54" s="39"/>
      <c r="F54" s="39"/>
      <c r="G54" s="39"/>
      <c r="H54" s="39"/>
      <c r="I54" s="39"/>
      <c r="J54" s="1006" t="s">
        <v>517</v>
      </c>
      <c r="K54" s="39"/>
      <c r="L54" s="996">
        <v>2000000.0</v>
      </c>
      <c r="M54" s="20"/>
      <c r="N54" s="22"/>
      <c r="O54" s="997"/>
      <c r="P54" s="996">
        <v>4000000.0</v>
      </c>
      <c r="Q54" s="20"/>
      <c r="R54" s="22"/>
      <c r="S54" s="997"/>
      <c r="T54" s="996"/>
      <c r="U54" s="20"/>
      <c r="V54" s="22"/>
      <c r="W54" s="998"/>
      <c r="X54" s="996"/>
      <c r="Y54" s="20"/>
      <c r="Z54" s="22"/>
      <c r="AA54" s="998"/>
      <c r="AB54" s="996"/>
      <c r="AC54" s="20"/>
      <c r="AD54" s="22"/>
      <c r="AE54" s="998"/>
      <c r="AF54" s="996"/>
      <c r="AG54" s="20"/>
      <c r="AH54" s="22"/>
      <c r="AI54" s="437"/>
      <c r="AJ54" s="1009">
        <f>SUM(L54:AH54)</f>
        <v>6000000</v>
      </c>
      <c r="AK54" s="35"/>
      <c r="AL54" s="21"/>
      <c r="AM54" s="940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</row>
    <row r="55" ht="4.5" customHeight="1">
      <c r="A55" s="1"/>
      <c r="B55" s="1"/>
      <c r="C55" s="521"/>
      <c r="D55" s="1"/>
      <c r="E55" s="39"/>
      <c r="F55" s="39"/>
      <c r="G55" s="39"/>
      <c r="H55" s="39"/>
      <c r="I55" s="39"/>
      <c r="J55" s="199"/>
      <c r="K55" s="39"/>
      <c r="L55" s="85"/>
      <c r="M55" s="85"/>
      <c r="N55" s="981"/>
      <c r="O55" s="981"/>
      <c r="P55" s="85"/>
      <c r="Q55" s="85"/>
      <c r="R55" s="981"/>
      <c r="S55" s="981"/>
      <c r="T55" s="85"/>
      <c r="U55" s="85"/>
      <c r="V55" s="981"/>
      <c r="W55" s="982"/>
      <c r="X55" s="85"/>
      <c r="Y55" s="85"/>
      <c r="Z55" s="981"/>
      <c r="AA55" s="982"/>
      <c r="AB55" s="85"/>
      <c r="AC55" s="85"/>
      <c r="AD55" s="981"/>
      <c r="AE55" s="982"/>
      <c r="AF55" s="85"/>
      <c r="AG55" s="85"/>
      <c r="AH55" s="981"/>
      <c r="AI55" s="437"/>
      <c r="AJ55" s="1"/>
      <c r="AK55" s="1"/>
      <c r="AL55" s="1"/>
      <c r="AM55" s="940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</row>
    <row r="56" ht="15.75" customHeight="1">
      <c r="A56" s="1"/>
      <c r="B56" s="151"/>
      <c r="C56" s="521"/>
      <c r="D56" s="1"/>
      <c r="E56" s="39"/>
      <c r="F56" s="39"/>
      <c r="G56" s="39"/>
      <c r="H56" s="39"/>
      <c r="I56" s="39"/>
      <c r="J56" s="1006" t="s">
        <v>518</v>
      </c>
      <c r="K56" s="39"/>
      <c r="L56" s="996">
        <v>2000000.0</v>
      </c>
      <c r="M56" s="20"/>
      <c r="N56" s="22"/>
      <c r="O56" s="997"/>
      <c r="P56" s="996">
        <v>4000000.0</v>
      </c>
      <c r="Q56" s="20"/>
      <c r="R56" s="22"/>
      <c r="S56" s="997"/>
      <c r="T56" s="996"/>
      <c r="U56" s="20"/>
      <c r="V56" s="22"/>
      <c r="W56" s="998"/>
      <c r="X56" s="996"/>
      <c r="Y56" s="20"/>
      <c r="Z56" s="22"/>
      <c r="AA56" s="998"/>
      <c r="AB56" s="996"/>
      <c r="AC56" s="20"/>
      <c r="AD56" s="22"/>
      <c r="AE56" s="998"/>
      <c r="AF56" s="996"/>
      <c r="AG56" s="20"/>
      <c r="AH56" s="22"/>
      <c r="AI56" s="437"/>
      <c r="AJ56" s="1009">
        <f>SUM(L56:AH56)</f>
        <v>6000000</v>
      </c>
      <c r="AK56" s="35"/>
      <c r="AL56" s="21"/>
      <c r="AM56" s="940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</row>
    <row r="57" ht="4.5" customHeight="1">
      <c r="A57" s="1"/>
      <c r="B57" s="151"/>
      <c r="C57" s="521"/>
      <c r="D57" s="1"/>
      <c r="E57" s="39"/>
      <c r="F57" s="39"/>
      <c r="G57" s="39"/>
      <c r="H57" s="39"/>
      <c r="I57" s="39"/>
      <c r="J57" s="199"/>
      <c r="K57" s="39"/>
      <c r="L57" s="85"/>
      <c r="M57" s="85"/>
      <c r="N57" s="981"/>
      <c r="O57" s="981"/>
      <c r="P57" s="85"/>
      <c r="Q57" s="85"/>
      <c r="R57" s="981"/>
      <c r="S57" s="981"/>
      <c r="T57" s="85"/>
      <c r="U57" s="85"/>
      <c r="V57" s="981"/>
      <c r="W57" s="982"/>
      <c r="X57" s="85"/>
      <c r="Y57" s="85"/>
      <c r="Z57" s="981"/>
      <c r="AA57" s="982"/>
      <c r="AB57" s="85"/>
      <c r="AC57" s="85"/>
      <c r="AD57" s="981"/>
      <c r="AE57" s="982"/>
      <c r="AF57" s="85"/>
      <c r="AG57" s="85"/>
      <c r="AH57" s="981"/>
      <c r="AI57" s="437"/>
      <c r="AJ57" s="1"/>
      <c r="AK57" s="1"/>
      <c r="AL57" s="1"/>
      <c r="AM57" s="940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</row>
    <row r="58" ht="15.0" customHeight="1">
      <c r="A58" s="1"/>
      <c r="B58" s="151"/>
      <c r="C58" s="309"/>
      <c r="D58" s="375"/>
      <c r="E58" s="39"/>
      <c r="F58" s="39"/>
      <c r="G58" s="39"/>
      <c r="H58" s="39"/>
      <c r="I58" s="39"/>
      <c r="J58" s="1006" t="s">
        <v>519</v>
      </c>
      <c r="K58" s="39"/>
      <c r="L58" s="996">
        <v>1470000.0</v>
      </c>
      <c r="M58" s="20"/>
      <c r="N58" s="22"/>
      <c r="O58" s="997"/>
      <c r="P58" s="996">
        <v>3240000.0</v>
      </c>
      <c r="Q58" s="20"/>
      <c r="R58" s="22"/>
      <c r="S58" s="997"/>
      <c r="T58" s="996"/>
      <c r="U58" s="20"/>
      <c r="V58" s="22"/>
      <c r="W58" s="998"/>
      <c r="X58" s="996"/>
      <c r="Y58" s="20"/>
      <c r="Z58" s="22"/>
      <c r="AA58" s="998"/>
      <c r="AB58" s="996"/>
      <c r="AC58" s="20"/>
      <c r="AD58" s="22"/>
      <c r="AE58" s="998"/>
      <c r="AF58" s="996"/>
      <c r="AG58" s="20"/>
      <c r="AH58" s="22"/>
      <c r="AI58" s="437"/>
      <c r="AJ58" s="1009">
        <f>SUM(L58:AH58)</f>
        <v>4710000</v>
      </c>
      <c r="AK58" s="35"/>
      <c r="AL58" s="21"/>
      <c r="AM58" s="940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</row>
    <row r="59" ht="4.5" customHeight="1">
      <c r="A59" s="1"/>
      <c r="B59" s="309"/>
      <c r="C59" s="309"/>
      <c r="D59" s="1"/>
      <c r="E59" s="39"/>
      <c r="F59" s="39"/>
      <c r="G59" s="39"/>
      <c r="H59" s="39"/>
      <c r="I59" s="39"/>
      <c r="J59" s="199"/>
      <c r="K59" s="39"/>
      <c r="L59" s="85"/>
      <c r="M59" s="85"/>
      <c r="N59" s="39"/>
      <c r="O59" s="39"/>
      <c r="P59" s="85"/>
      <c r="Q59" s="85"/>
      <c r="R59" s="39"/>
      <c r="S59" s="981"/>
      <c r="T59" s="85"/>
      <c r="U59" s="85"/>
      <c r="V59" s="39"/>
      <c r="W59" s="981"/>
      <c r="X59" s="85"/>
      <c r="Y59" s="85"/>
      <c r="Z59" s="39"/>
      <c r="AA59" s="982"/>
      <c r="AB59" s="85"/>
      <c r="AC59" s="85"/>
      <c r="AD59" s="39"/>
      <c r="AE59" s="982"/>
      <c r="AF59" s="85"/>
      <c r="AG59" s="85"/>
      <c r="AH59" s="39"/>
      <c r="AI59" s="437"/>
      <c r="AJ59" s="85"/>
      <c r="AK59" s="85"/>
      <c r="AL59" s="39"/>
      <c r="AM59" s="940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</row>
    <row r="60" ht="15.0" customHeight="1">
      <c r="A60" s="1"/>
      <c r="B60" s="309"/>
      <c r="C60" s="309"/>
      <c r="D60" s="1"/>
      <c r="E60" s="1010"/>
      <c r="F60" s="1010"/>
      <c r="G60" s="1010"/>
      <c r="H60" s="1010"/>
      <c r="I60" s="39"/>
      <c r="J60" s="1006" t="s">
        <v>520</v>
      </c>
      <c r="K60" s="39"/>
      <c r="L60" s="85"/>
      <c r="M60" s="1011" t="str">
        <f>IF(L58&lt;&gt;0,IF(N60="","Req'd entry -&gt;",""),"")</f>
        <v/>
      </c>
      <c r="N60" s="995">
        <v>11.0</v>
      </c>
      <c r="O60" s="39"/>
      <c r="P60" s="85"/>
      <c r="Q60" s="1011" t="str">
        <f>IF(P58&lt;&gt;0,IF(R60="","Req'd entry -&gt;",""),"")</f>
        <v/>
      </c>
      <c r="R60" s="995">
        <v>10.0</v>
      </c>
      <c r="S60" s="981"/>
      <c r="T60" s="85"/>
      <c r="U60" s="1011" t="str">
        <f>IF(T58&lt;&gt;0,IF(V60="","Req'd entry -&gt;",""),"")</f>
        <v/>
      </c>
      <c r="V60" s="995"/>
      <c r="W60" s="981"/>
      <c r="X60" s="85"/>
      <c r="Y60" s="1011" t="str">
        <f>IF(X58&lt;&gt;0,IF(Z60="","Req'd entry -&gt;",""),"")</f>
        <v/>
      </c>
      <c r="Z60" s="995"/>
      <c r="AA60" s="982"/>
      <c r="AB60" s="85"/>
      <c r="AC60" s="1011" t="str">
        <f>IF(AB58&lt;&gt;0,IF(AD60="","Req'd entry -&gt;",""),"")</f>
        <v/>
      </c>
      <c r="AD60" s="995"/>
      <c r="AE60" s="982"/>
      <c r="AF60" s="85"/>
      <c r="AG60" s="1011" t="str">
        <f>IF(AF58&lt;&gt;0,IF(AH60="","Req'd entry -&gt;",""),"")</f>
        <v/>
      </c>
      <c r="AH60" s="995"/>
      <c r="AI60" s="437"/>
      <c r="AJ60" s="85"/>
      <c r="AK60" s="85"/>
      <c r="AL60" s="39"/>
      <c r="AM60" s="940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</row>
    <row r="61" ht="20.25" customHeight="1">
      <c r="A61" s="1"/>
      <c r="B61" s="1"/>
      <c r="C61" s="309"/>
      <c r="D61" s="39"/>
      <c r="E61" s="994"/>
      <c r="F61" s="994"/>
      <c r="G61" s="994"/>
      <c r="H61" s="994"/>
      <c r="I61" s="39"/>
      <c r="J61" s="1006" t="s">
        <v>521</v>
      </c>
      <c r="K61" s="39"/>
      <c r="L61" s="1012">
        <f>L54-L58</f>
        <v>530000</v>
      </c>
      <c r="M61" s="35"/>
      <c r="N61" s="21"/>
      <c r="O61" s="160"/>
      <c r="P61" s="1012">
        <f>P54-P58</f>
        <v>760000</v>
      </c>
      <c r="Q61" s="35"/>
      <c r="R61" s="21"/>
      <c r="S61" s="160"/>
      <c r="T61" s="1012">
        <f>T54-T58</f>
        <v>0</v>
      </c>
      <c r="U61" s="35"/>
      <c r="V61" s="21"/>
      <c r="W61" s="160"/>
      <c r="X61" s="1012">
        <f>X54-X58</f>
        <v>0</v>
      </c>
      <c r="Y61" s="35"/>
      <c r="Z61" s="21"/>
      <c r="AA61" s="160"/>
      <c r="AB61" s="1012">
        <f>AB54-AB58</f>
        <v>0</v>
      </c>
      <c r="AC61" s="35"/>
      <c r="AD61" s="21"/>
      <c r="AE61" s="160"/>
      <c r="AF61" s="1012">
        <f>AF54-AF58</f>
        <v>0</v>
      </c>
      <c r="AG61" s="35"/>
      <c r="AH61" s="21"/>
      <c r="AI61" s="160"/>
      <c r="AJ61" s="1012">
        <f>AJ54-AJ58</f>
        <v>1290000</v>
      </c>
      <c r="AK61" s="35"/>
      <c r="AL61" s="21"/>
      <c r="AM61" s="940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</row>
    <row r="62" ht="14.25" customHeight="1">
      <c r="A62" s="1"/>
      <c r="B62" s="1"/>
      <c r="C62" s="1"/>
      <c r="D62" s="1013"/>
      <c r="E62" s="994"/>
      <c r="F62" s="994"/>
      <c r="G62" s="994"/>
      <c r="H62" s="994"/>
      <c r="I62" s="39"/>
      <c r="J62" s="1014" t="s">
        <v>522</v>
      </c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437"/>
      <c r="AJ62" s="39"/>
      <c r="AK62" s="39"/>
      <c r="AL62" s="39"/>
      <c r="AM62" s="940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</row>
    <row r="63" ht="22.5" customHeight="1">
      <c r="A63" s="1"/>
      <c r="B63" s="180" t="s">
        <v>523</v>
      </c>
      <c r="C63" s="1"/>
      <c r="D63" s="994"/>
      <c r="E63" s="994"/>
      <c r="F63" s="994"/>
      <c r="G63" s="994"/>
      <c r="H63" s="994"/>
      <c r="I63" s="39"/>
      <c r="J63" s="1015" t="s">
        <v>524</v>
      </c>
      <c r="K63" s="1"/>
      <c r="L63" s="1016" t="s">
        <v>525</v>
      </c>
      <c r="M63" s="1016"/>
      <c r="N63" s="1016"/>
      <c r="O63" s="1016"/>
      <c r="P63" s="1016"/>
      <c r="Q63" s="1016"/>
      <c r="R63" s="1016"/>
      <c r="S63" s="1016"/>
      <c r="T63" s="1016"/>
      <c r="U63" s="1016"/>
      <c r="V63" s="1016"/>
      <c r="W63" s="1016"/>
      <c r="X63" s="1016"/>
      <c r="Y63" s="1016"/>
      <c r="Z63" s="1016"/>
      <c r="AA63" s="1016"/>
      <c r="AB63" s="1016"/>
      <c r="AC63" s="1016"/>
      <c r="AD63" s="1016"/>
      <c r="AE63" s="1016"/>
      <c r="AF63" s="1016"/>
      <c r="AG63" s="1016"/>
      <c r="AH63" s="1016"/>
      <c r="AI63" s="437"/>
      <c r="AJ63" s="1016"/>
      <c r="AK63" s="1016"/>
      <c r="AL63" s="1016"/>
      <c r="AM63" s="940"/>
      <c r="AN63" s="1"/>
      <c r="AO63" s="1"/>
      <c r="AP63" s="199" t="str">
        <f>RIGHT(J5,2)</f>
        <v>26</v>
      </c>
      <c r="AQ63" s="1"/>
      <c r="AR63" s="199" t="str">
        <f>RIGHT(L5,2)</f>
        <v>27</v>
      </c>
      <c r="AS63" s="1"/>
      <c r="AT63" s="199" t="str">
        <f>RIGHT(P5,2)</f>
        <v>28</v>
      </c>
      <c r="AU63" s="1"/>
      <c r="AV63" s="199" t="str">
        <f>RIGHT(T5,2)</f>
        <v>29</v>
      </c>
      <c r="AW63" s="1"/>
      <c r="AX63" s="199" t="str">
        <f>RIGHT(X5,2)</f>
        <v>30</v>
      </c>
      <c r="AY63" s="1"/>
      <c r="AZ63" s="199" t="str">
        <f>RIGHT(AB5,2)</f>
        <v>31</v>
      </c>
      <c r="BA63" s="1"/>
      <c r="BB63" s="199" t="str">
        <f>RIGHT(AF5,2)</f>
        <v>32</v>
      </c>
      <c r="BC63" s="1"/>
      <c r="BD63" s="1"/>
      <c r="BE63" s="1"/>
      <c r="BF63" s="1"/>
    </row>
    <row r="64" ht="6.0" customHeight="1">
      <c r="A64" s="1"/>
      <c r="B64" s="1"/>
      <c r="C64" s="1"/>
      <c r="D64" s="994"/>
      <c r="E64" s="994"/>
      <c r="F64" s="994"/>
      <c r="G64" s="994"/>
      <c r="H64" s="994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437"/>
      <c r="AJ64" s="39"/>
      <c r="AK64" s="39"/>
      <c r="AL64" s="39"/>
      <c r="AM64" s="940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</row>
    <row r="65" ht="14.25" customHeight="1">
      <c r="A65" s="1"/>
      <c r="B65" s="438" t="str">
        <f>B10</f>
        <v>New Student Center</v>
      </c>
      <c r="C65" s="438"/>
      <c r="D65" s="994"/>
      <c r="E65" s="994"/>
      <c r="F65" s="994"/>
      <c r="G65" s="994"/>
      <c r="H65" s="994"/>
      <c r="I65" s="39"/>
      <c r="J65" s="83">
        <v>1067445.0</v>
      </c>
      <c r="K65" s="39"/>
      <c r="L65" s="996">
        <v>1000000.0</v>
      </c>
      <c r="M65" s="20"/>
      <c r="N65" s="22"/>
      <c r="O65" s="39"/>
      <c r="P65" s="996">
        <v>2200000.0</v>
      </c>
      <c r="Q65" s="20"/>
      <c r="R65" s="22"/>
      <c r="S65" s="39"/>
      <c r="T65" s="996">
        <v>800000.0</v>
      </c>
      <c r="U65" s="20"/>
      <c r="V65" s="22"/>
      <c r="W65" s="39"/>
      <c r="X65" s="996"/>
      <c r="Y65" s="20"/>
      <c r="Z65" s="22"/>
      <c r="AA65" s="39"/>
      <c r="AB65" s="996"/>
      <c r="AC65" s="20"/>
      <c r="AD65" s="22"/>
      <c r="AE65" s="39"/>
      <c r="AF65" s="996"/>
      <c r="AG65" s="20"/>
      <c r="AH65" s="22"/>
      <c r="AI65" s="437"/>
      <c r="AJ65" s="999">
        <f>SUM(J65:AH65)</f>
        <v>5067445</v>
      </c>
      <c r="AK65" s="35"/>
      <c r="AL65" s="21"/>
      <c r="AM65" s="940"/>
      <c r="AN65" s="1"/>
      <c r="AO65" s="1"/>
      <c r="AP65" s="85">
        <f>IF(SUM($J65:J65)&lt;SUM($J10:J10),SUM($J65:J65),SUM($J10:J10))</f>
        <v>1067445</v>
      </c>
      <c r="AQ65" s="1"/>
      <c r="AR65" s="85">
        <f>IF(SUM($J65:L65)&lt;SUM($J10:L10),SUM($J65:L65),SUM($J10:L10))-SUM($AP65:AQ65)</f>
        <v>1000000</v>
      </c>
      <c r="AS65" s="1"/>
      <c r="AT65" s="85">
        <f>IF(SUM($J65:P65)&lt;SUM($J10:P10),SUM($J65:P65),SUM($J10:P10))-SUM($AP65:AR65)</f>
        <v>2200000</v>
      </c>
      <c r="AU65" s="1"/>
      <c r="AV65" s="85">
        <f>IF(SUM($J65:T65)&lt;SUM($J10:T10),SUM($J65:T65),SUM($J10:T10))-SUM($AP65:AT65)</f>
        <v>800000</v>
      </c>
      <c r="AW65" s="1"/>
      <c r="AX65" s="85">
        <f>IF(SUM($J65:X65)&lt;SUM($J10:X10),SUM($J65:X65),SUM($J10:X10))-SUM($AP65:AV65)</f>
        <v>0</v>
      </c>
      <c r="AY65" s="1"/>
      <c r="AZ65" s="85">
        <f>IF(SUM($J65:AB65)&lt;SUM($J10:AB10),SUM($J65:AB65),SUM($J10:AB10))-SUM($AP65:AX65)</f>
        <v>0</v>
      </c>
      <c r="BA65" s="1"/>
      <c r="BB65" s="85">
        <f>IF(SUM($J65:AF65)&lt;SUM($J10:AF10),SUM($J65:AF65),SUM($J10:AF10))-SUM($AP65:AZ65)</f>
        <v>0</v>
      </c>
      <c r="BC65" s="1"/>
      <c r="BD65" s="85">
        <f>SUM(AP65:BB65)</f>
        <v>5067445</v>
      </c>
      <c r="BE65" s="1"/>
      <c r="BF65" s="1"/>
    </row>
    <row r="66" ht="4.5" customHeight="1">
      <c r="A66" s="1"/>
      <c r="B66" s="203"/>
      <c r="C66" s="180"/>
      <c r="D66" s="994"/>
      <c r="E66" s="994"/>
      <c r="F66" s="994"/>
      <c r="G66" s="994"/>
      <c r="H66" s="994"/>
      <c r="I66" s="979"/>
      <c r="J66" s="92"/>
      <c r="K66" s="39"/>
      <c r="L66" s="85"/>
      <c r="M66" s="85"/>
      <c r="N66" s="981"/>
      <c r="O66" s="981"/>
      <c r="P66" s="85"/>
      <c r="Q66" s="85"/>
      <c r="R66" s="981"/>
      <c r="S66" s="981"/>
      <c r="T66" s="85"/>
      <c r="U66" s="85"/>
      <c r="V66" s="981"/>
      <c r="W66" s="982"/>
      <c r="X66" s="85"/>
      <c r="Y66" s="85"/>
      <c r="Z66" s="981"/>
      <c r="AA66" s="982"/>
      <c r="AB66" s="85"/>
      <c r="AC66" s="85"/>
      <c r="AD66" s="981"/>
      <c r="AE66" s="982"/>
      <c r="AF66" s="85"/>
      <c r="AG66" s="85"/>
      <c r="AH66" s="981"/>
      <c r="AI66" s="437"/>
      <c r="AJ66" s="85"/>
      <c r="AK66" s="85"/>
      <c r="AL66" s="981"/>
      <c r="AM66" s="940"/>
      <c r="AN66" s="1"/>
      <c r="AO66" s="1017" t="s">
        <v>502</v>
      </c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</row>
    <row r="67" ht="14.25" customHeight="1">
      <c r="A67" s="1"/>
      <c r="B67" s="438" t="str">
        <f>B12</f>
        <v>Field House</v>
      </c>
      <c r="C67" s="438"/>
      <c r="D67" s="994"/>
      <c r="E67" s="994"/>
      <c r="F67" s="994"/>
      <c r="G67" s="994"/>
      <c r="H67" s="994"/>
      <c r="I67" s="39"/>
      <c r="J67" s="83">
        <v>967327.0</v>
      </c>
      <c r="K67" s="39"/>
      <c r="L67" s="996">
        <v>900000.0</v>
      </c>
      <c r="M67" s="20"/>
      <c r="N67" s="22"/>
      <c r="O67" s="39"/>
      <c r="P67" s="996">
        <v>1000000.0</v>
      </c>
      <c r="Q67" s="20"/>
      <c r="R67" s="22"/>
      <c r="S67" s="39"/>
      <c r="T67" s="996">
        <v>500000.0</v>
      </c>
      <c r="U67" s="20"/>
      <c r="V67" s="22"/>
      <c r="W67" s="39"/>
      <c r="X67" s="996"/>
      <c r="Y67" s="20"/>
      <c r="Z67" s="22"/>
      <c r="AA67" s="39"/>
      <c r="AB67" s="996"/>
      <c r="AC67" s="20"/>
      <c r="AD67" s="22"/>
      <c r="AE67" s="39"/>
      <c r="AF67" s="996"/>
      <c r="AG67" s="20"/>
      <c r="AH67" s="22"/>
      <c r="AI67" s="437"/>
      <c r="AJ67" s="999">
        <f>SUM(J67:AH67)</f>
        <v>3367327</v>
      </c>
      <c r="AK67" s="35"/>
      <c r="AL67" s="21"/>
      <c r="AM67" s="940"/>
      <c r="AN67" s="1"/>
      <c r="AO67" s="1"/>
      <c r="AP67" s="85">
        <f>IF(SUM($J67:J67)&lt;SUM($J12:J12),SUM($J67:J67),SUM($J12:J12))</f>
        <v>100437</v>
      </c>
      <c r="AQ67" s="1"/>
      <c r="AR67" s="85">
        <f>IF(SUM($J67:L67)&lt;SUM($J12:L12),SUM($J67:L67),SUM($J12:L12))-SUM($AP67:AQ67)</f>
        <v>1766890</v>
      </c>
      <c r="AS67" s="1"/>
      <c r="AT67" s="85">
        <f>IF(SUM($J67:P67)&lt;SUM($J12:P12),SUM($J67:P67),SUM($J12:P12))-SUM($AP67:AR67)</f>
        <v>1000000</v>
      </c>
      <c r="AU67" s="1"/>
      <c r="AV67" s="85">
        <f>IF(SUM($J67:T67)&lt;SUM($J12:T12),SUM($J67:T67),SUM($J12:T12))-SUM($AP67:AT67)</f>
        <v>500000</v>
      </c>
      <c r="AW67" s="1"/>
      <c r="AX67" s="85">
        <f>IF(SUM($J67:X67)&lt;SUM($J12:X12),SUM($J67:X67),SUM($J12:X12))-SUM($AP67:AV67)</f>
        <v>0</v>
      </c>
      <c r="AY67" s="1"/>
      <c r="AZ67" s="85">
        <f>IF(SUM($J67:AB67)&lt;SUM($J12:AB12),SUM($J67:AB67),SUM($J12:AB12))-SUM($AP67:AX67)</f>
        <v>0</v>
      </c>
      <c r="BA67" s="1"/>
      <c r="BB67" s="85">
        <f>IF(SUM($J67:AF67)&lt;SUM($J12:AF12),SUM($J67:AF67),SUM($J12:AF12))-SUM($AP67:AZ67)</f>
        <v>0</v>
      </c>
      <c r="BC67" s="1"/>
      <c r="BD67" s="85">
        <f>SUM(AP67:BB67)</f>
        <v>3367327</v>
      </c>
      <c r="BE67" s="1"/>
      <c r="BF67" s="1"/>
    </row>
    <row r="68" ht="4.5" customHeight="1">
      <c r="A68" s="1"/>
      <c r="B68" s="203"/>
      <c r="C68" s="180"/>
      <c r="D68" s="994"/>
      <c r="E68" s="994"/>
      <c r="F68" s="994"/>
      <c r="G68" s="994"/>
      <c r="H68" s="994"/>
      <c r="I68" s="979"/>
      <c r="J68" s="92"/>
      <c r="K68" s="39"/>
      <c r="L68" s="85"/>
      <c r="M68" s="85"/>
      <c r="N68" s="981"/>
      <c r="O68" s="981"/>
      <c r="P68" s="85"/>
      <c r="Q68" s="85"/>
      <c r="R68" s="981"/>
      <c r="S68" s="981"/>
      <c r="T68" s="85"/>
      <c r="U68" s="85"/>
      <c r="V68" s="981"/>
      <c r="W68" s="982"/>
      <c r="X68" s="85"/>
      <c r="Y68" s="85"/>
      <c r="Z68" s="981"/>
      <c r="AA68" s="982"/>
      <c r="AB68" s="85"/>
      <c r="AC68" s="85"/>
      <c r="AD68" s="981"/>
      <c r="AE68" s="982"/>
      <c r="AF68" s="85"/>
      <c r="AG68" s="85"/>
      <c r="AH68" s="981"/>
      <c r="AI68" s="437"/>
      <c r="AJ68" s="85"/>
      <c r="AK68" s="85"/>
      <c r="AL68" s="981"/>
      <c r="AM68" s="940"/>
      <c r="AN68" s="1"/>
      <c r="AO68" s="1017" t="s">
        <v>502</v>
      </c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</row>
    <row r="69" ht="14.25" customHeight="1">
      <c r="A69" s="1"/>
      <c r="B69" s="438" t="str">
        <f>B14</f>
        <v/>
      </c>
      <c r="C69" s="438"/>
      <c r="D69" s="994"/>
      <c r="E69" s="994"/>
      <c r="F69" s="994"/>
      <c r="G69" s="994"/>
      <c r="H69" s="994"/>
      <c r="I69" s="39"/>
      <c r="J69" s="83"/>
      <c r="K69" s="39"/>
      <c r="L69" s="996"/>
      <c r="M69" s="20"/>
      <c r="N69" s="22"/>
      <c r="O69" s="39"/>
      <c r="P69" s="996"/>
      <c r="Q69" s="20"/>
      <c r="R69" s="22"/>
      <c r="S69" s="39"/>
      <c r="T69" s="996"/>
      <c r="U69" s="20"/>
      <c r="V69" s="22"/>
      <c r="W69" s="39"/>
      <c r="X69" s="996"/>
      <c r="Y69" s="20"/>
      <c r="Z69" s="22"/>
      <c r="AA69" s="39"/>
      <c r="AB69" s="996"/>
      <c r="AC69" s="20"/>
      <c r="AD69" s="22"/>
      <c r="AE69" s="39"/>
      <c r="AF69" s="996"/>
      <c r="AG69" s="20"/>
      <c r="AH69" s="22"/>
      <c r="AI69" s="437"/>
      <c r="AJ69" s="999">
        <f>SUM(J69:AH69)</f>
        <v>0</v>
      </c>
      <c r="AK69" s="35"/>
      <c r="AL69" s="21"/>
      <c r="AM69" s="940"/>
      <c r="AN69" s="1"/>
      <c r="AO69" s="1"/>
      <c r="AP69" s="85">
        <f>IF(SUM($J69:J69)&lt;SUM($J14:J14),SUM($J69:J69),SUM($J14:J14))</f>
        <v>0</v>
      </c>
      <c r="AQ69" s="1"/>
      <c r="AR69" s="85">
        <f>IF(SUM($J69:L69)&lt;SUM($J14:L14),SUM($J69:L69),SUM($J14:L14))-SUM($AP69:AQ69)</f>
        <v>0</v>
      </c>
      <c r="AS69" s="1"/>
      <c r="AT69" s="85">
        <f>IF(SUM($J69:P69)&lt;SUM($J14:P14),SUM($J69:P69),SUM($J14:P14))-SUM($AP69:AR69)</f>
        <v>0</v>
      </c>
      <c r="AU69" s="1"/>
      <c r="AV69" s="85">
        <f>IF(SUM($J69:T69)&lt;SUM($J14:T14),SUM($J69:T69),SUM($J14:T14))-SUM($AP69:AT69)</f>
        <v>0</v>
      </c>
      <c r="AW69" s="1"/>
      <c r="AX69" s="85">
        <f>IF(SUM($J69:X69)&lt;SUM($J14:X14),SUM($J69:X69),SUM($J14:X14))-SUM($AP69:AV69)</f>
        <v>0</v>
      </c>
      <c r="AY69" s="1"/>
      <c r="AZ69" s="85">
        <f>IF(SUM($J69:AB69)&lt;SUM($J14:AB14),SUM($J69:AB69),SUM($J14:AB14))-SUM($AP69:AX69)</f>
        <v>0</v>
      </c>
      <c r="BA69" s="1"/>
      <c r="BB69" s="85">
        <f>IF(SUM($J69:AF69)&lt;SUM($J14:AF14),SUM($J69:AF69),SUM($J14:AF14))-SUM($AP69:AZ69)</f>
        <v>0</v>
      </c>
      <c r="BC69" s="1"/>
      <c r="BD69" s="85">
        <f>SUM(AP69:BB69)</f>
        <v>0</v>
      </c>
      <c r="BE69" s="1"/>
      <c r="BF69" s="1"/>
    </row>
    <row r="70" ht="4.5" customHeight="1">
      <c r="A70" s="1"/>
      <c r="B70" s="203"/>
      <c r="C70" s="180"/>
      <c r="D70" s="994"/>
      <c r="E70" s="994"/>
      <c r="F70" s="994"/>
      <c r="G70" s="994"/>
      <c r="H70" s="994"/>
      <c r="I70" s="979"/>
      <c r="J70" s="92"/>
      <c r="K70" s="39"/>
      <c r="L70" s="85"/>
      <c r="M70" s="85"/>
      <c r="N70" s="981"/>
      <c r="O70" s="981"/>
      <c r="P70" s="85"/>
      <c r="Q70" s="85"/>
      <c r="R70" s="981"/>
      <c r="S70" s="981"/>
      <c r="T70" s="85"/>
      <c r="U70" s="85"/>
      <c r="V70" s="981"/>
      <c r="W70" s="982"/>
      <c r="X70" s="85"/>
      <c r="Y70" s="85"/>
      <c r="Z70" s="981"/>
      <c r="AA70" s="982"/>
      <c r="AB70" s="85"/>
      <c r="AC70" s="85"/>
      <c r="AD70" s="981"/>
      <c r="AE70" s="982"/>
      <c r="AF70" s="85"/>
      <c r="AG70" s="85"/>
      <c r="AH70" s="981"/>
      <c r="AI70" s="437"/>
      <c r="AJ70" s="85"/>
      <c r="AK70" s="85"/>
      <c r="AL70" s="981"/>
      <c r="AM70" s="940"/>
      <c r="AN70" s="1"/>
      <c r="AO70" s="1017" t="s">
        <v>502</v>
      </c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</row>
    <row r="71" ht="14.25" customHeight="1">
      <c r="A71" s="1"/>
      <c r="B71" s="438" t="str">
        <f>B16</f>
        <v/>
      </c>
      <c r="C71" s="438"/>
      <c r="D71" s="994"/>
      <c r="E71" s="994"/>
      <c r="F71" s="994"/>
      <c r="G71" s="994"/>
      <c r="H71" s="994"/>
      <c r="I71" s="39"/>
      <c r="J71" s="83"/>
      <c r="K71" s="39"/>
      <c r="L71" s="996"/>
      <c r="M71" s="20"/>
      <c r="N71" s="22"/>
      <c r="O71" s="39"/>
      <c r="P71" s="996"/>
      <c r="Q71" s="20"/>
      <c r="R71" s="22"/>
      <c r="S71" s="39"/>
      <c r="T71" s="996"/>
      <c r="U71" s="20"/>
      <c r="V71" s="22"/>
      <c r="W71" s="39"/>
      <c r="X71" s="996"/>
      <c r="Y71" s="20"/>
      <c r="Z71" s="22"/>
      <c r="AA71" s="39"/>
      <c r="AB71" s="996"/>
      <c r="AC71" s="20"/>
      <c r="AD71" s="22"/>
      <c r="AE71" s="39"/>
      <c r="AF71" s="996"/>
      <c r="AG71" s="20"/>
      <c r="AH71" s="22"/>
      <c r="AI71" s="437"/>
      <c r="AJ71" s="999">
        <f>SUM(J71:AH71)</f>
        <v>0</v>
      </c>
      <c r="AK71" s="35"/>
      <c r="AL71" s="21"/>
      <c r="AM71" s="940"/>
      <c r="AN71" s="1"/>
      <c r="AO71" s="1"/>
      <c r="AP71" s="85">
        <f>IF(SUM($J71:J71)&lt;SUM($J16:J16),SUM($J71:J71),SUM($J16:J16))</f>
        <v>0</v>
      </c>
      <c r="AQ71" s="1"/>
      <c r="AR71" s="85">
        <f>IF(SUM($J71:L71)&lt;SUM($J16:L16),SUM($J71:L71),SUM($J16:L16))-SUM($AP71:AQ71)</f>
        <v>0</v>
      </c>
      <c r="AS71" s="1"/>
      <c r="AT71" s="85">
        <f>IF(SUM($J71:P71)&lt;SUM($J16:P16),SUM($J71:P71),SUM($J16:P16))-SUM($AP71:AR71)</f>
        <v>0</v>
      </c>
      <c r="AU71" s="1"/>
      <c r="AV71" s="85">
        <f>IF(SUM($J71:T71)&lt;SUM($J16:T16),SUM($J71:T71),SUM($J16:T16))-SUM($AP71:AT71)</f>
        <v>0</v>
      </c>
      <c r="AW71" s="1"/>
      <c r="AX71" s="85">
        <f>IF(SUM($J71:X71)&lt;SUM($J16:X16),SUM($J71:X71),SUM($J16:X16))-SUM($AP71:AV71)</f>
        <v>0</v>
      </c>
      <c r="AY71" s="1"/>
      <c r="AZ71" s="85">
        <f>IF(SUM($J71:AB71)&lt;SUM($J16:AB16),SUM($J71:AB71),SUM($J16:AB16))-SUM($AP71:AX71)</f>
        <v>0</v>
      </c>
      <c r="BA71" s="1"/>
      <c r="BB71" s="85">
        <f>IF(SUM($J71:AF71)&lt;SUM($J16:AF16),SUM($J71:AF71),SUM($J16:AF16))-SUM($AP71:AZ71)</f>
        <v>0</v>
      </c>
      <c r="BC71" s="1"/>
      <c r="BD71" s="85">
        <f>SUM(AP71:BB71)</f>
        <v>0</v>
      </c>
      <c r="BE71" s="1"/>
      <c r="BF71" s="1"/>
    </row>
    <row r="72" ht="4.5" customHeight="1">
      <c r="A72" s="1"/>
      <c r="B72" s="203"/>
      <c r="C72" s="180"/>
      <c r="D72" s="994"/>
      <c r="E72" s="994"/>
      <c r="F72" s="994"/>
      <c r="G72" s="994"/>
      <c r="H72" s="994"/>
      <c r="I72" s="979"/>
      <c r="J72" s="92"/>
      <c r="K72" s="39"/>
      <c r="L72" s="85"/>
      <c r="M72" s="85"/>
      <c r="N72" s="981"/>
      <c r="O72" s="981"/>
      <c r="P72" s="85"/>
      <c r="Q72" s="85"/>
      <c r="R72" s="981"/>
      <c r="S72" s="981"/>
      <c r="T72" s="85"/>
      <c r="U72" s="85"/>
      <c r="V72" s="981"/>
      <c r="W72" s="982"/>
      <c r="X72" s="85"/>
      <c r="Y72" s="85"/>
      <c r="Z72" s="981"/>
      <c r="AA72" s="982"/>
      <c r="AB72" s="85"/>
      <c r="AC72" s="85"/>
      <c r="AD72" s="981"/>
      <c r="AE72" s="982"/>
      <c r="AF72" s="85"/>
      <c r="AG72" s="85"/>
      <c r="AH72" s="981"/>
      <c r="AI72" s="437"/>
      <c r="AJ72" s="85"/>
      <c r="AK72" s="85"/>
      <c r="AL72" s="981"/>
      <c r="AM72" s="940"/>
      <c r="AN72" s="1"/>
      <c r="AO72" s="1017" t="s">
        <v>502</v>
      </c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</row>
    <row r="73" ht="14.25" customHeight="1">
      <c r="A73" s="1"/>
      <c r="B73" s="438" t="str">
        <f>B18</f>
        <v/>
      </c>
      <c r="C73" s="438"/>
      <c r="D73" s="994"/>
      <c r="E73" s="994"/>
      <c r="F73" s="994"/>
      <c r="G73" s="994"/>
      <c r="H73" s="994"/>
      <c r="I73" s="39"/>
      <c r="J73" s="83"/>
      <c r="K73" s="39"/>
      <c r="L73" s="996"/>
      <c r="M73" s="20"/>
      <c r="N73" s="22"/>
      <c r="O73" s="39"/>
      <c r="P73" s="996"/>
      <c r="Q73" s="20"/>
      <c r="R73" s="22"/>
      <c r="S73" s="39"/>
      <c r="T73" s="996"/>
      <c r="U73" s="20"/>
      <c r="V73" s="22"/>
      <c r="W73" s="39"/>
      <c r="X73" s="996"/>
      <c r="Y73" s="20"/>
      <c r="Z73" s="22"/>
      <c r="AA73" s="39"/>
      <c r="AB73" s="996"/>
      <c r="AC73" s="20"/>
      <c r="AD73" s="22"/>
      <c r="AE73" s="39"/>
      <c r="AF73" s="996"/>
      <c r="AG73" s="20"/>
      <c r="AH73" s="22"/>
      <c r="AI73" s="437"/>
      <c r="AJ73" s="999">
        <f>SUM(J73:AH73)</f>
        <v>0</v>
      </c>
      <c r="AK73" s="35"/>
      <c r="AL73" s="21"/>
      <c r="AM73" s="940"/>
      <c r="AN73" s="1"/>
      <c r="AO73" s="1"/>
      <c r="AP73" s="85">
        <f>IF(SUM($J73:J73)&lt;SUM($J18:J18),SUM($J73:J73),SUM($J18:J18))</f>
        <v>0</v>
      </c>
      <c r="AQ73" s="1"/>
      <c r="AR73" s="85">
        <f>IF(SUM($J73:L73)&lt;SUM($J18:L18),SUM($J73:L73),SUM($J18:L18))-SUM($AP73:AQ73)</f>
        <v>0</v>
      </c>
      <c r="AS73" s="1"/>
      <c r="AT73" s="85">
        <f>IF(SUM($J73:P73)&lt;SUM($J18:P18),SUM($J73:P73),SUM($J18:P18))-SUM($AP73:AR73)</f>
        <v>0</v>
      </c>
      <c r="AU73" s="1"/>
      <c r="AV73" s="85">
        <f>IF(SUM($J73:T73)&lt;SUM($J18:T18),SUM($J73:T73),SUM($J18:T18))-SUM($AP73:AT73)</f>
        <v>0</v>
      </c>
      <c r="AW73" s="1"/>
      <c r="AX73" s="85">
        <f>IF(SUM($J73:X73)&lt;SUM($J18:X18),SUM($J73:X73),SUM($J18:X18))-SUM($AP73:AV73)</f>
        <v>0</v>
      </c>
      <c r="AY73" s="1"/>
      <c r="AZ73" s="85">
        <f>IF(SUM($J73:AB73)&lt;SUM($J18:AB18),SUM($J73:AB73),SUM($J18:AB18))-SUM($AP73:AX73)</f>
        <v>0</v>
      </c>
      <c r="BA73" s="1"/>
      <c r="BB73" s="85">
        <f>IF(SUM($J73:AF73)&lt;SUM($J18:AF18),SUM($J73:AF73),SUM($J18:AF18))-SUM($AP73:AZ73)</f>
        <v>0</v>
      </c>
      <c r="BC73" s="1"/>
      <c r="BD73" s="85">
        <f>SUM(AP73:BB73)</f>
        <v>0</v>
      </c>
      <c r="BE73" s="1"/>
      <c r="BF73" s="1"/>
    </row>
    <row r="74" ht="4.5" customHeight="1">
      <c r="A74" s="1"/>
      <c r="B74" s="203"/>
      <c r="C74" s="180"/>
      <c r="D74" s="994"/>
      <c r="E74" s="994"/>
      <c r="F74" s="994"/>
      <c r="G74" s="994"/>
      <c r="H74" s="994"/>
      <c r="I74" s="979"/>
      <c r="J74" s="92"/>
      <c r="K74" s="39"/>
      <c r="L74" s="85"/>
      <c r="M74" s="85"/>
      <c r="N74" s="981"/>
      <c r="O74" s="981"/>
      <c r="P74" s="85"/>
      <c r="Q74" s="85"/>
      <c r="R74" s="981"/>
      <c r="S74" s="981"/>
      <c r="T74" s="85"/>
      <c r="U74" s="85"/>
      <c r="V74" s="981"/>
      <c r="W74" s="982"/>
      <c r="X74" s="85"/>
      <c r="Y74" s="85"/>
      <c r="Z74" s="981"/>
      <c r="AA74" s="982"/>
      <c r="AB74" s="85"/>
      <c r="AC74" s="85"/>
      <c r="AD74" s="981"/>
      <c r="AE74" s="982"/>
      <c r="AF74" s="85"/>
      <c r="AG74" s="85"/>
      <c r="AH74" s="981"/>
      <c r="AI74" s="437"/>
      <c r="AJ74" s="85"/>
      <c r="AK74" s="85"/>
      <c r="AL74" s="981"/>
      <c r="AM74" s="940"/>
      <c r="AN74" s="1"/>
      <c r="AO74" s="1017" t="s">
        <v>502</v>
      </c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</row>
    <row r="75" ht="14.25" customHeight="1">
      <c r="A75" s="1"/>
      <c r="B75" s="438" t="str">
        <f>B20</f>
        <v/>
      </c>
      <c r="C75" s="438"/>
      <c r="D75" s="994"/>
      <c r="E75" s="994"/>
      <c r="F75" s="994"/>
      <c r="G75" s="994"/>
      <c r="H75" s="994"/>
      <c r="I75" s="39"/>
      <c r="J75" s="83"/>
      <c r="K75" s="39"/>
      <c r="L75" s="996"/>
      <c r="M75" s="20"/>
      <c r="N75" s="22"/>
      <c r="O75" s="39"/>
      <c r="P75" s="996"/>
      <c r="Q75" s="20"/>
      <c r="R75" s="22"/>
      <c r="S75" s="39"/>
      <c r="T75" s="996"/>
      <c r="U75" s="20"/>
      <c r="V75" s="22"/>
      <c r="W75" s="39"/>
      <c r="X75" s="996"/>
      <c r="Y75" s="20"/>
      <c r="Z75" s="22"/>
      <c r="AA75" s="39"/>
      <c r="AB75" s="996"/>
      <c r="AC75" s="20"/>
      <c r="AD75" s="22"/>
      <c r="AE75" s="39"/>
      <c r="AF75" s="996"/>
      <c r="AG75" s="20"/>
      <c r="AH75" s="22"/>
      <c r="AI75" s="437"/>
      <c r="AJ75" s="999">
        <f>SUM(J75:AH75)</f>
        <v>0</v>
      </c>
      <c r="AK75" s="35"/>
      <c r="AL75" s="21"/>
      <c r="AM75" s="940"/>
      <c r="AN75" s="1"/>
      <c r="AO75" s="1"/>
      <c r="AP75" s="85">
        <f>IF(SUM($J75:J75)&lt;SUM($J20:J20),SUM($J75:J75),SUM($J20:J20))</f>
        <v>0</v>
      </c>
      <c r="AQ75" s="1"/>
      <c r="AR75" s="85">
        <f>IF(SUM($J75:L75)&lt;SUM($J20:L20),SUM($J75:L75),SUM($J20:L20))-SUM($AP75:AQ75)</f>
        <v>0</v>
      </c>
      <c r="AS75" s="1"/>
      <c r="AT75" s="85">
        <f>IF(SUM($J75:P75)&lt;SUM($J20:P20),SUM($J75:P75),SUM($J20:P20))-SUM($AP75:AR75)</f>
        <v>0</v>
      </c>
      <c r="AU75" s="1"/>
      <c r="AV75" s="85">
        <f>IF(SUM($J75:T75)&lt;SUM($J20:T20),SUM($J75:T75),SUM($J20:T20))-SUM($AP75:AT75)</f>
        <v>0</v>
      </c>
      <c r="AW75" s="1"/>
      <c r="AX75" s="85">
        <f>IF(SUM($J75:X75)&lt;SUM($J20:X20),SUM($J75:X75),SUM($J20:X20))-SUM($AP75:AV75)</f>
        <v>0</v>
      </c>
      <c r="AY75" s="1"/>
      <c r="AZ75" s="85">
        <f>IF(SUM($J75:AB75)&lt;SUM($J20:AB20),SUM($J75:AB75),SUM($J20:AB20))-SUM($AP75:AX75)</f>
        <v>0</v>
      </c>
      <c r="BA75" s="1"/>
      <c r="BB75" s="85">
        <f>IF(SUM($J75:AF75)&lt;SUM($J20:AF20),SUM($J75:AF75),SUM($J20:AF20))-SUM($AP75:AZ75)</f>
        <v>0</v>
      </c>
      <c r="BC75" s="1"/>
      <c r="BD75" s="85">
        <f>SUM(AP75:BB75)</f>
        <v>0</v>
      </c>
      <c r="BE75" s="1"/>
      <c r="BF75" s="1"/>
    </row>
    <row r="76" ht="4.5" customHeight="1">
      <c r="A76" s="1"/>
      <c r="B76" s="203"/>
      <c r="C76" s="180"/>
      <c r="D76" s="994"/>
      <c r="E76" s="994"/>
      <c r="F76" s="994"/>
      <c r="G76" s="994"/>
      <c r="H76" s="994"/>
      <c r="I76" s="979"/>
      <c r="J76" s="92"/>
      <c r="K76" s="39"/>
      <c r="L76" s="85"/>
      <c r="M76" s="85"/>
      <c r="N76" s="981"/>
      <c r="O76" s="981"/>
      <c r="P76" s="85"/>
      <c r="Q76" s="85"/>
      <c r="R76" s="981"/>
      <c r="S76" s="981"/>
      <c r="T76" s="85"/>
      <c r="U76" s="85"/>
      <c r="V76" s="981"/>
      <c r="W76" s="982"/>
      <c r="X76" s="85"/>
      <c r="Y76" s="85"/>
      <c r="Z76" s="981"/>
      <c r="AA76" s="982"/>
      <c r="AB76" s="85"/>
      <c r="AC76" s="85"/>
      <c r="AD76" s="981"/>
      <c r="AE76" s="982"/>
      <c r="AF76" s="85"/>
      <c r="AG76" s="85"/>
      <c r="AH76" s="981"/>
      <c r="AI76" s="437"/>
      <c r="AJ76" s="85"/>
      <c r="AK76" s="85"/>
      <c r="AL76" s="981"/>
      <c r="AM76" s="940"/>
      <c r="AN76" s="1"/>
      <c r="AO76" s="1017" t="s">
        <v>502</v>
      </c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</row>
    <row r="77" ht="14.25" customHeight="1">
      <c r="A77" s="1"/>
      <c r="B77" s="438" t="str">
        <f>B22</f>
        <v/>
      </c>
      <c r="C77" s="438"/>
      <c r="D77" s="994"/>
      <c r="E77" s="994"/>
      <c r="F77" s="994"/>
      <c r="G77" s="994"/>
      <c r="H77" s="994"/>
      <c r="I77" s="39"/>
      <c r="J77" s="83"/>
      <c r="K77" s="39"/>
      <c r="L77" s="996"/>
      <c r="M77" s="20"/>
      <c r="N77" s="22"/>
      <c r="O77" s="39"/>
      <c r="P77" s="996"/>
      <c r="Q77" s="20"/>
      <c r="R77" s="22"/>
      <c r="S77" s="39"/>
      <c r="T77" s="996"/>
      <c r="U77" s="20"/>
      <c r="V77" s="22"/>
      <c r="W77" s="39"/>
      <c r="X77" s="996"/>
      <c r="Y77" s="20"/>
      <c r="Z77" s="22"/>
      <c r="AA77" s="39"/>
      <c r="AB77" s="996"/>
      <c r="AC77" s="20"/>
      <c r="AD77" s="22"/>
      <c r="AE77" s="39"/>
      <c r="AF77" s="996"/>
      <c r="AG77" s="20"/>
      <c r="AH77" s="22"/>
      <c r="AI77" s="437"/>
      <c r="AJ77" s="999">
        <f>SUM(J77:AH77)</f>
        <v>0</v>
      </c>
      <c r="AK77" s="35"/>
      <c r="AL77" s="21"/>
      <c r="AM77" s="940"/>
      <c r="AN77" s="1"/>
      <c r="AO77" s="1"/>
      <c r="AP77" s="85">
        <f>IF(SUM($J77:J77)&lt;SUM($J22:J22),SUM($J77:J77),SUM($J22:J22))</f>
        <v>0</v>
      </c>
      <c r="AQ77" s="1"/>
      <c r="AR77" s="85">
        <f>IF(SUM($J77:L77)&lt;SUM($J22:L22),SUM($J77:L77),SUM($J22:L22))-SUM($AP77:AQ77)</f>
        <v>0</v>
      </c>
      <c r="AS77" s="1"/>
      <c r="AT77" s="85">
        <f>IF(SUM($J77:P77)&lt;SUM($J22:P22),SUM($J77:P77),SUM($J22:P22))-SUM($AP77:AR77)</f>
        <v>0</v>
      </c>
      <c r="AU77" s="1"/>
      <c r="AV77" s="85">
        <f>IF(SUM($J77:T77)&lt;SUM($J22:T22),SUM($J77:T77),SUM($J22:T22))-SUM($AP77:AT77)</f>
        <v>0</v>
      </c>
      <c r="AW77" s="1"/>
      <c r="AX77" s="85">
        <f>IF(SUM($J77:X77)&lt;SUM($J22:X22),SUM($J77:X77),SUM($J22:X22))-SUM($AP77:AV77)</f>
        <v>0</v>
      </c>
      <c r="AY77" s="1"/>
      <c r="AZ77" s="85">
        <f>IF(SUM($J77:AB77)&lt;SUM($J22:AB22),SUM($J77:AB77),SUM($J22:AB22))-SUM($AP77:AX77)</f>
        <v>0</v>
      </c>
      <c r="BA77" s="1"/>
      <c r="BB77" s="85">
        <f>IF(SUM($J77:AF77)&lt;SUM($J22:AF22),SUM($J77:AF77),SUM($J22:AF22))-SUM($AP77:AZ77)</f>
        <v>0</v>
      </c>
      <c r="BC77" s="1"/>
      <c r="BD77" s="85">
        <f>SUM(AP77:BB77)</f>
        <v>0</v>
      </c>
      <c r="BE77" s="1"/>
      <c r="BF77" s="1"/>
    </row>
    <row r="78" ht="4.5" customHeight="1">
      <c r="A78" s="1"/>
      <c r="B78" s="203"/>
      <c r="C78" s="180"/>
      <c r="D78" s="994"/>
      <c r="E78" s="994"/>
      <c r="F78" s="994"/>
      <c r="G78" s="994"/>
      <c r="H78" s="994"/>
      <c r="I78" s="979"/>
      <c r="J78" s="92"/>
      <c r="K78" s="39"/>
      <c r="L78" s="85"/>
      <c r="M78" s="85"/>
      <c r="N78" s="981"/>
      <c r="O78" s="981"/>
      <c r="P78" s="85"/>
      <c r="Q78" s="85"/>
      <c r="R78" s="981"/>
      <c r="S78" s="981"/>
      <c r="T78" s="85"/>
      <c r="U78" s="85"/>
      <c r="V78" s="981"/>
      <c r="W78" s="982"/>
      <c r="X78" s="85"/>
      <c r="Y78" s="85"/>
      <c r="Z78" s="981"/>
      <c r="AA78" s="982"/>
      <c r="AB78" s="85"/>
      <c r="AC78" s="85"/>
      <c r="AD78" s="981"/>
      <c r="AE78" s="982"/>
      <c r="AF78" s="85"/>
      <c r="AG78" s="85"/>
      <c r="AH78" s="981"/>
      <c r="AI78" s="437"/>
      <c r="AJ78" s="85"/>
      <c r="AK78" s="85"/>
      <c r="AL78" s="981"/>
      <c r="AM78" s="940"/>
      <c r="AN78" s="1"/>
      <c r="AO78" s="1017" t="s">
        <v>502</v>
      </c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</row>
    <row r="79" ht="14.25" customHeight="1">
      <c r="A79" s="1"/>
      <c r="B79" s="438" t="str">
        <f>B24</f>
        <v/>
      </c>
      <c r="C79" s="438"/>
      <c r="D79" s="994"/>
      <c r="E79" s="994"/>
      <c r="F79" s="994"/>
      <c r="G79" s="994"/>
      <c r="H79" s="994"/>
      <c r="I79" s="39"/>
      <c r="J79" s="83"/>
      <c r="K79" s="39"/>
      <c r="L79" s="996"/>
      <c r="M79" s="20"/>
      <c r="N79" s="22"/>
      <c r="O79" s="39"/>
      <c r="P79" s="996"/>
      <c r="Q79" s="20"/>
      <c r="R79" s="22"/>
      <c r="S79" s="39"/>
      <c r="T79" s="996"/>
      <c r="U79" s="20"/>
      <c r="V79" s="22"/>
      <c r="W79" s="39"/>
      <c r="X79" s="996"/>
      <c r="Y79" s="20"/>
      <c r="Z79" s="22"/>
      <c r="AA79" s="39"/>
      <c r="AB79" s="996"/>
      <c r="AC79" s="20"/>
      <c r="AD79" s="22"/>
      <c r="AE79" s="39"/>
      <c r="AF79" s="996"/>
      <c r="AG79" s="20"/>
      <c r="AH79" s="22"/>
      <c r="AI79" s="437"/>
      <c r="AJ79" s="999">
        <f>SUM(J79:AH79)</f>
        <v>0</v>
      </c>
      <c r="AK79" s="35"/>
      <c r="AL79" s="21"/>
      <c r="AM79" s="940"/>
      <c r="AN79" s="1"/>
      <c r="AO79" s="1"/>
      <c r="AP79" s="85">
        <f>IF(SUM($J79:J79)&lt;SUM($J24:J24),SUM($J79:J79),SUM($J24:J24))</f>
        <v>0</v>
      </c>
      <c r="AQ79" s="1"/>
      <c r="AR79" s="85">
        <f>IF(SUM($J79:L79)&lt;SUM($J24:L24),SUM($J79:L79),SUM($J24:L24))-SUM($AP79:AQ79)</f>
        <v>0</v>
      </c>
      <c r="AS79" s="1"/>
      <c r="AT79" s="85">
        <f>IF(SUM($J79:P79)&lt;SUM($J24:P24),SUM($J79:P79),SUM($J24:P24))-SUM($AP79:AR79)</f>
        <v>0</v>
      </c>
      <c r="AU79" s="1"/>
      <c r="AV79" s="85">
        <f>IF(SUM($J79:T79)&lt;SUM($J24:T24),SUM($J79:T79),SUM($J24:T24))-SUM($AP79:AT79)</f>
        <v>0</v>
      </c>
      <c r="AW79" s="1"/>
      <c r="AX79" s="85">
        <f>IF(SUM($J79:X79)&lt;SUM($J24:X24),SUM($J79:X79),SUM($J24:X24))-SUM($AP79:AV79)</f>
        <v>0</v>
      </c>
      <c r="AY79" s="1"/>
      <c r="AZ79" s="85">
        <f>IF(SUM($J79:AB79)&lt;SUM($J24:AB24),SUM($J79:AB79),SUM($J24:AB24))-SUM($AP79:AX79)</f>
        <v>0</v>
      </c>
      <c r="BA79" s="1"/>
      <c r="BB79" s="85">
        <f>IF(SUM($J79:AF79)&lt;SUM($J24:AF24),SUM($J79:AF79),SUM($J24:AF24))-SUM($AP79:AZ79)</f>
        <v>0</v>
      </c>
      <c r="BC79" s="1"/>
      <c r="BD79" s="85">
        <f>SUM(AP79:BB79)</f>
        <v>0</v>
      </c>
      <c r="BE79" s="1"/>
      <c r="BF79" s="1"/>
    </row>
    <row r="80" ht="4.5" customHeight="1">
      <c r="A80" s="1"/>
      <c r="B80" s="203"/>
      <c r="C80" s="180"/>
      <c r="D80" s="994"/>
      <c r="E80" s="994"/>
      <c r="F80" s="994"/>
      <c r="G80" s="994"/>
      <c r="H80" s="994"/>
      <c r="I80" s="979"/>
      <c r="J80" s="92"/>
      <c r="K80" s="39"/>
      <c r="L80" s="85"/>
      <c r="M80" s="85"/>
      <c r="N80" s="981"/>
      <c r="O80" s="981"/>
      <c r="P80" s="85"/>
      <c r="Q80" s="85"/>
      <c r="R80" s="981"/>
      <c r="S80" s="981"/>
      <c r="T80" s="85"/>
      <c r="U80" s="85"/>
      <c r="V80" s="981"/>
      <c r="W80" s="982"/>
      <c r="X80" s="85"/>
      <c r="Y80" s="85"/>
      <c r="Z80" s="981"/>
      <c r="AA80" s="982"/>
      <c r="AB80" s="85"/>
      <c r="AC80" s="85"/>
      <c r="AD80" s="981"/>
      <c r="AE80" s="982"/>
      <c r="AF80" s="85"/>
      <c r="AG80" s="85"/>
      <c r="AH80" s="981"/>
      <c r="AI80" s="437"/>
      <c r="AJ80" s="85"/>
      <c r="AK80" s="85"/>
      <c r="AL80" s="981"/>
      <c r="AM80" s="940"/>
      <c r="AN80" s="1"/>
      <c r="AO80" s="1017" t="s">
        <v>502</v>
      </c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</row>
    <row r="81" ht="14.25" customHeight="1">
      <c r="A81" s="1"/>
      <c r="B81" s="438" t="str">
        <f>B26</f>
        <v/>
      </c>
      <c r="C81" s="438"/>
      <c r="D81" s="994"/>
      <c r="E81" s="994"/>
      <c r="F81" s="994"/>
      <c r="G81" s="994"/>
      <c r="H81" s="994"/>
      <c r="I81" s="39"/>
      <c r="J81" s="83"/>
      <c r="K81" s="39"/>
      <c r="L81" s="996"/>
      <c r="M81" s="20"/>
      <c r="N81" s="22"/>
      <c r="O81" s="39"/>
      <c r="P81" s="996"/>
      <c r="Q81" s="20"/>
      <c r="R81" s="22"/>
      <c r="S81" s="39"/>
      <c r="T81" s="996"/>
      <c r="U81" s="20"/>
      <c r="V81" s="22"/>
      <c r="W81" s="39"/>
      <c r="X81" s="996"/>
      <c r="Y81" s="20"/>
      <c r="Z81" s="22"/>
      <c r="AA81" s="39"/>
      <c r="AB81" s="996"/>
      <c r="AC81" s="20"/>
      <c r="AD81" s="22"/>
      <c r="AE81" s="39"/>
      <c r="AF81" s="996"/>
      <c r="AG81" s="20"/>
      <c r="AH81" s="22"/>
      <c r="AI81" s="437"/>
      <c r="AJ81" s="999">
        <f>SUM(J81:AH81)</f>
        <v>0</v>
      </c>
      <c r="AK81" s="35"/>
      <c r="AL81" s="21"/>
      <c r="AM81" s="940"/>
      <c r="AN81" s="1"/>
      <c r="AO81" s="1"/>
      <c r="AP81" s="85">
        <f>IF(SUM($J81:J81)&lt;SUM($J26:J26),SUM($J81:J81),SUM($J26:J26))</f>
        <v>0</v>
      </c>
      <c r="AQ81" s="1"/>
      <c r="AR81" s="85">
        <f>IF(SUM($J81:L81)&lt;SUM($J26:L26),SUM($J81:L81),SUM($J26:L26))-SUM($AP81:AQ81)</f>
        <v>0</v>
      </c>
      <c r="AS81" s="1"/>
      <c r="AT81" s="85">
        <f>IF(SUM($J81:P81)&lt;SUM($J26:P26),SUM($J81:P81),SUM($J26:P26))-SUM($AP81:AR81)</f>
        <v>0</v>
      </c>
      <c r="AU81" s="1"/>
      <c r="AV81" s="85">
        <f>IF(SUM($J81:T81)&lt;SUM($J26:T26),SUM($J81:T81),SUM($J26:T26))-SUM($AP81:AT81)</f>
        <v>0</v>
      </c>
      <c r="AW81" s="1"/>
      <c r="AX81" s="85">
        <f>IF(SUM($J81:X81)&lt;SUM($J26:X26),SUM($J81:X81),SUM($J26:X26))-SUM($AP81:AV81)</f>
        <v>0</v>
      </c>
      <c r="AY81" s="1"/>
      <c r="AZ81" s="85">
        <f>IF(SUM($J81:AB81)&lt;SUM($J26:AB26),SUM($J81:AB81),SUM($J26:AB26))-SUM($AP81:AX81)</f>
        <v>0</v>
      </c>
      <c r="BA81" s="1"/>
      <c r="BB81" s="85">
        <f>IF(SUM($J81:AF81)&lt;SUM($J26:AF26),SUM($J81:AF81),SUM($J26:AF26))-SUM($AP81:AZ81)</f>
        <v>0</v>
      </c>
      <c r="BC81" s="1"/>
      <c r="BD81" s="85">
        <f>SUM(AP81:BB81)</f>
        <v>0</v>
      </c>
      <c r="BE81" s="1"/>
      <c r="BF81" s="1"/>
    </row>
    <row r="82" ht="4.5" customHeight="1">
      <c r="A82" s="1"/>
      <c r="B82" s="203"/>
      <c r="C82" s="180"/>
      <c r="D82" s="994"/>
      <c r="E82" s="994"/>
      <c r="F82" s="994"/>
      <c r="G82" s="994"/>
      <c r="H82" s="994"/>
      <c r="I82" s="979"/>
      <c r="J82" s="39"/>
      <c r="K82" s="39"/>
      <c r="L82" s="85"/>
      <c r="M82" s="85"/>
      <c r="N82" s="981"/>
      <c r="O82" s="981"/>
      <c r="P82" s="85"/>
      <c r="Q82" s="85"/>
      <c r="R82" s="981"/>
      <c r="S82" s="981"/>
      <c r="T82" s="85"/>
      <c r="U82" s="85"/>
      <c r="V82" s="981"/>
      <c r="W82" s="982"/>
      <c r="X82" s="85"/>
      <c r="Y82" s="85"/>
      <c r="Z82" s="981"/>
      <c r="AA82" s="982"/>
      <c r="AB82" s="85"/>
      <c r="AC82" s="85"/>
      <c r="AD82" s="981"/>
      <c r="AE82" s="982"/>
      <c r="AF82" s="85"/>
      <c r="AG82" s="85"/>
      <c r="AH82" s="981"/>
      <c r="AI82" s="437"/>
      <c r="AJ82" s="85"/>
      <c r="AK82" s="85"/>
      <c r="AL82" s="981"/>
      <c r="AM82" s="940"/>
      <c r="AN82" s="1"/>
      <c r="AO82" s="1017" t="s">
        <v>502</v>
      </c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</row>
    <row r="83" ht="14.25" customHeight="1">
      <c r="A83" s="1"/>
      <c r="B83" s="438" t="str">
        <f>B28</f>
        <v/>
      </c>
      <c r="C83" s="438"/>
      <c r="D83" s="994"/>
      <c r="E83" s="994"/>
      <c r="F83" s="994"/>
      <c r="G83" s="994"/>
      <c r="H83" s="994"/>
      <c r="I83" s="39"/>
      <c r="J83" s="83"/>
      <c r="K83" s="39"/>
      <c r="L83" s="996"/>
      <c r="M83" s="20"/>
      <c r="N83" s="22"/>
      <c r="O83" s="39"/>
      <c r="P83" s="996"/>
      <c r="Q83" s="20"/>
      <c r="R83" s="22"/>
      <c r="S83" s="39"/>
      <c r="T83" s="996"/>
      <c r="U83" s="20"/>
      <c r="V83" s="22"/>
      <c r="W83" s="39"/>
      <c r="X83" s="996"/>
      <c r="Y83" s="20"/>
      <c r="Z83" s="22"/>
      <c r="AA83" s="39"/>
      <c r="AB83" s="996"/>
      <c r="AC83" s="20"/>
      <c r="AD83" s="22"/>
      <c r="AE83" s="39"/>
      <c r="AF83" s="996"/>
      <c r="AG83" s="20"/>
      <c r="AH83" s="22"/>
      <c r="AI83" s="437"/>
      <c r="AJ83" s="999">
        <f>SUM(J83:AH83)</f>
        <v>0</v>
      </c>
      <c r="AK83" s="35"/>
      <c r="AL83" s="21"/>
      <c r="AM83" s="940"/>
      <c r="AN83" s="1"/>
      <c r="AO83" s="1"/>
      <c r="AP83" s="85">
        <f>IF(SUM($J83:J83)&lt;SUM($J28:J28),SUM($J83:J83),SUM($J28:J28))</f>
        <v>0</v>
      </c>
      <c r="AQ83" s="1"/>
      <c r="AR83" s="85">
        <f>IF(SUM($J83:L83)&lt;SUM($J28:L28),SUM($J83:L83),SUM($J28:L28))-SUM($AP83:AQ83)</f>
        <v>0</v>
      </c>
      <c r="AS83" s="1"/>
      <c r="AT83" s="85">
        <f>IF(SUM($J83:P83)&lt;SUM($J28:P28),SUM($J83:P83),SUM($J28:P28))-SUM($AP83:AR83)</f>
        <v>0</v>
      </c>
      <c r="AU83" s="1"/>
      <c r="AV83" s="85">
        <f>IF(SUM($J83:T83)&lt;SUM($J28:T28),SUM($J83:T83),SUM($J28:T28))-SUM($AP83:AT83)</f>
        <v>0</v>
      </c>
      <c r="AW83" s="1"/>
      <c r="AX83" s="85">
        <f>IF(SUM($J83:X83)&lt;SUM($J28:X28),SUM($J83:X83),SUM($J28:X28))-SUM($AP83:AV83)</f>
        <v>0</v>
      </c>
      <c r="AY83" s="1"/>
      <c r="AZ83" s="85">
        <f>IF(SUM($J83:AB83)&lt;SUM($J28:AB28),SUM($J83:AB83),SUM($J28:AB28))-SUM($AP83:AX83)</f>
        <v>0</v>
      </c>
      <c r="BA83" s="1"/>
      <c r="BB83" s="85">
        <f>IF(SUM($J83:AF83)&lt;SUM($J28:AF28),SUM($J83:AF83),SUM($J28:AF28))-SUM($AP83:AZ83)</f>
        <v>0</v>
      </c>
      <c r="BC83" s="1"/>
      <c r="BD83" s="85">
        <f>SUM(AP83:BB83)</f>
        <v>0</v>
      </c>
      <c r="BE83" s="1"/>
      <c r="BF83" s="1"/>
    </row>
    <row r="84" ht="4.5" customHeight="1">
      <c r="A84" s="1"/>
      <c r="B84" s="203"/>
      <c r="C84" s="180"/>
      <c r="D84" s="994"/>
      <c r="E84" s="994"/>
      <c r="F84" s="994"/>
      <c r="G84" s="994"/>
      <c r="H84" s="994"/>
      <c r="I84" s="979"/>
      <c r="J84" s="92"/>
      <c r="K84" s="39"/>
      <c r="L84" s="85"/>
      <c r="M84" s="85"/>
      <c r="N84" s="981"/>
      <c r="O84" s="981"/>
      <c r="P84" s="85"/>
      <c r="Q84" s="85"/>
      <c r="R84" s="981"/>
      <c r="S84" s="981"/>
      <c r="T84" s="85"/>
      <c r="U84" s="85"/>
      <c r="V84" s="981"/>
      <c r="W84" s="982"/>
      <c r="X84" s="85"/>
      <c r="Y84" s="85"/>
      <c r="Z84" s="981"/>
      <c r="AA84" s="982"/>
      <c r="AB84" s="85"/>
      <c r="AC84" s="85"/>
      <c r="AD84" s="981"/>
      <c r="AE84" s="982"/>
      <c r="AF84" s="85"/>
      <c r="AG84" s="85"/>
      <c r="AH84" s="981"/>
      <c r="AI84" s="437"/>
      <c r="AJ84" s="85"/>
      <c r="AK84" s="85"/>
      <c r="AL84" s="981"/>
      <c r="AM84" s="940"/>
      <c r="AN84" s="1"/>
      <c r="AO84" s="1017" t="s">
        <v>502</v>
      </c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</row>
    <row r="85" ht="14.25" customHeight="1">
      <c r="A85" s="1"/>
      <c r="B85" s="438" t="str">
        <f>B30</f>
        <v/>
      </c>
      <c r="C85" s="438"/>
      <c r="D85" s="994"/>
      <c r="E85" s="994"/>
      <c r="F85" s="994"/>
      <c r="G85" s="994"/>
      <c r="H85" s="994"/>
      <c r="I85" s="39"/>
      <c r="J85" s="83"/>
      <c r="K85" s="39"/>
      <c r="L85" s="996"/>
      <c r="M85" s="20"/>
      <c r="N85" s="22"/>
      <c r="O85" s="39"/>
      <c r="P85" s="996"/>
      <c r="Q85" s="20"/>
      <c r="R85" s="22"/>
      <c r="S85" s="39"/>
      <c r="T85" s="996"/>
      <c r="U85" s="20"/>
      <c r="V85" s="22"/>
      <c r="W85" s="39"/>
      <c r="X85" s="996"/>
      <c r="Y85" s="20"/>
      <c r="Z85" s="22"/>
      <c r="AA85" s="39"/>
      <c r="AB85" s="996"/>
      <c r="AC85" s="20"/>
      <c r="AD85" s="22"/>
      <c r="AE85" s="39"/>
      <c r="AF85" s="996"/>
      <c r="AG85" s="20"/>
      <c r="AH85" s="22"/>
      <c r="AI85" s="437"/>
      <c r="AJ85" s="999">
        <f>SUM(J85:AH85)</f>
        <v>0</v>
      </c>
      <c r="AK85" s="35"/>
      <c r="AL85" s="21"/>
      <c r="AM85" s="940"/>
      <c r="AN85" s="1"/>
      <c r="AO85" s="1"/>
      <c r="AP85" s="85">
        <f>IF(SUM($J85:J85)&lt;SUM($J30:J30),SUM($J85:J85),SUM($J30:J30))</f>
        <v>0</v>
      </c>
      <c r="AQ85" s="1"/>
      <c r="AR85" s="85">
        <f>IF(SUM($J85:L85)&lt;SUM($J30:L30),SUM($J85:L85),SUM($J30:L30))-SUM($AP85:AQ85)</f>
        <v>0</v>
      </c>
      <c r="AS85" s="1"/>
      <c r="AT85" s="85">
        <f>IF(SUM($J85:P85)&lt;SUM($J30:P30),SUM($J85:P85),SUM($J30:P30))-SUM($AP85:AR85)</f>
        <v>0</v>
      </c>
      <c r="AU85" s="1"/>
      <c r="AV85" s="85">
        <f>IF(SUM($J85:T85)&lt;SUM($J30:T30),SUM($J85:T85),SUM($J30:T30))-SUM($AP85:AT85)</f>
        <v>0</v>
      </c>
      <c r="AW85" s="1"/>
      <c r="AX85" s="85">
        <f>IF(SUM($J85:X85)&lt;SUM($J30:X30),SUM($J85:X85),SUM($J30:X30))-SUM($AP85:AV85)</f>
        <v>0</v>
      </c>
      <c r="AY85" s="1"/>
      <c r="AZ85" s="85">
        <f>IF(SUM($J85:AB85)&lt;SUM($J30:AB30),SUM($J85:AB85),SUM($J30:AB30))-SUM($AP85:AX85)</f>
        <v>0</v>
      </c>
      <c r="BA85" s="1"/>
      <c r="BB85" s="85">
        <f>IF(SUM($J85:AF85)&lt;SUM($J30:AF30),SUM($J85:AF85),SUM($J30:AF30))-SUM($AP85:AZ85)</f>
        <v>0</v>
      </c>
      <c r="BC85" s="1"/>
      <c r="BD85" s="85">
        <f>SUM(AP85:BB85)</f>
        <v>0</v>
      </c>
      <c r="BE85" s="1"/>
      <c r="BF85" s="1"/>
    </row>
    <row r="86" ht="4.5" customHeight="1">
      <c r="A86" s="1"/>
      <c r="B86" s="203"/>
      <c r="C86" s="180"/>
      <c r="D86" s="994"/>
      <c r="E86" s="994"/>
      <c r="F86" s="994"/>
      <c r="G86" s="994"/>
      <c r="H86" s="994"/>
      <c r="I86" s="979"/>
      <c r="J86" s="92"/>
      <c r="K86" s="39"/>
      <c r="L86" s="85"/>
      <c r="M86" s="85"/>
      <c r="N86" s="981"/>
      <c r="O86" s="981"/>
      <c r="P86" s="85"/>
      <c r="Q86" s="85"/>
      <c r="R86" s="981"/>
      <c r="S86" s="981"/>
      <c r="T86" s="85"/>
      <c r="U86" s="85"/>
      <c r="V86" s="981"/>
      <c r="W86" s="982"/>
      <c r="X86" s="85"/>
      <c r="Y86" s="85"/>
      <c r="Z86" s="981"/>
      <c r="AA86" s="982"/>
      <c r="AB86" s="85"/>
      <c r="AC86" s="85"/>
      <c r="AD86" s="981"/>
      <c r="AE86" s="982"/>
      <c r="AF86" s="85"/>
      <c r="AG86" s="85"/>
      <c r="AH86" s="981"/>
      <c r="AI86" s="437"/>
      <c r="AJ86" s="85"/>
      <c r="AK86" s="85"/>
      <c r="AL86" s="981"/>
      <c r="AM86" s="940"/>
      <c r="AN86" s="1"/>
      <c r="AO86" s="1017" t="s">
        <v>502</v>
      </c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</row>
    <row r="87" ht="14.25" customHeight="1">
      <c r="A87" s="1"/>
      <c r="B87" s="438" t="str">
        <f>B32</f>
        <v/>
      </c>
      <c r="C87" s="438"/>
      <c r="D87" s="994"/>
      <c r="E87" s="994"/>
      <c r="F87" s="994"/>
      <c r="G87" s="994"/>
      <c r="H87" s="994"/>
      <c r="I87" s="39"/>
      <c r="J87" s="83"/>
      <c r="K87" s="39"/>
      <c r="L87" s="996"/>
      <c r="M87" s="20"/>
      <c r="N87" s="22"/>
      <c r="O87" s="39"/>
      <c r="P87" s="996"/>
      <c r="Q87" s="20"/>
      <c r="R87" s="22"/>
      <c r="S87" s="39"/>
      <c r="T87" s="996"/>
      <c r="U87" s="20"/>
      <c r="V87" s="22"/>
      <c r="W87" s="39"/>
      <c r="X87" s="996"/>
      <c r="Y87" s="20"/>
      <c r="Z87" s="22"/>
      <c r="AA87" s="39"/>
      <c r="AB87" s="996"/>
      <c r="AC87" s="20"/>
      <c r="AD87" s="22"/>
      <c r="AE87" s="39"/>
      <c r="AF87" s="996"/>
      <c r="AG87" s="20"/>
      <c r="AH87" s="22"/>
      <c r="AI87" s="437"/>
      <c r="AJ87" s="999">
        <f>SUM(J87:AH87)</f>
        <v>0</v>
      </c>
      <c r="AK87" s="35"/>
      <c r="AL87" s="21"/>
      <c r="AM87" s="940"/>
      <c r="AN87" s="1"/>
      <c r="AO87" s="1"/>
      <c r="AP87" s="85">
        <f>IF(SUM($J87:J87)&lt;SUM($J32:J32),SUM($J87:J87),SUM($J32:J32))</f>
        <v>0</v>
      </c>
      <c r="AQ87" s="1"/>
      <c r="AR87" s="85">
        <f>IF(SUM($J87:L87)&lt;SUM($J32:L32),SUM($J87:L87),SUM($J32:L32))-SUM($AP87:AQ87)</f>
        <v>0</v>
      </c>
      <c r="AS87" s="1"/>
      <c r="AT87" s="85">
        <f>IF(SUM($J87:P87)&lt;SUM($J32:P32),SUM($J87:P87),SUM($J32:P32))-SUM($AP87:AR87)</f>
        <v>0</v>
      </c>
      <c r="AU87" s="1"/>
      <c r="AV87" s="85">
        <f>IF(SUM($J87:T87)&lt;SUM($J32:T32),SUM($J87:T87),SUM($J32:T32))-SUM($AP87:AT87)</f>
        <v>0</v>
      </c>
      <c r="AW87" s="1"/>
      <c r="AX87" s="85">
        <f>IF(SUM($J87:X87)&lt;SUM($J32:X32),SUM($J87:X87),SUM($J32:X32))-SUM($AP87:AV87)</f>
        <v>0</v>
      </c>
      <c r="AY87" s="1"/>
      <c r="AZ87" s="85">
        <f>IF(SUM($J87:AB87)&lt;SUM($J32:AB32),SUM($J87:AB87),SUM($J32:AB32))-SUM($AP87:AX87)</f>
        <v>0</v>
      </c>
      <c r="BA87" s="1"/>
      <c r="BB87" s="85">
        <f>IF(SUM($J87:AF87)&lt;SUM($J32:AF32),SUM($J87:AF87),SUM($J32:AF32))-SUM($AP87:AZ87)</f>
        <v>0</v>
      </c>
      <c r="BC87" s="1"/>
      <c r="BD87" s="85">
        <f>SUM(AP87:BB87)</f>
        <v>0</v>
      </c>
      <c r="BE87" s="1"/>
      <c r="BF87" s="1"/>
    </row>
    <row r="88" ht="4.5" customHeight="1">
      <c r="A88" s="1"/>
      <c r="B88" s="203"/>
      <c r="C88" s="180"/>
      <c r="D88" s="994"/>
      <c r="E88" s="994"/>
      <c r="F88" s="994"/>
      <c r="G88" s="994"/>
      <c r="H88" s="994"/>
      <c r="I88" s="979"/>
      <c r="J88" s="39"/>
      <c r="K88" s="39"/>
      <c r="L88" s="85"/>
      <c r="M88" s="85"/>
      <c r="N88" s="981"/>
      <c r="O88" s="981"/>
      <c r="P88" s="85"/>
      <c r="Q88" s="85"/>
      <c r="R88" s="981"/>
      <c r="S88" s="981"/>
      <c r="T88" s="85"/>
      <c r="U88" s="85"/>
      <c r="V88" s="981"/>
      <c r="W88" s="982"/>
      <c r="X88" s="85"/>
      <c r="Y88" s="85"/>
      <c r="Z88" s="981"/>
      <c r="AA88" s="982"/>
      <c r="AB88" s="85"/>
      <c r="AC88" s="85"/>
      <c r="AD88" s="981"/>
      <c r="AE88" s="982"/>
      <c r="AF88" s="85"/>
      <c r="AG88" s="85"/>
      <c r="AH88" s="981"/>
      <c r="AI88" s="437"/>
      <c r="AJ88" s="85"/>
      <c r="AK88" s="85"/>
      <c r="AL88" s="981"/>
      <c r="AM88" s="940"/>
      <c r="AN88" s="1"/>
      <c r="AO88" s="1017" t="s">
        <v>502</v>
      </c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</row>
    <row r="89" ht="14.25" customHeight="1">
      <c r="A89" s="1"/>
      <c r="B89" s="438" t="str">
        <f>B34</f>
        <v/>
      </c>
      <c r="C89" s="438"/>
      <c r="D89" s="994"/>
      <c r="E89" s="994"/>
      <c r="F89" s="994"/>
      <c r="G89" s="994"/>
      <c r="H89" s="994"/>
      <c r="I89" s="39"/>
      <c r="J89" s="83"/>
      <c r="K89" s="39"/>
      <c r="L89" s="996"/>
      <c r="M89" s="20"/>
      <c r="N89" s="22"/>
      <c r="O89" s="39"/>
      <c r="P89" s="996"/>
      <c r="Q89" s="20"/>
      <c r="R89" s="22"/>
      <c r="S89" s="39"/>
      <c r="T89" s="996"/>
      <c r="U89" s="20"/>
      <c r="V89" s="22"/>
      <c r="W89" s="39"/>
      <c r="X89" s="996"/>
      <c r="Y89" s="20"/>
      <c r="Z89" s="22"/>
      <c r="AA89" s="39"/>
      <c r="AB89" s="996"/>
      <c r="AC89" s="20"/>
      <c r="AD89" s="22"/>
      <c r="AE89" s="39"/>
      <c r="AF89" s="996"/>
      <c r="AG89" s="20"/>
      <c r="AH89" s="22"/>
      <c r="AI89" s="437"/>
      <c r="AJ89" s="999">
        <f>SUM(J89:AH89)</f>
        <v>0</v>
      </c>
      <c r="AK89" s="35"/>
      <c r="AL89" s="21"/>
      <c r="AM89" s="940"/>
      <c r="AN89" s="1"/>
      <c r="AO89" s="1"/>
      <c r="AP89" s="85">
        <f>IF(SUM($J89:J89)&lt;SUM($J34:J34),SUM($J89:J89),SUM($J34:J34))</f>
        <v>0</v>
      </c>
      <c r="AQ89" s="1"/>
      <c r="AR89" s="85">
        <f>IF(SUM($J89:L89)&lt;SUM($J34:L34),SUM($J89:L89),SUM($J34:L34))-SUM($AP89:AQ89)</f>
        <v>0</v>
      </c>
      <c r="AS89" s="1"/>
      <c r="AT89" s="85">
        <f>IF(SUM($J89:P89)&lt;SUM($J34:P34),SUM($J89:P89),SUM($J34:P34))-SUM($AP89:AR89)</f>
        <v>0</v>
      </c>
      <c r="AU89" s="1"/>
      <c r="AV89" s="85">
        <f>IF(SUM($J89:T89)&lt;SUM($J34:T34),SUM($J89:T89),SUM($J34:T34))-SUM($AP89:AT89)</f>
        <v>0</v>
      </c>
      <c r="AW89" s="1"/>
      <c r="AX89" s="85">
        <f>IF(SUM($J89:X89)&lt;SUM($J34:X34),SUM($J89:X89),SUM($J34:X34))-SUM($AP89:AV89)</f>
        <v>0</v>
      </c>
      <c r="AY89" s="1"/>
      <c r="AZ89" s="85">
        <f>IF(SUM($J89:AB89)&lt;SUM($J34:AB34),SUM($J89:AB89),SUM($J34:AB34))-SUM($AP89:AX89)</f>
        <v>0</v>
      </c>
      <c r="BA89" s="1"/>
      <c r="BB89" s="85">
        <f>IF(SUM($J89:AF89)&lt;SUM($J34:AF34),SUM($J89:AF89),SUM($J34:AF34))-SUM($AP89:AZ89)</f>
        <v>0</v>
      </c>
      <c r="BC89" s="1"/>
      <c r="BD89" s="85">
        <f>SUM(AP89:BB89)</f>
        <v>0</v>
      </c>
      <c r="BE89" s="1"/>
      <c r="BF89" s="1"/>
    </row>
    <row r="90" ht="4.5" customHeight="1">
      <c r="A90" s="1"/>
      <c r="B90" s="203"/>
      <c r="C90" s="180"/>
      <c r="D90" s="994"/>
      <c r="E90" s="994"/>
      <c r="F90" s="994"/>
      <c r="G90" s="994"/>
      <c r="H90" s="994"/>
      <c r="I90" s="979"/>
      <c r="J90" s="92"/>
      <c r="K90" s="39"/>
      <c r="L90" s="85"/>
      <c r="M90" s="85"/>
      <c r="N90" s="981"/>
      <c r="O90" s="981"/>
      <c r="P90" s="85"/>
      <c r="Q90" s="85"/>
      <c r="R90" s="981"/>
      <c r="S90" s="981"/>
      <c r="T90" s="85"/>
      <c r="U90" s="85"/>
      <c r="V90" s="981"/>
      <c r="W90" s="982"/>
      <c r="X90" s="85"/>
      <c r="Y90" s="85"/>
      <c r="Z90" s="981"/>
      <c r="AA90" s="982"/>
      <c r="AB90" s="85"/>
      <c r="AC90" s="85"/>
      <c r="AD90" s="981"/>
      <c r="AE90" s="982"/>
      <c r="AF90" s="85"/>
      <c r="AG90" s="85"/>
      <c r="AH90" s="981"/>
      <c r="AI90" s="437"/>
      <c r="AJ90" s="85"/>
      <c r="AK90" s="85"/>
      <c r="AL90" s="981"/>
      <c r="AM90" s="940"/>
      <c r="AN90" s="1"/>
      <c r="AO90" s="1017" t="s">
        <v>502</v>
      </c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</row>
    <row r="91" ht="14.25" customHeight="1">
      <c r="A91" s="1"/>
      <c r="B91" s="438" t="str">
        <f>B36</f>
        <v/>
      </c>
      <c r="C91" s="438"/>
      <c r="D91" s="994"/>
      <c r="E91" s="994"/>
      <c r="F91" s="994"/>
      <c r="G91" s="994"/>
      <c r="H91" s="994"/>
      <c r="I91" s="39"/>
      <c r="J91" s="83"/>
      <c r="K91" s="39"/>
      <c r="L91" s="996"/>
      <c r="M91" s="20"/>
      <c r="N91" s="22"/>
      <c r="O91" s="39"/>
      <c r="P91" s="996"/>
      <c r="Q91" s="20"/>
      <c r="R91" s="22"/>
      <c r="S91" s="39"/>
      <c r="T91" s="996"/>
      <c r="U91" s="20"/>
      <c r="V91" s="22"/>
      <c r="W91" s="39"/>
      <c r="X91" s="996"/>
      <c r="Y91" s="20"/>
      <c r="Z91" s="22"/>
      <c r="AA91" s="39"/>
      <c r="AB91" s="996"/>
      <c r="AC91" s="20"/>
      <c r="AD91" s="22"/>
      <c r="AE91" s="39"/>
      <c r="AF91" s="996"/>
      <c r="AG91" s="20"/>
      <c r="AH91" s="22"/>
      <c r="AI91" s="437"/>
      <c r="AJ91" s="999">
        <f>SUM(J91:AH91)</f>
        <v>0</v>
      </c>
      <c r="AK91" s="35"/>
      <c r="AL91" s="21"/>
      <c r="AM91" s="940"/>
      <c r="AN91" s="1"/>
      <c r="AO91" s="1"/>
      <c r="AP91" s="85">
        <f>IF(SUM($J91:J91)&lt;SUM($J36:J36),SUM($J91:J91),SUM($J36:J36))</f>
        <v>0</v>
      </c>
      <c r="AQ91" s="1"/>
      <c r="AR91" s="85">
        <f>IF(SUM($J91:L91)&lt;SUM($J36:L36),SUM($J91:L91),SUM($J36:L36))-SUM($AP91:AQ91)</f>
        <v>0</v>
      </c>
      <c r="AS91" s="1"/>
      <c r="AT91" s="85">
        <f>IF(SUM($J91:P91)&lt;SUM($J36:P36),SUM($J91:P91),SUM($J36:P36))-SUM($AP91:AR91)</f>
        <v>0</v>
      </c>
      <c r="AU91" s="1"/>
      <c r="AV91" s="85">
        <f>IF(SUM($J91:T91)&lt;SUM($J36:T36),SUM($J91:T91),SUM($J36:T36))-SUM($AP91:AT91)</f>
        <v>0</v>
      </c>
      <c r="AW91" s="1"/>
      <c r="AX91" s="85">
        <f>IF(SUM($J91:X91)&lt;SUM($J36:X36),SUM($J91:X91),SUM($J36:X36))-SUM($AP91:AV91)</f>
        <v>0</v>
      </c>
      <c r="AY91" s="1"/>
      <c r="AZ91" s="85">
        <f>IF(SUM($J91:AB91)&lt;SUM($J36:AB36),SUM($J91:AB91),SUM($J36:AB36))-SUM($AP91:AX91)</f>
        <v>0</v>
      </c>
      <c r="BA91" s="1"/>
      <c r="BB91" s="85">
        <f>IF(SUM($J91:AF91)&lt;SUM($J36:AF36),SUM($J91:AF91),SUM($J36:AF36))-SUM($AP91:AZ91)</f>
        <v>0</v>
      </c>
      <c r="BC91" s="1"/>
      <c r="BD91" s="85">
        <f>SUM(AP91:BB91)</f>
        <v>0</v>
      </c>
      <c r="BE91" s="1"/>
      <c r="BF91" s="1"/>
    </row>
    <row r="92" ht="4.5" customHeight="1">
      <c r="A92" s="1"/>
      <c r="B92" s="203"/>
      <c r="C92" s="180"/>
      <c r="D92" s="994"/>
      <c r="E92" s="994"/>
      <c r="F92" s="994"/>
      <c r="G92" s="994"/>
      <c r="H92" s="994"/>
      <c r="I92" s="979"/>
      <c r="J92" s="92"/>
      <c r="K92" s="39"/>
      <c r="L92" s="85"/>
      <c r="M92" s="85"/>
      <c r="N92" s="981"/>
      <c r="O92" s="981"/>
      <c r="P92" s="85"/>
      <c r="Q92" s="85"/>
      <c r="R92" s="981"/>
      <c r="S92" s="981"/>
      <c r="T92" s="85"/>
      <c r="U92" s="85"/>
      <c r="V92" s="981"/>
      <c r="W92" s="982"/>
      <c r="X92" s="85"/>
      <c r="Y92" s="85"/>
      <c r="Z92" s="981"/>
      <c r="AA92" s="982"/>
      <c r="AB92" s="85"/>
      <c r="AC92" s="85"/>
      <c r="AD92" s="981"/>
      <c r="AE92" s="982"/>
      <c r="AF92" s="85"/>
      <c r="AG92" s="85"/>
      <c r="AH92" s="981"/>
      <c r="AI92" s="437"/>
      <c r="AJ92" s="85"/>
      <c r="AK92" s="85"/>
      <c r="AL92" s="981"/>
      <c r="AM92" s="940"/>
      <c r="AN92" s="1"/>
      <c r="AO92" s="1017" t="s">
        <v>502</v>
      </c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</row>
    <row r="93" ht="14.25" customHeight="1">
      <c r="A93" s="1"/>
      <c r="B93" s="438" t="str">
        <f>B38</f>
        <v/>
      </c>
      <c r="C93" s="438"/>
      <c r="D93" s="994"/>
      <c r="E93" s="994"/>
      <c r="F93" s="994"/>
      <c r="G93" s="994"/>
      <c r="H93" s="994"/>
      <c r="I93" s="39"/>
      <c r="J93" s="83"/>
      <c r="K93" s="39"/>
      <c r="L93" s="996"/>
      <c r="M93" s="20"/>
      <c r="N93" s="22"/>
      <c r="O93" s="39"/>
      <c r="P93" s="996"/>
      <c r="Q93" s="20"/>
      <c r="R93" s="22"/>
      <c r="S93" s="39"/>
      <c r="T93" s="996"/>
      <c r="U93" s="20"/>
      <c r="V93" s="22"/>
      <c r="W93" s="39"/>
      <c r="X93" s="996"/>
      <c r="Y93" s="20"/>
      <c r="Z93" s="22"/>
      <c r="AA93" s="39"/>
      <c r="AB93" s="996"/>
      <c r="AC93" s="20"/>
      <c r="AD93" s="22"/>
      <c r="AE93" s="39"/>
      <c r="AF93" s="996"/>
      <c r="AG93" s="20"/>
      <c r="AH93" s="22"/>
      <c r="AI93" s="437"/>
      <c r="AJ93" s="999">
        <f>SUM(J93:AH93)</f>
        <v>0</v>
      </c>
      <c r="AK93" s="35"/>
      <c r="AL93" s="21"/>
      <c r="AM93" s="940"/>
      <c r="AN93" s="1"/>
      <c r="AO93" s="1"/>
      <c r="AP93" s="85">
        <f>IF(SUM($J93:J93)&lt;SUM($J39:J39),SUM($J93:J93),SUM($J39:J39))</f>
        <v>0</v>
      </c>
      <c r="AQ93" s="1"/>
      <c r="AR93" s="85">
        <f>IF(SUM($J93:L93)&lt;SUM($J39:L39),SUM($J93:L93),SUM($J39:L39))-SUM($AP93:AQ93)</f>
        <v>0</v>
      </c>
      <c r="AS93" s="1"/>
      <c r="AT93" s="85">
        <f>IF(SUM($J93:P93)&lt;SUM($J39:P39),SUM($J93:P93),SUM($J39:P39))-SUM($AP93:AR93)</f>
        <v>0</v>
      </c>
      <c r="AU93" s="1"/>
      <c r="AV93" s="85">
        <f>IF(SUM($J93:T93)&lt;SUM($J39:T39),SUM($J93:T93),SUM($J39:T39))-SUM($AP93:AT93)</f>
        <v>0</v>
      </c>
      <c r="AW93" s="1"/>
      <c r="AX93" s="85">
        <f>IF(SUM($J93:X93)&lt;SUM($J39:X39),SUM($J93:X93),SUM($J39:X39))-SUM($AP93:AV93)</f>
        <v>0</v>
      </c>
      <c r="AY93" s="1"/>
      <c r="AZ93" s="85">
        <f>IF(SUM($J93:AB93)&lt;SUM($J39:AB39),SUM($J93:AB93),SUM($J39:AB39))-SUM($AP93:AX93)</f>
        <v>0</v>
      </c>
      <c r="BA93" s="1"/>
      <c r="BB93" s="85">
        <f>IF(SUM($J93:AF93)&lt;SUM($J39:AF39),SUM($J93:AF93),SUM($J39:AF39))-SUM($AP93:AZ93)</f>
        <v>0</v>
      </c>
      <c r="BC93" s="1"/>
      <c r="BD93" s="85">
        <f>SUM(AP93:BB93)</f>
        <v>0</v>
      </c>
      <c r="BE93" s="1"/>
      <c r="BF93" s="1"/>
    </row>
    <row r="94" ht="4.5" customHeight="1">
      <c r="A94" s="1"/>
      <c r="B94" s="203"/>
      <c r="C94" s="180"/>
      <c r="D94" s="994"/>
      <c r="E94" s="994"/>
      <c r="F94" s="994"/>
      <c r="G94" s="994"/>
      <c r="H94" s="994"/>
      <c r="I94" s="979"/>
      <c r="J94" s="92"/>
      <c r="K94" s="39"/>
      <c r="L94" s="85"/>
      <c r="M94" s="85"/>
      <c r="N94" s="981"/>
      <c r="O94" s="981"/>
      <c r="P94" s="85"/>
      <c r="Q94" s="85"/>
      <c r="R94" s="981"/>
      <c r="S94" s="981"/>
      <c r="T94" s="85"/>
      <c r="U94" s="85"/>
      <c r="V94" s="981"/>
      <c r="W94" s="982"/>
      <c r="X94" s="85"/>
      <c r="Y94" s="85"/>
      <c r="Z94" s="981"/>
      <c r="AA94" s="982"/>
      <c r="AB94" s="85"/>
      <c r="AC94" s="85"/>
      <c r="AD94" s="981"/>
      <c r="AE94" s="982"/>
      <c r="AF94" s="85"/>
      <c r="AG94" s="85"/>
      <c r="AH94" s="981"/>
      <c r="AI94" s="437"/>
      <c r="AJ94" s="85"/>
      <c r="AK94" s="85"/>
      <c r="AL94" s="981"/>
      <c r="AM94" s="940"/>
      <c r="AN94" s="1"/>
      <c r="AO94" s="1017" t="s">
        <v>502</v>
      </c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</row>
    <row r="95" ht="14.25" customHeight="1">
      <c r="A95" s="1"/>
      <c r="B95" s="438" t="str">
        <f>B40</f>
        <v/>
      </c>
      <c r="C95" s="438"/>
      <c r="D95" s="994"/>
      <c r="E95" s="994"/>
      <c r="F95" s="994"/>
      <c r="G95" s="994"/>
      <c r="H95" s="994"/>
      <c r="I95" s="39"/>
      <c r="J95" s="83"/>
      <c r="K95" s="39"/>
      <c r="L95" s="996"/>
      <c r="M95" s="20"/>
      <c r="N95" s="22"/>
      <c r="O95" s="39"/>
      <c r="P95" s="996"/>
      <c r="Q95" s="20"/>
      <c r="R95" s="22"/>
      <c r="S95" s="39"/>
      <c r="T95" s="996"/>
      <c r="U95" s="20"/>
      <c r="V95" s="22"/>
      <c r="W95" s="39"/>
      <c r="X95" s="996"/>
      <c r="Y95" s="20"/>
      <c r="Z95" s="22"/>
      <c r="AA95" s="39"/>
      <c r="AB95" s="996"/>
      <c r="AC95" s="20"/>
      <c r="AD95" s="22"/>
      <c r="AE95" s="39"/>
      <c r="AF95" s="996"/>
      <c r="AG95" s="20"/>
      <c r="AH95" s="22"/>
      <c r="AI95" s="437"/>
      <c r="AJ95" s="999">
        <f>SUM(J95:AH95)</f>
        <v>0</v>
      </c>
      <c r="AK95" s="35"/>
      <c r="AL95" s="21"/>
      <c r="AM95" s="940"/>
      <c r="AN95" s="1"/>
      <c r="AO95" s="1"/>
      <c r="AP95" s="85">
        <f>IF(SUM($J95:J95)&lt;SUM($J32:J32),SUM($J95:J95),SUM($J32:J32))</f>
        <v>0</v>
      </c>
      <c r="AQ95" s="1"/>
      <c r="AR95" s="85">
        <f>IF(SUM($J95:L95)&lt;SUM($J32:L32),SUM($J95:L95),SUM($J32:L32))-SUM($AP95:AQ95)</f>
        <v>0</v>
      </c>
      <c r="AS95" s="1"/>
      <c r="AT95" s="85">
        <f>IF(SUM($J95:P95)&lt;SUM($J32:P32),SUM($J95:P95),SUM($J32:P32))-SUM($AP95:AR95)</f>
        <v>0</v>
      </c>
      <c r="AU95" s="1"/>
      <c r="AV95" s="85">
        <f>IF(SUM($J95:T95)&lt;SUM($J32:T32),SUM($J95:T95),SUM($J32:T32))-SUM($AP95:AT95)</f>
        <v>0</v>
      </c>
      <c r="AW95" s="1"/>
      <c r="AX95" s="85">
        <f>IF(SUM($J95:X95)&lt;SUM($J32:X32),SUM($J95:X95),SUM($J32:X32))-SUM($AP95:AV95)</f>
        <v>0</v>
      </c>
      <c r="AY95" s="1"/>
      <c r="AZ95" s="85">
        <f>IF(SUM($J95:AB95)&lt;SUM($J32:AB32),SUM($J95:AB95),SUM($J32:AB32))-SUM($AP95:AX95)</f>
        <v>0</v>
      </c>
      <c r="BA95" s="1"/>
      <c r="BB95" s="85">
        <f>IF(SUM($J95:AF95)&lt;SUM($J32:AF32),SUM($J95:AF95),SUM($J32:AF32))-SUM($AP95:AZ95)</f>
        <v>0</v>
      </c>
      <c r="BC95" s="1"/>
      <c r="BD95" s="85">
        <f>SUM(AP95:BB95)</f>
        <v>0</v>
      </c>
      <c r="BE95" s="1"/>
      <c r="BF95" s="1"/>
    </row>
    <row r="96" ht="4.5" customHeight="1">
      <c r="A96" s="1"/>
      <c r="B96" s="203"/>
      <c r="C96" s="180"/>
      <c r="D96" s="994"/>
      <c r="E96" s="994"/>
      <c r="F96" s="994"/>
      <c r="G96" s="994"/>
      <c r="H96" s="994"/>
      <c r="I96" s="979"/>
      <c r="J96" s="92"/>
      <c r="K96" s="39"/>
      <c r="L96" s="85"/>
      <c r="M96" s="85"/>
      <c r="N96" s="981"/>
      <c r="O96" s="981"/>
      <c r="P96" s="85"/>
      <c r="Q96" s="85"/>
      <c r="R96" s="981"/>
      <c r="S96" s="981"/>
      <c r="T96" s="85"/>
      <c r="U96" s="85"/>
      <c r="V96" s="981"/>
      <c r="W96" s="982"/>
      <c r="X96" s="85"/>
      <c r="Y96" s="85"/>
      <c r="Z96" s="981"/>
      <c r="AA96" s="982"/>
      <c r="AB96" s="85"/>
      <c r="AC96" s="85"/>
      <c r="AD96" s="981"/>
      <c r="AE96" s="982"/>
      <c r="AF96" s="85"/>
      <c r="AG96" s="85"/>
      <c r="AH96" s="981"/>
      <c r="AI96" s="437"/>
      <c r="AJ96" s="85"/>
      <c r="AK96" s="85"/>
      <c r="AL96" s="981"/>
      <c r="AM96" s="940"/>
      <c r="AN96" s="1"/>
      <c r="AO96" s="1017" t="s">
        <v>502</v>
      </c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</row>
    <row r="97" ht="14.25" customHeight="1">
      <c r="A97" s="1"/>
      <c r="B97" s="438" t="str">
        <f>B42</f>
        <v/>
      </c>
      <c r="C97" s="438"/>
      <c r="D97" s="994"/>
      <c r="E97" s="994"/>
      <c r="F97" s="994"/>
      <c r="G97" s="994"/>
      <c r="H97" s="994"/>
      <c r="I97" s="39"/>
      <c r="J97" s="83"/>
      <c r="K97" s="39"/>
      <c r="L97" s="996"/>
      <c r="M97" s="20"/>
      <c r="N97" s="22"/>
      <c r="O97" s="39"/>
      <c r="P97" s="996"/>
      <c r="Q97" s="20"/>
      <c r="R97" s="22"/>
      <c r="S97" s="39"/>
      <c r="T97" s="996"/>
      <c r="U97" s="20"/>
      <c r="V97" s="22"/>
      <c r="W97" s="39"/>
      <c r="X97" s="996"/>
      <c r="Y97" s="20"/>
      <c r="Z97" s="22"/>
      <c r="AA97" s="39"/>
      <c r="AB97" s="996"/>
      <c r="AC97" s="20"/>
      <c r="AD97" s="22"/>
      <c r="AE97" s="39"/>
      <c r="AF97" s="996"/>
      <c r="AG97" s="20"/>
      <c r="AH97" s="22"/>
      <c r="AI97" s="437"/>
      <c r="AJ97" s="999">
        <f>SUM(J97:AH97)</f>
        <v>0</v>
      </c>
      <c r="AK97" s="35"/>
      <c r="AL97" s="21"/>
      <c r="AM97" s="940"/>
      <c r="AN97" s="1"/>
      <c r="AO97" s="1"/>
      <c r="AP97" s="85">
        <f>IF(SUM($J97:J97)&lt;SUM($J34:J34),SUM($J97:J97),SUM($J34:J34))</f>
        <v>0</v>
      </c>
      <c r="AQ97" s="1"/>
      <c r="AR97" s="85">
        <f>IF(SUM($J97:L97)&lt;SUM($J34:L34),SUM($J97:L97),SUM($J34:L34))-SUM($AP97:AQ97)</f>
        <v>0</v>
      </c>
      <c r="AS97" s="1"/>
      <c r="AT97" s="85">
        <f>IF(SUM($J97:P97)&lt;SUM($J34:P34),SUM($J97:P97),SUM($J34:P34))-SUM($AP97:AR97)</f>
        <v>0</v>
      </c>
      <c r="AU97" s="1"/>
      <c r="AV97" s="85">
        <f>IF(SUM($J97:T97)&lt;SUM($J34:T34),SUM($J97:T97),SUM($J34:T34))-SUM($AP97:AT97)</f>
        <v>0</v>
      </c>
      <c r="AW97" s="1"/>
      <c r="AX97" s="85">
        <f>IF(SUM($J97:X97)&lt;SUM($J34:X34),SUM($J97:X97),SUM($J34:X34))-SUM($AP97:AV97)</f>
        <v>0</v>
      </c>
      <c r="AY97" s="1"/>
      <c r="AZ97" s="85">
        <f>IF(SUM($J97:AB97)&lt;SUM($J34:AB34),SUM($J97:AB97),SUM($J34:AB34))-SUM($AP97:AX97)</f>
        <v>0</v>
      </c>
      <c r="BA97" s="1"/>
      <c r="BB97" s="85">
        <f>IF(SUM($J97:AF97)&lt;SUM($J34:AF34),SUM($J97:AF97),SUM($J34:AF34))-SUM($AP97:AZ97)</f>
        <v>0</v>
      </c>
      <c r="BC97" s="1"/>
      <c r="BD97" s="85">
        <f>SUM(AP97:BB97)</f>
        <v>0</v>
      </c>
      <c r="BE97" s="1"/>
      <c r="BF97" s="1"/>
    </row>
    <row r="98" ht="4.5" customHeight="1">
      <c r="A98" s="1"/>
      <c r="B98" s="203"/>
      <c r="C98" s="180"/>
      <c r="D98" s="994"/>
      <c r="E98" s="994"/>
      <c r="F98" s="994"/>
      <c r="G98" s="994"/>
      <c r="H98" s="994"/>
      <c r="I98" s="979"/>
      <c r="J98" s="92"/>
      <c r="K98" s="39"/>
      <c r="L98" s="85"/>
      <c r="M98" s="85"/>
      <c r="N98" s="981"/>
      <c r="O98" s="981"/>
      <c r="P98" s="85"/>
      <c r="Q98" s="85"/>
      <c r="R98" s="981"/>
      <c r="S98" s="981"/>
      <c r="T98" s="85"/>
      <c r="U98" s="85"/>
      <c r="V98" s="981"/>
      <c r="W98" s="982"/>
      <c r="X98" s="85"/>
      <c r="Y98" s="85"/>
      <c r="Z98" s="981"/>
      <c r="AA98" s="982"/>
      <c r="AB98" s="85"/>
      <c r="AC98" s="85"/>
      <c r="AD98" s="981"/>
      <c r="AE98" s="982"/>
      <c r="AF98" s="85"/>
      <c r="AG98" s="85"/>
      <c r="AH98" s="981"/>
      <c r="AI98" s="437"/>
      <c r="AJ98" s="85"/>
      <c r="AK98" s="85"/>
      <c r="AL98" s="981"/>
      <c r="AM98" s="940"/>
      <c r="AN98" s="1"/>
      <c r="AO98" s="1017" t="s">
        <v>502</v>
      </c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</row>
    <row r="99" ht="14.25" customHeight="1">
      <c r="A99" s="1"/>
      <c r="B99" s="438" t="str">
        <f>B44</f>
        <v/>
      </c>
      <c r="C99" s="438"/>
      <c r="D99" s="994"/>
      <c r="E99" s="994"/>
      <c r="F99" s="994"/>
      <c r="G99" s="994"/>
      <c r="H99" s="994"/>
      <c r="I99" s="39"/>
      <c r="J99" s="83"/>
      <c r="K99" s="39"/>
      <c r="L99" s="996"/>
      <c r="M99" s="20"/>
      <c r="N99" s="22"/>
      <c r="O99" s="39"/>
      <c r="P99" s="996"/>
      <c r="Q99" s="20"/>
      <c r="R99" s="22"/>
      <c r="S99" s="39"/>
      <c r="T99" s="996"/>
      <c r="U99" s="20"/>
      <c r="V99" s="22"/>
      <c r="W99" s="39"/>
      <c r="X99" s="996"/>
      <c r="Y99" s="20"/>
      <c r="Z99" s="22"/>
      <c r="AA99" s="39"/>
      <c r="AB99" s="996"/>
      <c r="AC99" s="20"/>
      <c r="AD99" s="22"/>
      <c r="AE99" s="39"/>
      <c r="AF99" s="996"/>
      <c r="AG99" s="20"/>
      <c r="AH99" s="22"/>
      <c r="AI99" s="437"/>
      <c r="AJ99" s="999">
        <f t="shared" ref="AJ99:AJ100" si="1">SUM(J99:AH99)</f>
        <v>0</v>
      </c>
      <c r="AK99" s="35"/>
      <c r="AL99" s="21"/>
      <c r="AM99" s="940"/>
      <c r="AN99" s="1"/>
      <c r="AO99" s="1"/>
      <c r="AP99" s="85">
        <f>IF(SUM($J99:J99)&lt;SUM($J44:J44),SUM($J99:J99),SUM($J44:J44))</f>
        <v>0</v>
      </c>
      <c r="AQ99" s="1"/>
      <c r="AR99" s="85">
        <f>IF(SUM($J99:L99)&lt;SUM($J44:L44),SUM($J99:L99),SUM($J44:L44))-SUM($AP99:AQ99)</f>
        <v>0</v>
      </c>
      <c r="AS99" s="1"/>
      <c r="AT99" s="85">
        <f>IF(SUM($J99:P99)&lt;SUM($J44:P44),SUM($J99:P99),SUM($J44:P44))-SUM($AP99:AR99)</f>
        <v>0</v>
      </c>
      <c r="AU99" s="1"/>
      <c r="AV99" s="85">
        <f>IF(SUM($J99:T99)&lt;SUM($J44:T44),SUM($J99:T99),SUM($J44:T44))-SUM($AP99:AT99)</f>
        <v>0</v>
      </c>
      <c r="AW99" s="1"/>
      <c r="AX99" s="85">
        <f>IF(SUM($J99:X99)&lt;SUM($J44:X44),SUM($J99:X99),SUM($J44:X44))-SUM($AP99:AV99)</f>
        <v>0</v>
      </c>
      <c r="AY99" s="1"/>
      <c r="AZ99" s="85">
        <f>IF(SUM($J99:AB99)&lt;SUM($J44:AB44),SUM($J99:AB99),SUM($J44:AB44))-SUM($AP99:AX99)</f>
        <v>0</v>
      </c>
      <c r="BA99" s="1"/>
      <c r="BB99" s="85">
        <f>IF(SUM($J99:AF99)&lt;SUM($J44:AF44),SUM($J99:AF99),SUM($J44:AF44))-SUM($AP99:AZ99)</f>
        <v>0</v>
      </c>
      <c r="BC99" s="1"/>
      <c r="BD99" s="85">
        <f>SUM(AP99:BB99)</f>
        <v>0</v>
      </c>
      <c r="BE99" s="1"/>
      <c r="BF99" s="1"/>
    </row>
    <row r="100" ht="24.0" customHeight="1">
      <c r="A100" s="1"/>
      <c r="B100" s="438" t="s">
        <v>574</v>
      </c>
      <c r="C100" s="438"/>
      <c r="D100" s="994"/>
      <c r="E100" s="994"/>
      <c r="F100" s="994"/>
      <c r="G100" s="994"/>
      <c r="H100" s="994"/>
      <c r="I100" s="511"/>
      <c r="J100" s="1082"/>
      <c r="K100" s="178"/>
      <c r="L100" s="1003">
        <f>'M Non student'!F48</f>
        <v>1700000</v>
      </c>
      <c r="M100" s="35"/>
      <c r="N100" s="21"/>
      <c r="O100" s="1084"/>
      <c r="P100" s="1003">
        <f>'M Non student'!H48</f>
        <v>2200000</v>
      </c>
      <c r="Q100" s="35"/>
      <c r="R100" s="21"/>
      <c r="S100" s="1084"/>
      <c r="T100" s="1003">
        <f>'M Non student'!J48</f>
        <v>4000000</v>
      </c>
      <c r="U100" s="35"/>
      <c r="V100" s="21"/>
      <c r="W100" s="1084"/>
      <c r="X100" s="1003">
        <f>'M Non student'!L48</f>
        <v>3000000</v>
      </c>
      <c r="Y100" s="35"/>
      <c r="Z100" s="21"/>
      <c r="AA100" s="1084"/>
      <c r="AB100" s="1003">
        <f>'M Non student'!N48</f>
        <v>3500000</v>
      </c>
      <c r="AC100" s="35"/>
      <c r="AD100" s="21"/>
      <c r="AE100" s="1084"/>
      <c r="AF100" s="1003">
        <f>'M Non student'!P48</f>
        <v>1000000</v>
      </c>
      <c r="AG100" s="35"/>
      <c r="AH100" s="21"/>
      <c r="AI100" s="1085"/>
      <c r="AJ100" s="1087">
        <f t="shared" si="1"/>
        <v>15400000</v>
      </c>
      <c r="AK100" s="35"/>
      <c r="AL100" s="21"/>
      <c r="AM100" s="940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</row>
    <row r="101" ht="28.5" customHeight="1">
      <c r="A101" s="1"/>
      <c r="B101" s="180" t="s">
        <v>580</v>
      </c>
      <c r="C101" s="180"/>
      <c r="D101" s="178"/>
      <c r="E101" s="1088"/>
      <c r="F101" s="1088"/>
      <c r="G101" s="1088"/>
      <c r="H101" s="1088"/>
      <c r="I101" s="178"/>
      <c r="J101" s="1089">
        <f>SUM(J65:J99)</f>
        <v>2034772</v>
      </c>
      <c r="K101" s="595"/>
      <c r="L101" s="1090">
        <f>SUM(L65:L100)</f>
        <v>3600000</v>
      </c>
      <c r="M101" s="962"/>
      <c r="N101" s="1091"/>
      <c r="O101" s="595"/>
      <c r="P101" s="1090">
        <f>SUM(P65:P100)</f>
        <v>5400000</v>
      </c>
      <c r="Q101" s="962"/>
      <c r="R101" s="1091"/>
      <c r="S101" s="595"/>
      <c r="T101" s="1090">
        <f>SUM(T65:T100)</f>
        <v>5300000</v>
      </c>
      <c r="U101" s="962"/>
      <c r="V101" s="1091"/>
      <c r="W101" s="595"/>
      <c r="X101" s="1090">
        <f>SUM(X65:X100)</f>
        <v>3000000</v>
      </c>
      <c r="Y101" s="962"/>
      <c r="Z101" s="1091"/>
      <c r="AA101" s="595"/>
      <c r="AB101" s="1090">
        <f>SUM(AB65:AB100)</f>
        <v>3500000</v>
      </c>
      <c r="AC101" s="962"/>
      <c r="AD101" s="1091"/>
      <c r="AE101" s="1092"/>
      <c r="AF101" s="1090">
        <f>SUM(AF65:AF100)</f>
        <v>1000000</v>
      </c>
      <c r="AG101" s="962"/>
      <c r="AH101" s="1091"/>
      <c r="AI101" s="1085"/>
      <c r="AJ101" s="1090">
        <f>SUM(AJ65:AJ100)</f>
        <v>23834772</v>
      </c>
      <c r="AK101" s="962"/>
      <c r="AL101" s="1091"/>
      <c r="AM101" s="940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</row>
    <row r="102" ht="39.0" customHeight="1">
      <c r="A102" s="1"/>
      <c r="B102" s="1"/>
      <c r="C102" s="1095"/>
      <c r="D102" s="39"/>
      <c r="E102" s="994"/>
      <c r="F102" s="994"/>
      <c r="G102" s="994"/>
      <c r="H102" s="994"/>
      <c r="I102" s="39"/>
      <c r="J102" s="1096"/>
      <c r="K102" s="1096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1097">
        <f>AD2</f>
        <v>46307</v>
      </c>
      <c r="AE102" s="35"/>
      <c r="AF102" s="21"/>
      <c r="AG102" s="39"/>
      <c r="AH102" s="39"/>
      <c r="AI102" s="437"/>
      <c r="AJ102" s="39"/>
      <c r="AK102" s="39"/>
      <c r="AL102" s="39"/>
      <c r="AM102" s="940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</row>
    <row r="103" ht="17.25" customHeight="1">
      <c r="A103" s="1"/>
      <c r="B103" s="180" t="s">
        <v>586</v>
      </c>
      <c r="C103" s="180"/>
      <c r="D103" s="39"/>
      <c r="E103" s="994"/>
      <c r="F103" s="994"/>
      <c r="G103" s="994"/>
      <c r="H103" s="994"/>
      <c r="I103" s="39"/>
      <c r="J103" s="39"/>
      <c r="K103" s="39"/>
      <c r="L103" s="975" t="str">
        <f>'F Population'!P$6</f>
        <v>2026 - 27</v>
      </c>
      <c r="M103" s="243"/>
      <c r="N103" s="244"/>
      <c r="O103" s="39"/>
      <c r="P103" s="975" t="str">
        <f>'F Population'!U$6</f>
        <v>2027 - 28</v>
      </c>
      <c r="Q103" s="243"/>
      <c r="R103" s="244"/>
      <c r="S103" s="39"/>
      <c r="T103" s="975" t="str">
        <f>'F Population'!W$6</f>
        <v>2028 - 29</v>
      </c>
      <c r="U103" s="243"/>
      <c r="V103" s="244"/>
      <c r="W103" s="39"/>
      <c r="X103" s="975" t="str">
        <f>'F Population'!Y$6</f>
        <v>2029 - 30</v>
      </c>
      <c r="Y103" s="243"/>
      <c r="Z103" s="244"/>
      <c r="AA103" s="39"/>
      <c r="AB103" s="975" t="str">
        <f>'F Population'!AA$6</f>
        <v>2030 - 31</v>
      </c>
      <c r="AC103" s="243"/>
      <c r="AD103" s="244"/>
      <c r="AE103" s="39"/>
      <c r="AF103" s="975" t="str">
        <f>'F Population'!AC$6</f>
        <v>2031 - 32</v>
      </c>
      <c r="AG103" s="243"/>
      <c r="AH103" s="244"/>
      <c r="AI103" s="437"/>
      <c r="AJ103" s="976" t="s">
        <v>126</v>
      </c>
      <c r="AK103" s="35"/>
      <c r="AL103" s="21"/>
      <c r="AM103" s="940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</row>
    <row r="104" ht="4.5" customHeight="1">
      <c r="A104" s="1"/>
      <c r="B104" s="1"/>
      <c r="C104" s="1"/>
      <c r="D104" s="39"/>
      <c r="E104" s="994"/>
      <c r="F104" s="994"/>
      <c r="G104" s="994"/>
      <c r="H104" s="994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437"/>
      <c r="T104" s="39"/>
      <c r="U104" s="39"/>
      <c r="V104" s="39"/>
      <c r="W104" s="437"/>
      <c r="X104" s="39"/>
      <c r="Y104" s="39"/>
      <c r="Z104" s="39"/>
      <c r="AA104" s="940"/>
      <c r="AB104" s="39"/>
      <c r="AC104" s="39"/>
      <c r="AD104" s="39"/>
      <c r="AE104" s="940"/>
      <c r="AF104" s="39"/>
      <c r="AG104" s="39"/>
      <c r="AH104" s="39"/>
      <c r="AI104" s="437"/>
      <c r="AJ104" s="39"/>
      <c r="AK104" s="39"/>
      <c r="AL104" s="39"/>
      <c r="AM104" s="940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</row>
    <row r="105" ht="14.25" customHeight="1">
      <c r="A105" s="1"/>
      <c r="B105" s="438" t="str">
        <f>B10</f>
        <v>New Student Center</v>
      </c>
      <c r="C105" s="438"/>
      <c r="D105" s="39"/>
      <c r="E105" s="994"/>
      <c r="F105" s="994"/>
      <c r="G105" s="994"/>
      <c r="H105" s="994"/>
      <c r="I105" s="39"/>
      <c r="J105" s="828" t="s">
        <v>594</v>
      </c>
      <c r="K105" s="39"/>
      <c r="L105" s="996">
        <v>3500000.0</v>
      </c>
      <c r="M105" s="20"/>
      <c r="N105" s="22"/>
      <c r="O105" s="437"/>
      <c r="P105" s="996"/>
      <c r="Q105" s="20"/>
      <c r="R105" s="22"/>
      <c r="S105" s="437"/>
      <c r="T105" s="996"/>
      <c r="U105" s="20"/>
      <c r="V105" s="22"/>
      <c r="W105" s="940"/>
      <c r="X105" s="996"/>
      <c r="Y105" s="20"/>
      <c r="Z105" s="22"/>
      <c r="AA105" s="940"/>
      <c r="AB105" s="996"/>
      <c r="AC105" s="20"/>
      <c r="AD105" s="22"/>
      <c r="AE105" s="940"/>
      <c r="AF105" s="996"/>
      <c r="AG105" s="20"/>
      <c r="AH105" s="22"/>
      <c r="AI105" s="437"/>
      <c r="AJ105" s="999">
        <f>SUM(J105:AH105)</f>
        <v>3500000</v>
      </c>
      <c r="AK105" s="35"/>
      <c r="AL105" s="21"/>
      <c r="AM105" s="940"/>
      <c r="AN105" s="1"/>
      <c r="AO105" s="1"/>
      <c r="AP105" s="1"/>
      <c r="AQ105" s="1"/>
      <c r="AR105" s="85">
        <f>IF(SUM($L205:L205)&gt;0,SUM($AP65:AR65)-SUM($AQ105:AQ105),0)</f>
        <v>2067445</v>
      </c>
      <c r="AS105" s="1"/>
      <c r="AT105" s="85">
        <f>IF(SUM($L205:P205)&gt;0,SUM($AP65:AT65)-SUM($AQ105:AS105),0)</f>
        <v>2200000</v>
      </c>
      <c r="AU105" s="1"/>
      <c r="AV105" s="85">
        <f>IF(SUM($L205:T205)&gt;0,SUM($AP65:AV65)-SUM($AQ105:AU105),0)</f>
        <v>800000</v>
      </c>
      <c r="AW105" s="1"/>
      <c r="AX105" s="85">
        <f>IF(SUM($L205:X205)&gt;0,SUM($AP65:AX65)-SUM($AQ105:AW105),0)</f>
        <v>0</v>
      </c>
      <c r="AY105" s="1"/>
      <c r="AZ105" s="85">
        <f>IF(SUM($L205:AB205)&gt;0,SUM($AP65:AZ65)-SUM($AQ105:AY105),0)</f>
        <v>0</v>
      </c>
      <c r="BA105" s="1"/>
      <c r="BB105" s="85">
        <f>IF(SUM($L205:AF205)&gt;0,SUM($AP65:BB65)-SUM($AQ105:BA105),0)</f>
        <v>0</v>
      </c>
      <c r="BC105" s="1"/>
      <c r="BD105" s="1"/>
      <c r="BE105" s="1"/>
      <c r="BF105" s="1"/>
    </row>
    <row r="106" ht="4.5" customHeight="1">
      <c r="A106" s="1"/>
      <c r="B106" s="203"/>
      <c r="C106" s="180"/>
      <c r="D106" s="39"/>
      <c r="E106" s="994"/>
      <c r="F106" s="994"/>
      <c r="G106" s="994"/>
      <c r="H106" s="994"/>
      <c r="I106" s="979"/>
      <c r="J106" s="469"/>
      <c r="K106" s="39"/>
      <c r="L106" s="85"/>
      <c r="M106" s="85"/>
      <c r="N106" s="981"/>
      <c r="O106" s="981"/>
      <c r="P106" s="85"/>
      <c r="Q106" s="85"/>
      <c r="R106" s="981"/>
      <c r="S106" s="981"/>
      <c r="T106" s="85"/>
      <c r="U106" s="85"/>
      <c r="V106" s="981"/>
      <c r="W106" s="982"/>
      <c r="X106" s="85"/>
      <c r="Y106" s="85"/>
      <c r="Z106" s="981"/>
      <c r="AA106" s="982"/>
      <c r="AB106" s="85"/>
      <c r="AC106" s="85"/>
      <c r="AD106" s="981"/>
      <c r="AE106" s="982"/>
      <c r="AF106" s="85"/>
      <c r="AG106" s="85"/>
      <c r="AH106" s="981"/>
      <c r="AI106" s="437"/>
      <c r="AJ106" s="85"/>
      <c r="AK106" s="85"/>
      <c r="AL106" s="981"/>
      <c r="AM106" s="940"/>
      <c r="AN106" s="1"/>
      <c r="AO106" s="1017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</row>
    <row r="107" ht="14.25" customHeight="1">
      <c r="A107" s="1"/>
      <c r="B107" s="438" t="str">
        <f>B12</f>
        <v>Field House</v>
      </c>
      <c r="C107" s="438"/>
      <c r="D107" s="39"/>
      <c r="E107" s="994"/>
      <c r="F107" s="994"/>
      <c r="G107" s="994"/>
      <c r="H107" s="994"/>
      <c r="I107" s="39"/>
      <c r="J107" s="828" t="s">
        <v>594</v>
      </c>
      <c r="K107" s="39"/>
      <c r="L107" s="996">
        <v>3500000.0</v>
      </c>
      <c r="M107" s="20"/>
      <c r="N107" s="22"/>
      <c r="O107" s="437"/>
      <c r="P107" s="996"/>
      <c r="Q107" s="20"/>
      <c r="R107" s="22"/>
      <c r="S107" s="437"/>
      <c r="T107" s="996"/>
      <c r="U107" s="20"/>
      <c r="V107" s="22"/>
      <c r="W107" s="940"/>
      <c r="X107" s="996"/>
      <c r="Y107" s="20"/>
      <c r="Z107" s="22"/>
      <c r="AA107" s="940"/>
      <c r="AB107" s="996"/>
      <c r="AC107" s="20"/>
      <c r="AD107" s="22"/>
      <c r="AE107" s="940"/>
      <c r="AF107" s="996"/>
      <c r="AG107" s="20"/>
      <c r="AH107" s="22"/>
      <c r="AI107" s="437"/>
      <c r="AJ107" s="999">
        <f>SUM(J107:AH107)</f>
        <v>3500000</v>
      </c>
      <c r="AK107" s="35"/>
      <c r="AL107" s="21"/>
      <c r="AM107" s="940"/>
      <c r="AN107" s="1"/>
      <c r="AO107" s="1"/>
      <c r="AP107" s="1"/>
      <c r="AQ107" s="1"/>
      <c r="AR107" s="85">
        <f>IF(SUM($L207:L207)&gt;0,SUM($AP67:AR67)-SUM($AQ107:AQ107),0)</f>
        <v>1867327</v>
      </c>
      <c r="AS107" s="1"/>
      <c r="AT107" s="85">
        <f>IF(SUM($L207:P207)&gt;0,SUM($AP67:AT67)-SUM($AQ107:AS107),0)</f>
        <v>1000000</v>
      </c>
      <c r="AU107" s="1"/>
      <c r="AV107" s="85">
        <f>IF(SUM($L207:T207)&gt;0,SUM($AP67:AV67)-SUM($AQ107:AU107),0)</f>
        <v>500000</v>
      </c>
      <c r="AW107" s="1"/>
      <c r="AX107" s="85">
        <f>IF(SUM($L207:X207)&gt;0,SUM($AP67:AX67)-SUM($AQ107:AW107),0)</f>
        <v>0</v>
      </c>
      <c r="AY107" s="1"/>
      <c r="AZ107" s="85">
        <f>IF(SUM($L207:AB207)&gt;0,SUM($AP67:AZ67)-SUM($AQ107:AY107),0)</f>
        <v>0</v>
      </c>
      <c r="BA107" s="1"/>
      <c r="BB107" s="85">
        <f>IF(SUM($L207:AF207)&gt;0,SUM($AP67:BB67)-SUM($AQ107:BA107),0)</f>
        <v>0</v>
      </c>
      <c r="BC107" s="1"/>
      <c r="BD107" s="1"/>
      <c r="BE107" s="1"/>
      <c r="BF107" s="1"/>
    </row>
    <row r="108" ht="4.5" customHeight="1">
      <c r="A108" s="1"/>
      <c r="B108" s="203"/>
      <c r="C108" s="180"/>
      <c r="D108" s="39"/>
      <c r="E108" s="994"/>
      <c r="F108" s="994"/>
      <c r="G108" s="994"/>
      <c r="H108" s="994"/>
      <c r="I108" s="979"/>
      <c r="J108" s="469"/>
      <c r="K108" s="39"/>
      <c r="L108" s="85"/>
      <c r="M108" s="85"/>
      <c r="N108" s="981"/>
      <c r="O108" s="981"/>
      <c r="P108" s="85"/>
      <c r="Q108" s="85"/>
      <c r="R108" s="981"/>
      <c r="S108" s="981"/>
      <c r="T108" s="85"/>
      <c r="U108" s="85"/>
      <c r="V108" s="981"/>
      <c r="W108" s="982"/>
      <c r="X108" s="85"/>
      <c r="Y108" s="85"/>
      <c r="Z108" s="981"/>
      <c r="AA108" s="982"/>
      <c r="AB108" s="85"/>
      <c r="AC108" s="85"/>
      <c r="AD108" s="981"/>
      <c r="AE108" s="982"/>
      <c r="AF108" s="85"/>
      <c r="AG108" s="85"/>
      <c r="AH108" s="981"/>
      <c r="AI108" s="437"/>
      <c r="AJ108" s="85"/>
      <c r="AK108" s="85"/>
      <c r="AL108" s="981"/>
      <c r="AM108" s="940"/>
      <c r="AN108" s="1"/>
      <c r="AO108" s="1017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</row>
    <row r="109" ht="14.25" customHeight="1">
      <c r="A109" s="1"/>
      <c r="B109" s="438" t="str">
        <f>B14</f>
        <v/>
      </c>
      <c r="C109" s="438"/>
      <c r="D109" s="39"/>
      <c r="E109" s="994"/>
      <c r="F109" s="994"/>
      <c r="G109" s="994"/>
      <c r="H109" s="994"/>
      <c r="I109" s="39"/>
      <c r="J109" s="828" t="s">
        <v>594</v>
      </c>
      <c r="K109" s="39"/>
      <c r="L109" s="996"/>
      <c r="M109" s="20"/>
      <c r="N109" s="22"/>
      <c r="O109" s="437"/>
      <c r="P109" s="996"/>
      <c r="Q109" s="20"/>
      <c r="R109" s="22"/>
      <c r="S109" s="437"/>
      <c r="T109" s="996"/>
      <c r="U109" s="20"/>
      <c r="V109" s="22"/>
      <c r="W109" s="940"/>
      <c r="X109" s="996"/>
      <c r="Y109" s="20"/>
      <c r="Z109" s="22"/>
      <c r="AA109" s="940"/>
      <c r="AB109" s="996"/>
      <c r="AC109" s="20"/>
      <c r="AD109" s="22"/>
      <c r="AE109" s="940"/>
      <c r="AF109" s="996"/>
      <c r="AG109" s="20"/>
      <c r="AH109" s="22"/>
      <c r="AI109" s="437"/>
      <c r="AJ109" s="999">
        <f>SUM(J109:AH109)</f>
        <v>0</v>
      </c>
      <c r="AK109" s="35"/>
      <c r="AL109" s="21"/>
      <c r="AM109" s="940"/>
      <c r="AN109" s="1"/>
      <c r="AO109" s="1"/>
      <c r="AP109" s="1"/>
      <c r="AQ109" s="1"/>
      <c r="AR109" s="1">
        <f>IF(SUM($L209:L209)&gt;0,SUM($AP69:AR69)-SUM($AQ109:AQ109),0)</f>
        <v>0</v>
      </c>
      <c r="AS109" s="1"/>
      <c r="AT109" s="1">
        <f>IF(SUM($L209:P209)&gt;0,SUM($AP69:AT69)-SUM($AQ109:AS109),0)</f>
        <v>0</v>
      </c>
      <c r="AU109" s="1"/>
      <c r="AV109" s="1">
        <f>IF(SUM($L209:T209)&gt;0,SUM($AP69:AV69)-SUM($AQ109:AU109),0)</f>
        <v>0</v>
      </c>
      <c r="AW109" s="1"/>
      <c r="AX109" s="1">
        <f>IF(SUM($L209:X209)&gt;0,SUM($AP69:AX69)-SUM($AQ109:AW109),0)</f>
        <v>0</v>
      </c>
      <c r="AY109" s="1"/>
      <c r="AZ109" s="1">
        <f>IF(SUM($L209:AB209)&gt;0,SUM($AP69:AZ69)-SUM($AQ109:AY109),0)</f>
        <v>0</v>
      </c>
      <c r="BA109" s="1"/>
      <c r="BB109" s="1">
        <f>IF(SUM($L209:AF209)&gt;0,SUM($AP69:BB69)-SUM($AQ109:BA109),0)</f>
        <v>0</v>
      </c>
      <c r="BC109" s="1"/>
      <c r="BD109" s="1"/>
      <c r="BE109" s="1"/>
      <c r="BF109" s="1"/>
    </row>
    <row r="110" ht="4.5" customHeight="1">
      <c r="A110" s="1"/>
      <c r="B110" s="203"/>
      <c r="C110" s="180"/>
      <c r="D110" s="39"/>
      <c r="E110" s="994"/>
      <c r="F110" s="994"/>
      <c r="G110" s="994"/>
      <c r="H110" s="994"/>
      <c r="I110" s="979"/>
      <c r="J110" s="469"/>
      <c r="K110" s="39"/>
      <c r="L110" s="85"/>
      <c r="M110" s="85"/>
      <c r="N110" s="981"/>
      <c r="O110" s="981"/>
      <c r="P110" s="85"/>
      <c r="Q110" s="85"/>
      <c r="R110" s="981"/>
      <c r="S110" s="981"/>
      <c r="T110" s="85"/>
      <c r="U110" s="85"/>
      <c r="V110" s="981"/>
      <c r="W110" s="982"/>
      <c r="X110" s="85"/>
      <c r="Y110" s="85"/>
      <c r="Z110" s="981"/>
      <c r="AA110" s="982"/>
      <c r="AB110" s="85"/>
      <c r="AC110" s="85"/>
      <c r="AD110" s="981"/>
      <c r="AE110" s="982"/>
      <c r="AF110" s="85"/>
      <c r="AG110" s="85"/>
      <c r="AH110" s="981"/>
      <c r="AI110" s="437"/>
      <c r="AJ110" s="85"/>
      <c r="AK110" s="85"/>
      <c r="AL110" s="981"/>
      <c r="AM110" s="940"/>
      <c r="AN110" s="1"/>
      <c r="AO110" s="1017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</row>
    <row r="111" ht="14.25" customHeight="1">
      <c r="A111" s="1"/>
      <c r="B111" s="438" t="str">
        <f>B16</f>
        <v/>
      </c>
      <c r="C111" s="438"/>
      <c r="D111" s="39"/>
      <c r="E111" s="994"/>
      <c r="F111" s="994"/>
      <c r="G111" s="994"/>
      <c r="H111" s="994"/>
      <c r="I111" s="39"/>
      <c r="J111" s="828" t="s">
        <v>594</v>
      </c>
      <c r="K111" s="1114"/>
      <c r="L111" s="996"/>
      <c r="M111" s="20"/>
      <c r="N111" s="22"/>
      <c r="O111" s="997"/>
      <c r="P111" s="996"/>
      <c r="Q111" s="20"/>
      <c r="R111" s="22"/>
      <c r="S111" s="997"/>
      <c r="T111" s="996"/>
      <c r="U111" s="20"/>
      <c r="V111" s="22"/>
      <c r="W111" s="998"/>
      <c r="X111" s="996"/>
      <c r="Y111" s="20"/>
      <c r="Z111" s="22"/>
      <c r="AA111" s="998"/>
      <c r="AB111" s="996"/>
      <c r="AC111" s="20"/>
      <c r="AD111" s="22"/>
      <c r="AE111" s="998"/>
      <c r="AF111" s="996"/>
      <c r="AG111" s="20"/>
      <c r="AH111" s="22"/>
      <c r="AI111" s="437"/>
      <c r="AJ111" s="999">
        <f>SUM(J111:AH111)</f>
        <v>0</v>
      </c>
      <c r="AK111" s="35"/>
      <c r="AL111" s="21"/>
      <c r="AM111" s="940"/>
      <c r="AN111" s="1"/>
      <c r="AO111" s="1"/>
      <c r="AP111" s="1"/>
      <c r="AQ111" s="1"/>
      <c r="AR111" s="1">
        <f>IF(SUM($L219:L219)&gt;0,SUM($AP71:AR71)-SUM($AQ111:AQ111),0)</f>
        <v>0</v>
      </c>
      <c r="AS111" s="1"/>
      <c r="AT111" s="1">
        <f>IF(SUM($L219:P219)&gt;0,SUM($AP71:AT71)-SUM($AQ111:AS111),0)</f>
        <v>0</v>
      </c>
      <c r="AU111" s="1"/>
      <c r="AV111" s="1">
        <f>IF(SUM($L219:T219)&gt;0,SUM($AP71:AV71)-SUM($AQ111:AU111),0)</f>
        <v>0</v>
      </c>
      <c r="AW111" s="1"/>
      <c r="AX111" s="1">
        <f>IF(SUM($L219:X219)&gt;0,SUM($AP71:AX71)-SUM($AQ111:AW111),0)</f>
        <v>0</v>
      </c>
      <c r="AY111" s="1"/>
      <c r="AZ111" s="1">
        <f>IF(SUM($L219:AB219)&gt;0,SUM($AP71:AZ71)-SUM($AQ111:AY111),0)</f>
        <v>0</v>
      </c>
      <c r="BA111" s="1"/>
      <c r="BB111" s="1">
        <f>IF(SUM($L219:AF219)&gt;0,SUM($AP71:BB71)-SUM($AQ111:BA111),0)</f>
        <v>0</v>
      </c>
      <c r="BC111" s="1"/>
      <c r="BD111" s="1"/>
      <c r="BE111" s="1"/>
      <c r="BF111" s="1"/>
    </row>
    <row r="112" ht="4.5" customHeight="1">
      <c r="A112" s="1"/>
      <c r="B112" s="203"/>
      <c r="C112" s="180"/>
      <c r="D112" s="39"/>
      <c r="E112" s="994"/>
      <c r="F112" s="994"/>
      <c r="G112" s="994"/>
      <c r="H112" s="994"/>
      <c r="I112" s="979"/>
      <c r="J112" s="828"/>
      <c r="K112" s="39"/>
      <c r="L112" s="85"/>
      <c r="M112" s="85"/>
      <c r="N112" s="981"/>
      <c r="O112" s="981"/>
      <c r="P112" s="85"/>
      <c r="Q112" s="85"/>
      <c r="R112" s="981"/>
      <c r="S112" s="981"/>
      <c r="T112" s="85"/>
      <c r="U112" s="85"/>
      <c r="V112" s="981"/>
      <c r="W112" s="982"/>
      <c r="X112" s="85"/>
      <c r="Y112" s="85"/>
      <c r="Z112" s="981"/>
      <c r="AA112" s="982"/>
      <c r="AB112" s="85"/>
      <c r="AC112" s="85"/>
      <c r="AD112" s="981"/>
      <c r="AE112" s="982"/>
      <c r="AF112" s="85"/>
      <c r="AG112" s="85"/>
      <c r="AH112" s="981"/>
      <c r="AI112" s="437"/>
      <c r="AJ112" s="85"/>
      <c r="AK112" s="85"/>
      <c r="AL112" s="981"/>
      <c r="AM112" s="940"/>
      <c r="AN112" s="1"/>
      <c r="AO112" s="1017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</row>
    <row r="113" ht="14.25" customHeight="1">
      <c r="A113" s="1"/>
      <c r="B113" s="438" t="str">
        <f>B18</f>
        <v/>
      </c>
      <c r="C113" s="438"/>
      <c r="D113" s="39"/>
      <c r="E113" s="994"/>
      <c r="F113" s="994"/>
      <c r="G113" s="994"/>
      <c r="H113" s="994"/>
      <c r="I113" s="39"/>
      <c r="J113" s="828" t="s">
        <v>594</v>
      </c>
      <c r="K113" s="1114"/>
      <c r="L113" s="996"/>
      <c r="M113" s="20"/>
      <c r="N113" s="22"/>
      <c r="O113" s="437"/>
      <c r="P113" s="996"/>
      <c r="Q113" s="20"/>
      <c r="R113" s="22"/>
      <c r="S113" s="437"/>
      <c r="T113" s="996"/>
      <c r="U113" s="20"/>
      <c r="V113" s="22"/>
      <c r="W113" s="940"/>
      <c r="X113" s="996"/>
      <c r="Y113" s="20"/>
      <c r="Z113" s="22"/>
      <c r="AA113" s="940"/>
      <c r="AB113" s="996"/>
      <c r="AC113" s="20"/>
      <c r="AD113" s="22"/>
      <c r="AE113" s="940"/>
      <c r="AF113" s="996"/>
      <c r="AG113" s="20"/>
      <c r="AH113" s="22"/>
      <c r="AI113" s="437"/>
      <c r="AJ113" s="999">
        <f>SUM(J113:AH113)</f>
        <v>0</v>
      </c>
      <c r="AK113" s="35"/>
      <c r="AL113" s="21"/>
      <c r="AM113" s="940"/>
      <c r="AN113" s="1"/>
      <c r="AO113" s="1"/>
      <c r="AP113" s="1"/>
      <c r="AQ113" s="1"/>
      <c r="AR113" s="1">
        <f>IF(SUM($L221:L221)&gt;0,SUM($AP73:AR73)-SUM($AQ113:AQ113),0)</f>
        <v>0</v>
      </c>
      <c r="AS113" s="1"/>
      <c r="AT113" s="1">
        <f>IF(SUM($L221:P221)&gt;0,SUM($AP73:AT73)-SUM($AQ113:AS113),0)</f>
        <v>0</v>
      </c>
      <c r="AU113" s="1"/>
      <c r="AV113" s="1">
        <f>IF(SUM($L221:T221)&gt;0,SUM($AP73:AV73)-SUM($AQ113:AU113),0)</f>
        <v>0</v>
      </c>
      <c r="AW113" s="1"/>
      <c r="AX113" s="1">
        <f>IF(SUM($L221:X221)&gt;0,SUM($AP73:AX73)-SUM($AQ113:AW113),0)</f>
        <v>0</v>
      </c>
      <c r="AY113" s="1"/>
      <c r="AZ113" s="1">
        <f>IF(SUM($L221:AB221)&gt;0,SUM($AP73:AZ73)-SUM($AQ113:AY113),0)</f>
        <v>0</v>
      </c>
      <c r="BA113" s="1"/>
      <c r="BB113" s="1">
        <f>IF(SUM($L221:AF221)&gt;0,SUM($AP73:BB73)-SUM($AQ113:BA113),0)</f>
        <v>0</v>
      </c>
      <c r="BC113" s="1"/>
      <c r="BD113" s="1"/>
      <c r="BE113" s="1"/>
      <c r="BF113" s="1"/>
    </row>
    <row r="114" ht="4.5" customHeight="1">
      <c r="A114" s="1"/>
      <c r="B114" s="203"/>
      <c r="C114" s="180"/>
      <c r="D114" s="39"/>
      <c r="E114" s="994"/>
      <c r="F114" s="994"/>
      <c r="G114" s="994"/>
      <c r="H114" s="994"/>
      <c r="I114" s="979"/>
      <c r="J114" s="469"/>
      <c r="K114" s="39"/>
      <c r="L114" s="85"/>
      <c r="M114" s="85"/>
      <c r="N114" s="981"/>
      <c r="O114" s="981"/>
      <c r="P114" s="85"/>
      <c r="Q114" s="85"/>
      <c r="R114" s="981"/>
      <c r="S114" s="981"/>
      <c r="T114" s="85"/>
      <c r="U114" s="85"/>
      <c r="V114" s="981"/>
      <c r="W114" s="982"/>
      <c r="X114" s="85"/>
      <c r="Y114" s="85"/>
      <c r="Z114" s="981"/>
      <c r="AA114" s="982"/>
      <c r="AB114" s="85"/>
      <c r="AC114" s="85"/>
      <c r="AD114" s="981"/>
      <c r="AE114" s="982"/>
      <c r="AF114" s="85"/>
      <c r="AG114" s="85"/>
      <c r="AH114" s="981"/>
      <c r="AI114" s="437"/>
      <c r="AJ114" s="85"/>
      <c r="AK114" s="85"/>
      <c r="AL114" s="981"/>
      <c r="AM114" s="940"/>
      <c r="AN114" s="1"/>
      <c r="AO114" s="1017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</row>
    <row r="115" ht="14.25" customHeight="1">
      <c r="A115" s="1"/>
      <c r="B115" s="438" t="str">
        <f>B20</f>
        <v/>
      </c>
      <c r="C115" s="438"/>
      <c r="D115" s="39"/>
      <c r="E115" s="994"/>
      <c r="F115" s="994"/>
      <c r="G115" s="994"/>
      <c r="H115" s="994"/>
      <c r="I115" s="39"/>
      <c r="J115" s="828" t="s">
        <v>594</v>
      </c>
      <c r="K115" s="39"/>
      <c r="L115" s="996"/>
      <c r="M115" s="20"/>
      <c r="N115" s="22"/>
      <c r="O115" s="437"/>
      <c r="P115" s="996"/>
      <c r="Q115" s="20"/>
      <c r="R115" s="22"/>
      <c r="S115" s="437"/>
      <c r="T115" s="996"/>
      <c r="U115" s="20"/>
      <c r="V115" s="22"/>
      <c r="W115" s="940"/>
      <c r="X115" s="996"/>
      <c r="Y115" s="20"/>
      <c r="Z115" s="22"/>
      <c r="AA115" s="940"/>
      <c r="AB115" s="996"/>
      <c r="AC115" s="20"/>
      <c r="AD115" s="22"/>
      <c r="AE115" s="940"/>
      <c r="AF115" s="996"/>
      <c r="AG115" s="20"/>
      <c r="AH115" s="22"/>
      <c r="AI115" s="437"/>
      <c r="AJ115" s="999">
        <f>SUM(J115:AH115)</f>
        <v>0</v>
      </c>
      <c r="AK115" s="35"/>
      <c r="AL115" s="21"/>
      <c r="AM115" s="940"/>
      <c r="AN115" s="1"/>
      <c r="AO115" s="1"/>
      <c r="AP115" s="1"/>
      <c r="AQ115" s="1"/>
      <c r="AR115" s="1">
        <f>IF(SUM($L223:L223)&gt;0,SUM($AP75:AR75)-SUM($AQ115:AQ115),0)</f>
        <v>0</v>
      </c>
      <c r="AS115" s="1"/>
      <c r="AT115" s="1">
        <f>IF(SUM($L223:P223)&gt;0,SUM($AP75:AT75)-SUM($AQ115:AS115),0)</f>
        <v>0</v>
      </c>
      <c r="AU115" s="1"/>
      <c r="AV115" s="1">
        <f>IF(SUM($L223:T223)&gt;0,SUM($AP75:AV75)-SUM($AQ115:AU115),0)</f>
        <v>0</v>
      </c>
      <c r="AW115" s="1"/>
      <c r="AX115" s="1">
        <f>IF(SUM($L223:X223)&gt;0,SUM($AP75:AX75)-SUM($AQ115:AW115),0)</f>
        <v>0</v>
      </c>
      <c r="AY115" s="1"/>
      <c r="AZ115" s="1">
        <f>IF(SUM($L223:AB223)&gt;0,SUM($AP75:AZ75)-SUM($AQ115:AY115),0)</f>
        <v>0</v>
      </c>
      <c r="BA115" s="1"/>
      <c r="BB115" s="1">
        <f>IF(SUM($L223:AF223)&gt;0,SUM($AP75:BB75)-SUM($AQ115:BA115),0)</f>
        <v>0</v>
      </c>
      <c r="BC115" s="1"/>
      <c r="BD115" s="1"/>
      <c r="BE115" s="1"/>
      <c r="BF115" s="1"/>
    </row>
    <row r="116" ht="4.5" customHeight="1">
      <c r="A116" s="1"/>
      <c r="B116" s="203"/>
      <c r="C116" s="180"/>
      <c r="D116" s="39"/>
      <c r="E116" s="994"/>
      <c r="F116" s="994"/>
      <c r="G116" s="994"/>
      <c r="H116" s="994"/>
      <c r="I116" s="979"/>
      <c r="J116" s="469"/>
      <c r="K116" s="39"/>
      <c r="L116" s="85"/>
      <c r="M116" s="85"/>
      <c r="N116" s="981"/>
      <c r="O116" s="981"/>
      <c r="P116" s="85"/>
      <c r="Q116" s="85"/>
      <c r="R116" s="981"/>
      <c r="S116" s="981"/>
      <c r="T116" s="85"/>
      <c r="U116" s="85"/>
      <c r="V116" s="981"/>
      <c r="W116" s="982"/>
      <c r="X116" s="85"/>
      <c r="Y116" s="85"/>
      <c r="Z116" s="981"/>
      <c r="AA116" s="982"/>
      <c r="AB116" s="85"/>
      <c r="AC116" s="85"/>
      <c r="AD116" s="981"/>
      <c r="AE116" s="982"/>
      <c r="AF116" s="85"/>
      <c r="AG116" s="85"/>
      <c r="AH116" s="981"/>
      <c r="AI116" s="437"/>
      <c r="AJ116" s="85"/>
      <c r="AK116" s="85"/>
      <c r="AL116" s="981"/>
      <c r="AM116" s="940"/>
      <c r="AN116" s="1"/>
      <c r="AO116" s="1017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</row>
    <row r="117" ht="14.25" customHeight="1">
      <c r="A117" s="1"/>
      <c r="B117" s="438" t="str">
        <f>B22</f>
        <v/>
      </c>
      <c r="C117" s="438"/>
      <c r="D117" s="39"/>
      <c r="E117" s="994"/>
      <c r="F117" s="994"/>
      <c r="G117" s="994"/>
      <c r="H117" s="994"/>
      <c r="I117" s="39"/>
      <c r="J117" s="828" t="s">
        <v>594</v>
      </c>
      <c r="K117" s="1114"/>
      <c r="L117" s="996"/>
      <c r="M117" s="20"/>
      <c r="N117" s="22"/>
      <c r="O117" s="997"/>
      <c r="P117" s="996"/>
      <c r="Q117" s="20"/>
      <c r="R117" s="22"/>
      <c r="S117" s="997"/>
      <c r="T117" s="996"/>
      <c r="U117" s="20"/>
      <c r="V117" s="22"/>
      <c r="W117" s="998"/>
      <c r="X117" s="996"/>
      <c r="Y117" s="20"/>
      <c r="Z117" s="22"/>
      <c r="AA117" s="998"/>
      <c r="AB117" s="996"/>
      <c r="AC117" s="20"/>
      <c r="AD117" s="22"/>
      <c r="AE117" s="998"/>
      <c r="AF117" s="996"/>
      <c r="AG117" s="20"/>
      <c r="AH117" s="22"/>
      <c r="AI117" s="437"/>
      <c r="AJ117" s="999">
        <f>SUM(J117:AH117)</f>
        <v>0</v>
      </c>
      <c r="AK117" s="35"/>
      <c r="AL117" s="21"/>
      <c r="AM117" s="940"/>
      <c r="AN117" s="1"/>
      <c r="AO117" s="1"/>
      <c r="AP117" s="1"/>
      <c r="AQ117" s="1"/>
      <c r="AR117" s="1">
        <f>IF(SUM($L225:L225)&gt;0,SUM($AP77:AR77)-SUM($AQ117:AQ117),0)</f>
        <v>0</v>
      </c>
      <c r="AS117" s="1"/>
      <c r="AT117" s="1">
        <f>IF(SUM($L225:P225)&gt;0,SUM($AP77:AT77)-SUM($AQ117:AS117),0)</f>
        <v>0</v>
      </c>
      <c r="AU117" s="1"/>
      <c r="AV117" s="1">
        <f>IF(SUM($L225:T225)&gt;0,SUM($AP77:AV77)-SUM($AQ117:AU117),0)</f>
        <v>0</v>
      </c>
      <c r="AW117" s="1"/>
      <c r="AX117" s="1">
        <f>IF(SUM($L225:X225)&gt;0,SUM($AP77:AX77)-SUM($AQ117:AW117),0)</f>
        <v>0</v>
      </c>
      <c r="AY117" s="1"/>
      <c r="AZ117" s="1">
        <f>IF(SUM($L225:AB225)&gt;0,SUM($AP77:AZ77)-SUM($AQ117:AY117),0)</f>
        <v>0</v>
      </c>
      <c r="BA117" s="1"/>
      <c r="BB117" s="1">
        <f>IF(SUM($L225:AF225)&gt;0,SUM($AP77:BB77)-SUM($AQ117:BA117),0)</f>
        <v>0</v>
      </c>
      <c r="BC117" s="1"/>
      <c r="BD117" s="1"/>
      <c r="BE117" s="1"/>
      <c r="BF117" s="1"/>
    </row>
    <row r="118" ht="4.5" customHeight="1">
      <c r="A118" s="1"/>
      <c r="B118" s="203"/>
      <c r="C118" s="180"/>
      <c r="D118" s="39"/>
      <c r="E118" s="994"/>
      <c r="F118" s="994"/>
      <c r="G118" s="994"/>
      <c r="H118" s="994"/>
      <c r="I118" s="979"/>
      <c r="J118" s="828"/>
      <c r="K118" s="39"/>
      <c r="L118" s="85"/>
      <c r="M118" s="85"/>
      <c r="N118" s="981"/>
      <c r="O118" s="981"/>
      <c r="P118" s="85"/>
      <c r="Q118" s="85"/>
      <c r="R118" s="981"/>
      <c r="S118" s="981"/>
      <c r="T118" s="85"/>
      <c r="U118" s="85"/>
      <c r="V118" s="981"/>
      <c r="W118" s="982"/>
      <c r="X118" s="85"/>
      <c r="Y118" s="85"/>
      <c r="Z118" s="981"/>
      <c r="AA118" s="982"/>
      <c r="AB118" s="85"/>
      <c r="AC118" s="85"/>
      <c r="AD118" s="981"/>
      <c r="AE118" s="982"/>
      <c r="AF118" s="85"/>
      <c r="AG118" s="85"/>
      <c r="AH118" s="981"/>
      <c r="AI118" s="437"/>
      <c r="AJ118" s="85"/>
      <c r="AK118" s="85"/>
      <c r="AL118" s="981"/>
      <c r="AM118" s="940"/>
      <c r="AN118" s="1"/>
      <c r="AO118" s="1017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</row>
    <row r="119" ht="14.25" customHeight="1">
      <c r="A119" s="1"/>
      <c r="B119" s="438" t="str">
        <f>B24</f>
        <v/>
      </c>
      <c r="C119" s="438"/>
      <c r="D119" s="39"/>
      <c r="E119" s="994"/>
      <c r="F119" s="994"/>
      <c r="G119" s="994"/>
      <c r="H119" s="994"/>
      <c r="I119" s="39"/>
      <c r="J119" s="828" t="s">
        <v>594</v>
      </c>
      <c r="K119" s="1114"/>
      <c r="L119" s="996"/>
      <c r="M119" s="20"/>
      <c r="N119" s="22"/>
      <c r="O119" s="437"/>
      <c r="P119" s="996"/>
      <c r="Q119" s="20"/>
      <c r="R119" s="22"/>
      <c r="S119" s="437"/>
      <c r="T119" s="996"/>
      <c r="U119" s="20"/>
      <c r="V119" s="22"/>
      <c r="W119" s="940"/>
      <c r="X119" s="996"/>
      <c r="Y119" s="20"/>
      <c r="Z119" s="22"/>
      <c r="AA119" s="940"/>
      <c r="AB119" s="996"/>
      <c r="AC119" s="20"/>
      <c r="AD119" s="22"/>
      <c r="AE119" s="940"/>
      <c r="AF119" s="996"/>
      <c r="AG119" s="20"/>
      <c r="AH119" s="22"/>
      <c r="AI119" s="437"/>
      <c r="AJ119" s="999">
        <f>SUM(J119:AH119)</f>
        <v>0</v>
      </c>
      <c r="AK119" s="35"/>
      <c r="AL119" s="21"/>
      <c r="AM119" s="940"/>
      <c r="AN119" s="1"/>
      <c r="AO119" s="1"/>
      <c r="AP119" s="1"/>
      <c r="AQ119" s="1"/>
      <c r="AR119" s="1">
        <f>IF(SUM($L227:L227)&gt;0,SUM($AP79:AR79)-SUM($AQ119:AQ119),0)</f>
        <v>0</v>
      </c>
      <c r="AS119" s="1"/>
      <c r="AT119" s="1">
        <f>IF(SUM($L227:P227)&gt;0,SUM($AP79:AT79)-SUM($AQ119:AS119),0)</f>
        <v>0</v>
      </c>
      <c r="AU119" s="1"/>
      <c r="AV119" s="1">
        <f>IF(SUM($L227:T227)&gt;0,SUM($AP79:AV79)-SUM($AQ119:AU119),0)</f>
        <v>0</v>
      </c>
      <c r="AW119" s="1"/>
      <c r="AX119" s="1">
        <f>IF(SUM($L227:X227)&gt;0,SUM($AP79:AX79)-SUM($AQ119:AW119),0)</f>
        <v>0</v>
      </c>
      <c r="AY119" s="1"/>
      <c r="AZ119" s="1">
        <f>IF(SUM($L227:AB227)&gt;0,SUM($AP79:AZ79)-SUM($AQ119:AY119),0)</f>
        <v>0</v>
      </c>
      <c r="BA119" s="1"/>
      <c r="BB119" s="1">
        <f>IF(SUM($L227:AF227)&gt;0,SUM($AP79:BB79)-SUM($AQ119:BA119),0)</f>
        <v>0</v>
      </c>
      <c r="BC119" s="1"/>
      <c r="BD119" s="1"/>
      <c r="BE119" s="1"/>
      <c r="BF119" s="1"/>
    </row>
    <row r="120" ht="4.5" customHeight="1">
      <c r="A120" s="1"/>
      <c r="B120" s="203"/>
      <c r="C120" s="180"/>
      <c r="D120" s="39"/>
      <c r="E120" s="994"/>
      <c r="F120" s="994"/>
      <c r="G120" s="994"/>
      <c r="H120" s="994"/>
      <c r="I120" s="979"/>
      <c r="J120" s="469"/>
      <c r="K120" s="39"/>
      <c r="L120" s="85"/>
      <c r="M120" s="85"/>
      <c r="N120" s="981"/>
      <c r="O120" s="981"/>
      <c r="P120" s="85"/>
      <c r="Q120" s="85"/>
      <c r="R120" s="981"/>
      <c r="S120" s="981"/>
      <c r="T120" s="85"/>
      <c r="U120" s="85"/>
      <c r="V120" s="981"/>
      <c r="W120" s="982"/>
      <c r="X120" s="85"/>
      <c r="Y120" s="85"/>
      <c r="Z120" s="981"/>
      <c r="AA120" s="982"/>
      <c r="AB120" s="85"/>
      <c r="AC120" s="85"/>
      <c r="AD120" s="981"/>
      <c r="AE120" s="982"/>
      <c r="AF120" s="85"/>
      <c r="AG120" s="85"/>
      <c r="AH120" s="981"/>
      <c r="AI120" s="437"/>
      <c r="AJ120" s="85"/>
      <c r="AK120" s="85"/>
      <c r="AL120" s="981"/>
      <c r="AM120" s="940"/>
      <c r="AN120" s="1"/>
      <c r="AO120" s="1017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</row>
    <row r="121" ht="14.25" customHeight="1">
      <c r="A121" s="1"/>
      <c r="B121" s="438" t="str">
        <f>B26</f>
        <v/>
      </c>
      <c r="C121" s="438"/>
      <c r="D121" s="39"/>
      <c r="E121" s="994"/>
      <c r="F121" s="994"/>
      <c r="G121" s="994"/>
      <c r="H121" s="994"/>
      <c r="I121" s="39"/>
      <c r="J121" s="828" t="s">
        <v>594</v>
      </c>
      <c r="K121" s="39"/>
      <c r="L121" s="996"/>
      <c r="M121" s="20"/>
      <c r="N121" s="22"/>
      <c r="O121" s="437"/>
      <c r="P121" s="996"/>
      <c r="Q121" s="20"/>
      <c r="R121" s="22"/>
      <c r="S121" s="437"/>
      <c r="T121" s="996"/>
      <c r="U121" s="20"/>
      <c r="V121" s="22"/>
      <c r="W121" s="940"/>
      <c r="X121" s="996"/>
      <c r="Y121" s="20"/>
      <c r="Z121" s="22"/>
      <c r="AA121" s="940"/>
      <c r="AB121" s="996"/>
      <c r="AC121" s="20"/>
      <c r="AD121" s="22"/>
      <c r="AE121" s="940"/>
      <c r="AF121" s="996"/>
      <c r="AG121" s="20"/>
      <c r="AH121" s="22"/>
      <c r="AI121" s="437"/>
      <c r="AJ121" s="999">
        <f>SUM(J121:AH121)</f>
        <v>0</v>
      </c>
      <c r="AK121" s="35"/>
      <c r="AL121" s="21"/>
      <c r="AM121" s="940"/>
      <c r="AN121" s="1"/>
      <c r="AO121" s="1"/>
      <c r="AP121" s="1"/>
      <c r="AQ121" s="1"/>
      <c r="AR121" s="1">
        <f>IF(SUM($L229:L229)&gt;0,SUM($AP81:AR81)-SUM($AQ121:AQ121),0)</f>
        <v>0</v>
      </c>
      <c r="AS121" s="1"/>
      <c r="AT121" s="1">
        <f>IF(SUM($L229:P229)&gt;0,SUM($AP81:AT81)-SUM($AQ121:AS121),0)</f>
        <v>0</v>
      </c>
      <c r="AU121" s="1"/>
      <c r="AV121" s="1">
        <f>IF(SUM($L229:T229)&gt;0,SUM($AP81:AV81)-SUM($AQ121:AU121),0)</f>
        <v>0</v>
      </c>
      <c r="AW121" s="1"/>
      <c r="AX121" s="1">
        <f>IF(SUM($L229:X229)&gt;0,SUM($AP81:AX81)-SUM($AQ121:AW121),0)</f>
        <v>0</v>
      </c>
      <c r="AY121" s="1"/>
      <c r="AZ121" s="1">
        <f>IF(SUM($L229:AB229)&gt;0,SUM($AP81:AZ81)-SUM($AQ121:AY121),0)</f>
        <v>0</v>
      </c>
      <c r="BA121" s="1"/>
      <c r="BB121" s="1">
        <f>IF(SUM($L229:AF229)&gt;0,SUM($AP81:BB81)-SUM($AQ121:BA121),0)</f>
        <v>0</v>
      </c>
      <c r="BC121" s="1"/>
      <c r="BD121" s="1"/>
      <c r="BE121" s="1"/>
      <c r="BF121" s="1"/>
    </row>
    <row r="122" ht="4.5" customHeight="1">
      <c r="A122" s="1"/>
      <c r="B122" s="203"/>
      <c r="C122" s="180"/>
      <c r="D122" s="39"/>
      <c r="E122" s="994"/>
      <c r="F122" s="994"/>
      <c r="G122" s="994"/>
      <c r="H122" s="994"/>
      <c r="I122" s="979"/>
      <c r="J122" s="469"/>
      <c r="K122" s="39"/>
      <c r="L122" s="85"/>
      <c r="M122" s="85"/>
      <c r="N122" s="981"/>
      <c r="O122" s="981"/>
      <c r="P122" s="85"/>
      <c r="Q122" s="85"/>
      <c r="R122" s="981"/>
      <c r="S122" s="981"/>
      <c r="T122" s="85"/>
      <c r="U122" s="85"/>
      <c r="V122" s="981"/>
      <c r="W122" s="982"/>
      <c r="X122" s="85"/>
      <c r="Y122" s="85"/>
      <c r="Z122" s="981"/>
      <c r="AA122" s="982"/>
      <c r="AB122" s="85"/>
      <c r="AC122" s="85"/>
      <c r="AD122" s="981"/>
      <c r="AE122" s="982"/>
      <c r="AF122" s="85"/>
      <c r="AG122" s="85"/>
      <c r="AH122" s="981"/>
      <c r="AI122" s="437"/>
      <c r="AJ122" s="85"/>
      <c r="AK122" s="85"/>
      <c r="AL122" s="981"/>
      <c r="AM122" s="940"/>
      <c r="AN122" s="1"/>
      <c r="AO122" s="1017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</row>
    <row r="123" ht="14.25" customHeight="1">
      <c r="A123" s="1"/>
      <c r="B123" s="438" t="str">
        <f>B28</f>
        <v/>
      </c>
      <c r="C123" s="438"/>
      <c r="D123" s="39"/>
      <c r="E123" s="994"/>
      <c r="F123" s="994"/>
      <c r="G123" s="994"/>
      <c r="H123" s="994"/>
      <c r="I123" s="39"/>
      <c r="J123" s="828" t="s">
        <v>594</v>
      </c>
      <c r="K123" s="1114"/>
      <c r="L123" s="996"/>
      <c r="M123" s="20"/>
      <c r="N123" s="22"/>
      <c r="O123" s="997"/>
      <c r="P123" s="996"/>
      <c r="Q123" s="20"/>
      <c r="R123" s="22"/>
      <c r="S123" s="997"/>
      <c r="T123" s="996"/>
      <c r="U123" s="20"/>
      <c r="V123" s="22"/>
      <c r="W123" s="998"/>
      <c r="X123" s="996"/>
      <c r="Y123" s="20"/>
      <c r="Z123" s="22"/>
      <c r="AA123" s="998"/>
      <c r="AB123" s="996"/>
      <c r="AC123" s="20"/>
      <c r="AD123" s="22"/>
      <c r="AE123" s="998"/>
      <c r="AF123" s="996"/>
      <c r="AG123" s="20"/>
      <c r="AH123" s="22"/>
      <c r="AI123" s="437"/>
      <c r="AJ123" s="999">
        <f>SUM(J123:AH123)</f>
        <v>0</v>
      </c>
      <c r="AK123" s="35"/>
      <c r="AL123" s="21"/>
      <c r="AM123" s="940"/>
      <c r="AN123" s="1"/>
      <c r="AO123" s="1"/>
      <c r="AP123" s="1"/>
      <c r="AQ123" s="1"/>
      <c r="AR123" s="1">
        <f>IF(SUM($L231:L231)&gt;0,SUM($AP83:AR83)-SUM($AQ123:AQ123),0)</f>
        <v>0</v>
      </c>
      <c r="AS123" s="1"/>
      <c r="AT123" s="1">
        <f>IF(SUM($L231:P231)&gt;0,SUM($AP83:AT83)-SUM($AQ123:AS123),0)</f>
        <v>0</v>
      </c>
      <c r="AU123" s="1"/>
      <c r="AV123" s="1">
        <f>IF(SUM($L231:T231)&gt;0,SUM($AP83:AV83)-SUM($AQ123:AU123),0)</f>
        <v>0</v>
      </c>
      <c r="AW123" s="1"/>
      <c r="AX123" s="1">
        <f>IF(SUM($L231:X231)&gt;0,SUM($AP83:AX83)-SUM($AQ123:AW123),0)</f>
        <v>0</v>
      </c>
      <c r="AY123" s="1"/>
      <c r="AZ123" s="1">
        <f>IF(SUM($L231:AB231)&gt;0,SUM($AP83:AZ83)-SUM($AQ123:AY123),0)</f>
        <v>0</v>
      </c>
      <c r="BA123" s="1"/>
      <c r="BB123" s="1">
        <f>IF(SUM($L231:AF231)&gt;0,SUM($AP83:BB83)-SUM($AQ123:BA123),0)</f>
        <v>0</v>
      </c>
      <c r="BC123" s="1"/>
      <c r="BD123" s="1"/>
      <c r="BE123" s="1"/>
      <c r="BF123" s="1"/>
    </row>
    <row r="124" ht="4.5" customHeight="1">
      <c r="A124" s="1"/>
      <c r="B124" s="203"/>
      <c r="C124" s="180"/>
      <c r="D124" s="39"/>
      <c r="E124" s="994"/>
      <c r="F124" s="994"/>
      <c r="G124" s="994"/>
      <c r="H124" s="994"/>
      <c r="I124" s="979"/>
      <c r="J124" s="828"/>
      <c r="K124" s="39"/>
      <c r="L124" s="85"/>
      <c r="M124" s="85"/>
      <c r="N124" s="981"/>
      <c r="O124" s="981"/>
      <c r="P124" s="85"/>
      <c r="Q124" s="85"/>
      <c r="R124" s="981"/>
      <c r="S124" s="981"/>
      <c r="T124" s="85"/>
      <c r="U124" s="85"/>
      <c r="V124" s="981"/>
      <c r="W124" s="982"/>
      <c r="X124" s="85"/>
      <c r="Y124" s="85"/>
      <c r="Z124" s="981"/>
      <c r="AA124" s="982"/>
      <c r="AB124" s="85"/>
      <c r="AC124" s="85"/>
      <c r="AD124" s="981"/>
      <c r="AE124" s="982"/>
      <c r="AF124" s="85"/>
      <c r="AG124" s="85"/>
      <c r="AH124" s="981"/>
      <c r="AI124" s="437"/>
      <c r="AJ124" s="85"/>
      <c r="AK124" s="85"/>
      <c r="AL124" s="981"/>
      <c r="AM124" s="940"/>
      <c r="AN124" s="1"/>
      <c r="AO124" s="1017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</row>
    <row r="125" ht="14.25" customHeight="1">
      <c r="A125" s="1"/>
      <c r="B125" s="438" t="str">
        <f>B30</f>
        <v/>
      </c>
      <c r="C125" s="438"/>
      <c r="D125" s="39"/>
      <c r="E125" s="994"/>
      <c r="F125" s="994"/>
      <c r="G125" s="994"/>
      <c r="H125" s="994"/>
      <c r="I125" s="39"/>
      <c r="J125" s="828" t="s">
        <v>594</v>
      </c>
      <c r="K125" s="1114"/>
      <c r="L125" s="996"/>
      <c r="M125" s="20"/>
      <c r="N125" s="22"/>
      <c r="O125" s="437"/>
      <c r="P125" s="996"/>
      <c r="Q125" s="20"/>
      <c r="R125" s="22"/>
      <c r="S125" s="437"/>
      <c r="T125" s="996"/>
      <c r="U125" s="20"/>
      <c r="V125" s="22"/>
      <c r="W125" s="940"/>
      <c r="X125" s="996"/>
      <c r="Y125" s="20"/>
      <c r="Z125" s="22"/>
      <c r="AA125" s="940"/>
      <c r="AB125" s="996"/>
      <c r="AC125" s="20"/>
      <c r="AD125" s="22"/>
      <c r="AE125" s="940"/>
      <c r="AF125" s="996"/>
      <c r="AG125" s="20"/>
      <c r="AH125" s="22"/>
      <c r="AI125" s="437"/>
      <c r="AJ125" s="999">
        <f>SUM(J125:AH125)</f>
        <v>0</v>
      </c>
      <c r="AK125" s="35"/>
      <c r="AL125" s="21"/>
      <c r="AM125" s="940"/>
      <c r="AN125" s="1"/>
      <c r="AO125" s="1"/>
      <c r="AP125" s="1"/>
      <c r="AQ125" s="1"/>
      <c r="AR125" s="1">
        <f>IF(SUM($L233:L233)&gt;0,SUM($AP85:AR85)-SUM($AQ125:AQ125),0)</f>
        <v>0</v>
      </c>
      <c r="AS125" s="1"/>
      <c r="AT125" s="1">
        <f>IF(SUM($L233:P233)&gt;0,SUM($AP85:AT85)-SUM($AQ125:AS125),0)</f>
        <v>0</v>
      </c>
      <c r="AU125" s="1"/>
      <c r="AV125" s="1">
        <f>IF(SUM($L233:T233)&gt;0,SUM($AP85:AV85)-SUM($AQ125:AU125),0)</f>
        <v>0</v>
      </c>
      <c r="AW125" s="1"/>
      <c r="AX125" s="1">
        <f>IF(SUM($L233:X233)&gt;0,SUM($AP85:AX85)-SUM($AQ125:AW125),0)</f>
        <v>0</v>
      </c>
      <c r="AY125" s="1"/>
      <c r="AZ125" s="1">
        <f>IF(SUM($L233:AB233)&gt;0,SUM($AP85:AZ85)-SUM($AQ125:AY125),0)</f>
        <v>0</v>
      </c>
      <c r="BA125" s="1"/>
      <c r="BB125" s="1">
        <f>IF(SUM($L233:AF233)&gt;0,SUM($AP85:BB85)-SUM($AQ125:BA125),0)</f>
        <v>0</v>
      </c>
      <c r="BC125" s="1"/>
      <c r="BD125" s="1"/>
      <c r="BE125" s="1"/>
      <c r="BF125" s="1"/>
    </row>
    <row r="126" ht="4.5" customHeight="1">
      <c r="A126" s="1"/>
      <c r="B126" s="203"/>
      <c r="C126" s="180"/>
      <c r="D126" s="39"/>
      <c r="E126" s="994"/>
      <c r="F126" s="994"/>
      <c r="G126" s="994"/>
      <c r="H126" s="994"/>
      <c r="I126" s="979"/>
      <c r="J126" s="469"/>
      <c r="K126" s="39"/>
      <c r="L126" s="85"/>
      <c r="M126" s="85"/>
      <c r="N126" s="981"/>
      <c r="O126" s="981"/>
      <c r="P126" s="85"/>
      <c r="Q126" s="85"/>
      <c r="R126" s="981"/>
      <c r="S126" s="981"/>
      <c r="T126" s="85"/>
      <c r="U126" s="85"/>
      <c r="V126" s="981"/>
      <c r="W126" s="982"/>
      <c r="X126" s="85"/>
      <c r="Y126" s="85"/>
      <c r="Z126" s="981"/>
      <c r="AA126" s="982"/>
      <c r="AB126" s="85"/>
      <c r="AC126" s="85"/>
      <c r="AD126" s="981"/>
      <c r="AE126" s="982"/>
      <c r="AF126" s="85"/>
      <c r="AG126" s="85"/>
      <c r="AH126" s="981"/>
      <c r="AI126" s="437"/>
      <c r="AJ126" s="85"/>
      <c r="AK126" s="85"/>
      <c r="AL126" s="981"/>
      <c r="AM126" s="940"/>
      <c r="AN126" s="1"/>
      <c r="AO126" s="1017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</row>
    <row r="127" ht="14.25" customHeight="1">
      <c r="A127" s="1"/>
      <c r="B127" s="438" t="str">
        <f>B32</f>
        <v/>
      </c>
      <c r="C127" s="438"/>
      <c r="D127" s="39"/>
      <c r="E127" s="994"/>
      <c r="F127" s="994"/>
      <c r="G127" s="994"/>
      <c r="H127" s="994"/>
      <c r="I127" s="39"/>
      <c r="J127" s="828" t="s">
        <v>594</v>
      </c>
      <c r="K127" s="39"/>
      <c r="L127" s="996"/>
      <c r="M127" s="20"/>
      <c r="N127" s="22"/>
      <c r="O127" s="437"/>
      <c r="P127" s="996"/>
      <c r="Q127" s="20"/>
      <c r="R127" s="22"/>
      <c r="S127" s="437"/>
      <c r="T127" s="996"/>
      <c r="U127" s="20"/>
      <c r="V127" s="22"/>
      <c r="W127" s="940"/>
      <c r="X127" s="996"/>
      <c r="Y127" s="20"/>
      <c r="Z127" s="22"/>
      <c r="AA127" s="940"/>
      <c r="AB127" s="996"/>
      <c r="AC127" s="20"/>
      <c r="AD127" s="22"/>
      <c r="AE127" s="940"/>
      <c r="AF127" s="996"/>
      <c r="AG127" s="20"/>
      <c r="AH127" s="22"/>
      <c r="AI127" s="437"/>
      <c r="AJ127" s="999">
        <f>SUM(J127:AH127)</f>
        <v>0</v>
      </c>
      <c r="AK127" s="35"/>
      <c r="AL127" s="21"/>
      <c r="AM127" s="940"/>
      <c r="AN127" s="1"/>
      <c r="AO127" s="1"/>
      <c r="AP127" s="1"/>
      <c r="AQ127" s="1"/>
      <c r="AR127" s="1">
        <f>IF(SUM($L235:L235)&gt;0,SUM($AP87:AR87)-SUM($AQ127:AQ127),0)</f>
        <v>0</v>
      </c>
      <c r="AS127" s="1"/>
      <c r="AT127" s="1">
        <f>IF(SUM($L235:P235)&gt;0,SUM($AP87:AT87)-SUM($AQ127:AS127),0)</f>
        <v>0</v>
      </c>
      <c r="AU127" s="1"/>
      <c r="AV127" s="1">
        <f>IF(SUM($L235:T235)&gt;0,SUM($AP87:AV87)-SUM($AQ127:AU127),0)</f>
        <v>0</v>
      </c>
      <c r="AW127" s="1"/>
      <c r="AX127" s="1">
        <f>IF(SUM($L235:X235)&gt;0,SUM($AP87:AX87)-SUM($AQ127:AW127),0)</f>
        <v>0</v>
      </c>
      <c r="AY127" s="1"/>
      <c r="AZ127" s="1">
        <f>IF(SUM($L235:AB235)&gt;0,SUM($AP87:AZ87)-SUM($AQ127:AY127),0)</f>
        <v>0</v>
      </c>
      <c r="BA127" s="1"/>
      <c r="BB127" s="1">
        <f>IF(SUM($L235:AF235)&gt;0,SUM($AP87:BB87)-SUM($AQ127:BA127),0)</f>
        <v>0</v>
      </c>
      <c r="BC127" s="1"/>
      <c r="BD127" s="1"/>
      <c r="BE127" s="1"/>
      <c r="BF127" s="1"/>
    </row>
    <row r="128" ht="4.5" customHeight="1">
      <c r="A128" s="1"/>
      <c r="B128" s="203"/>
      <c r="C128" s="180"/>
      <c r="D128" s="39"/>
      <c r="E128" s="994"/>
      <c r="F128" s="994"/>
      <c r="G128" s="994"/>
      <c r="H128" s="994"/>
      <c r="I128" s="979"/>
      <c r="J128" s="469"/>
      <c r="K128" s="39"/>
      <c r="L128" s="85"/>
      <c r="M128" s="85"/>
      <c r="N128" s="981"/>
      <c r="O128" s="981"/>
      <c r="P128" s="85"/>
      <c r="Q128" s="85"/>
      <c r="R128" s="981"/>
      <c r="S128" s="981"/>
      <c r="T128" s="85"/>
      <c r="U128" s="85"/>
      <c r="V128" s="981"/>
      <c r="W128" s="982"/>
      <c r="X128" s="85"/>
      <c r="Y128" s="85"/>
      <c r="Z128" s="981"/>
      <c r="AA128" s="982"/>
      <c r="AB128" s="85"/>
      <c r="AC128" s="85"/>
      <c r="AD128" s="981"/>
      <c r="AE128" s="982"/>
      <c r="AF128" s="85"/>
      <c r="AG128" s="85"/>
      <c r="AH128" s="981"/>
      <c r="AI128" s="437"/>
      <c r="AJ128" s="85"/>
      <c r="AK128" s="85"/>
      <c r="AL128" s="981"/>
      <c r="AM128" s="940"/>
      <c r="AN128" s="1"/>
      <c r="AO128" s="1017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</row>
    <row r="129" ht="14.25" customHeight="1">
      <c r="A129" s="1"/>
      <c r="B129" s="438" t="str">
        <f>B34</f>
        <v/>
      </c>
      <c r="C129" s="438"/>
      <c r="D129" s="39"/>
      <c r="E129" s="994"/>
      <c r="F129" s="994"/>
      <c r="G129" s="994"/>
      <c r="H129" s="994"/>
      <c r="I129" s="39"/>
      <c r="J129" s="828" t="s">
        <v>594</v>
      </c>
      <c r="K129" s="1114"/>
      <c r="L129" s="996"/>
      <c r="M129" s="20"/>
      <c r="N129" s="22"/>
      <c r="O129" s="997"/>
      <c r="P129" s="996"/>
      <c r="Q129" s="20"/>
      <c r="R129" s="22"/>
      <c r="S129" s="997"/>
      <c r="T129" s="996"/>
      <c r="U129" s="20"/>
      <c r="V129" s="22"/>
      <c r="W129" s="998"/>
      <c r="X129" s="996"/>
      <c r="Y129" s="20"/>
      <c r="Z129" s="22"/>
      <c r="AA129" s="998"/>
      <c r="AB129" s="996"/>
      <c r="AC129" s="20"/>
      <c r="AD129" s="22"/>
      <c r="AE129" s="998"/>
      <c r="AF129" s="996"/>
      <c r="AG129" s="20"/>
      <c r="AH129" s="22"/>
      <c r="AI129" s="437"/>
      <c r="AJ129" s="999">
        <f>SUM(J129:AH129)</f>
        <v>0</v>
      </c>
      <c r="AK129" s="35"/>
      <c r="AL129" s="21"/>
      <c r="AM129" s="940"/>
      <c r="AN129" s="1"/>
      <c r="AO129" s="1"/>
      <c r="AP129" s="1"/>
      <c r="AQ129" s="1"/>
      <c r="AR129" s="1">
        <f>IF(SUM($L237:L237)&gt;0,SUM($AP89:AR89)-SUM($AQ129:AQ129),0)</f>
        <v>0</v>
      </c>
      <c r="AS129" s="1"/>
      <c r="AT129" s="1">
        <f>IF(SUM($L237:P237)&gt;0,SUM($AP89:AT89)-SUM($AQ129:AS129),0)</f>
        <v>0</v>
      </c>
      <c r="AU129" s="1"/>
      <c r="AV129" s="1">
        <f>IF(SUM($L237:T237)&gt;0,SUM($AP89:AV89)-SUM($AQ129:AU129),0)</f>
        <v>0</v>
      </c>
      <c r="AW129" s="1"/>
      <c r="AX129" s="1">
        <f>IF(SUM($L237:X237)&gt;0,SUM($AP89:AX89)-SUM($AQ129:AW129),0)</f>
        <v>0</v>
      </c>
      <c r="AY129" s="1"/>
      <c r="AZ129" s="1">
        <f>IF(SUM($L237:AB237)&gt;0,SUM($AP89:AZ89)-SUM($AQ129:AY129),0)</f>
        <v>0</v>
      </c>
      <c r="BA129" s="1"/>
      <c r="BB129" s="1">
        <f>IF(SUM($L237:AF237)&gt;0,SUM($AP89:BB89)-SUM($AQ129:BA129),0)</f>
        <v>0</v>
      </c>
      <c r="BC129" s="1"/>
      <c r="BD129" s="1"/>
      <c r="BE129" s="1"/>
      <c r="BF129" s="1"/>
    </row>
    <row r="130" ht="4.5" customHeight="1">
      <c r="A130" s="1"/>
      <c r="B130" s="203"/>
      <c r="C130" s="180"/>
      <c r="D130" s="39"/>
      <c r="E130" s="994"/>
      <c r="F130" s="994"/>
      <c r="G130" s="994"/>
      <c r="H130" s="994"/>
      <c r="I130" s="979"/>
      <c r="J130" s="828"/>
      <c r="K130" s="39"/>
      <c r="L130" s="85"/>
      <c r="M130" s="85"/>
      <c r="N130" s="981"/>
      <c r="O130" s="981"/>
      <c r="P130" s="85"/>
      <c r="Q130" s="85"/>
      <c r="R130" s="981"/>
      <c r="S130" s="981"/>
      <c r="T130" s="85"/>
      <c r="U130" s="85"/>
      <c r="V130" s="981"/>
      <c r="W130" s="982"/>
      <c r="X130" s="85"/>
      <c r="Y130" s="85"/>
      <c r="Z130" s="981"/>
      <c r="AA130" s="982"/>
      <c r="AB130" s="85"/>
      <c r="AC130" s="85"/>
      <c r="AD130" s="981"/>
      <c r="AE130" s="982"/>
      <c r="AF130" s="85"/>
      <c r="AG130" s="85"/>
      <c r="AH130" s="981"/>
      <c r="AI130" s="437"/>
      <c r="AJ130" s="85"/>
      <c r="AK130" s="85"/>
      <c r="AL130" s="981"/>
      <c r="AM130" s="940"/>
      <c r="AN130" s="1"/>
      <c r="AO130" s="1017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</row>
    <row r="131" ht="14.25" customHeight="1">
      <c r="A131" s="1"/>
      <c r="B131" s="438" t="str">
        <f>B36</f>
        <v/>
      </c>
      <c r="C131" s="438"/>
      <c r="D131" s="39"/>
      <c r="E131" s="994"/>
      <c r="F131" s="994"/>
      <c r="G131" s="994"/>
      <c r="H131" s="994"/>
      <c r="I131" s="39"/>
      <c r="J131" s="828" t="s">
        <v>594</v>
      </c>
      <c r="K131" s="1114"/>
      <c r="L131" s="996"/>
      <c r="M131" s="20"/>
      <c r="N131" s="22"/>
      <c r="O131" s="437"/>
      <c r="P131" s="996"/>
      <c r="Q131" s="20"/>
      <c r="R131" s="22"/>
      <c r="S131" s="437"/>
      <c r="T131" s="996"/>
      <c r="U131" s="20"/>
      <c r="V131" s="22"/>
      <c r="W131" s="940"/>
      <c r="X131" s="996"/>
      <c r="Y131" s="20"/>
      <c r="Z131" s="22"/>
      <c r="AA131" s="940"/>
      <c r="AB131" s="996"/>
      <c r="AC131" s="20"/>
      <c r="AD131" s="22"/>
      <c r="AE131" s="940"/>
      <c r="AF131" s="996"/>
      <c r="AG131" s="20"/>
      <c r="AH131" s="22"/>
      <c r="AI131" s="437"/>
      <c r="AJ131" s="999">
        <f>SUM(J131:AH131)</f>
        <v>0</v>
      </c>
      <c r="AK131" s="35"/>
      <c r="AL131" s="21"/>
      <c r="AM131" s="940"/>
      <c r="AN131" s="1"/>
      <c r="AO131" s="1"/>
      <c r="AP131" s="1"/>
      <c r="AQ131" s="1"/>
      <c r="AR131" s="1">
        <f>IF(SUM($L239:L239)&gt;0,SUM($AP91:AR91)-SUM($AQ131:AQ131),0)</f>
        <v>0</v>
      </c>
      <c r="AS131" s="1"/>
      <c r="AT131" s="1">
        <f>IF(SUM($L239:P239)&gt;0,SUM($AP91:AT91)-SUM($AQ131:AS131),0)</f>
        <v>0</v>
      </c>
      <c r="AU131" s="1"/>
      <c r="AV131" s="1">
        <f>IF(SUM($L239:T239)&gt;0,SUM($AP91:AV91)-SUM($AQ131:AU131),0)</f>
        <v>0</v>
      </c>
      <c r="AW131" s="1"/>
      <c r="AX131" s="1">
        <f>IF(SUM($L239:X239)&gt;0,SUM($AP91:AX91)-SUM($AQ131:AW131),0)</f>
        <v>0</v>
      </c>
      <c r="AY131" s="1"/>
      <c r="AZ131" s="1">
        <f>IF(SUM($L239:AB239)&gt;0,SUM($AP91:AZ91)-SUM($AQ131:AY131),0)</f>
        <v>0</v>
      </c>
      <c r="BA131" s="1"/>
      <c r="BB131" s="1">
        <f>IF(SUM($L239:AF239)&gt;0,SUM($AP91:BB91)-SUM($AQ131:BA131),0)</f>
        <v>0</v>
      </c>
      <c r="BC131" s="1"/>
      <c r="BD131" s="1"/>
      <c r="BE131" s="1"/>
      <c r="BF131" s="1"/>
    </row>
    <row r="132" ht="4.5" customHeight="1">
      <c r="A132" s="1"/>
      <c r="B132" s="203"/>
      <c r="C132" s="180"/>
      <c r="D132" s="39"/>
      <c r="E132" s="994"/>
      <c r="F132" s="994"/>
      <c r="G132" s="994"/>
      <c r="H132" s="994"/>
      <c r="I132" s="979"/>
      <c r="J132" s="469"/>
      <c r="K132" s="39"/>
      <c r="L132" s="85"/>
      <c r="M132" s="85"/>
      <c r="N132" s="981"/>
      <c r="O132" s="981"/>
      <c r="P132" s="85"/>
      <c r="Q132" s="85"/>
      <c r="R132" s="981"/>
      <c r="S132" s="981"/>
      <c r="T132" s="85"/>
      <c r="U132" s="85"/>
      <c r="V132" s="981"/>
      <c r="W132" s="982"/>
      <c r="X132" s="85"/>
      <c r="Y132" s="85"/>
      <c r="Z132" s="981"/>
      <c r="AA132" s="982"/>
      <c r="AB132" s="85"/>
      <c r="AC132" s="85"/>
      <c r="AD132" s="981"/>
      <c r="AE132" s="982"/>
      <c r="AF132" s="85"/>
      <c r="AG132" s="85"/>
      <c r="AH132" s="981"/>
      <c r="AI132" s="437"/>
      <c r="AJ132" s="85"/>
      <c r="AK132" s="85"/>
      <c r="AL132" s="981"/>
      <c r="AM132" s="940"/>
      <c r="AN132" s="1"/>
      <c r="AO132" s="1017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</row>
    <row r="133" ht="14.25" customHeight="1">
      <c r="A133" s="1"/>
      <c r="B133" s="438" t="str">
        <f>B38</f>
        <v/>
      </c>
      <c r="C133" s="438"/>
      <c r="D133" s="39"/>
      <c r="E133" s="994"/>
      <c r="F133" s="994"/>
      <c r="G133" s="994"/>
      <c r="H133" s="994"/>
      <c r="I133" s="39"/>
      <c r="J133" s="828" t="s">
        <v>594</v>
      </c>
      <c r="K133" s="1114"/>
      <c r="L133" s="996"/>
      <c r="M133" s="20"/>
      <c r="N133" s="22"/>
      <c r="O133" s="437"/>
      <c r="P133" s="996"/>
      <c r="Q133" s="20"/>
      <c r="R133" s="22"/>
      <c r="S133" s="437"/>
      <c r="T133" s="996"/>
      <c r="U133" s="20"/>
      <c r="V133" s="22"/>
      <c r="W133" s="940"/>
      <c r="X133" s="996"/>
      <c r="Y133" s="20"/>
      <c r="Z133" s="22"/>
      <c r="AA133" s="940"/>
      <c r="AB133" s="996"/>
      <c r="AC133" s="20"/>
      <c r="AD133" s="22"/>
      <c r="AE133" s="940"/>
      <c r="AF133" s="996"/>
      <c r="AG133" s="20"/>
      <c r="AH133" s="22"/>
      <c r="AI133" s="437"/>
      <c r="AJ133" s="999">
        <f>SUM(J133:AH133)</f>
        <v>0</v>
      </c>
      <c r="AK133" s="35"/>
      <c r="AL133" s="21"/>
      <c r="AM133" s="940"/>
      <c r="AN133" s="1"/>
      <c r="AO133" s="1"/>
      <c r="AP133" s="1"/>
      <c r="AQ133" s="1"/>
      <c r="AR133" s="1">
        <f>IF(SUM($L223:L223)&gt;0,SUM($AP75:AR75)-SUM($AQ133:AQ133),0)</f>
        <v>0</v>
      </c>
      <c r="AS133" s="1"/>
      <c r="AT133" s="1">
        <f>IF(SUM($L223:P223)&gt;0,SUM($AP75:AT75)-SUM($AQ133:AS133),0)</f>
        <v>0</v>
      </c>
      <c r="AU133" s="1"/>
      <c r="AV133" s="1">
        <f>IF(SUM($L223:T223)&gt;0,SUM($AP75:AV75)-SUM($AQ133:AU133),0)</f>
        <v>0</v>
      </c>
      <c r="AW133" s="1"/>
      <c r="AX133" s="1">
        <f>IF(SUM($L223:X223)&gt;0,SUM($AP75:AX75)-SUM($AQ133:AW133),0)</f>
        <v>0</v>
      </c>
      <c r="AY133" s="1"/>
      <c r="AZ133" s="1">
        <f>IF(SUM($L223:AB223)&gt;0,SUM($AP75:AZ75)-SUM($AQ133:AY133),0)</f>
        <v>0</v>
      </c>
      <c r="BA133" s="1"/>
      <c r="BB133" s="1">
        <f>IF(SUM($L223:AF223)&gt;0,SUM($AP75:BB75)-SUM($AQ133:BA133),0)</f>
        <v>0</v>
      </c>
      <c r="BC133" s="1"/>
      <c r="BD133" s="1"/>
      <c r="BE133" s="1"/>
      <c r="BF133" s="1"/>
    </row>
    <row r="134" ht="4.5" customHeight="1">
      <c r="A134" s="1"/>
      <c r="B134" s="203"/>
      <c r="C134" s="180"/>
      <c r="D134" s="39"/>
      <c r="E134" s="994"/>
      <c r="F134" s="994"/>
      <c r="G134" s="994"/>
      <c r="H134" s="994"/>
      <c r="I134" s="979"/>
      <c r="J134" s="469"/>
      <c r="K134" s="39"/>
      <c r="L134" s="85"/>
      <c r="M134" s="85"/>
      <c r="N134" s="981"/>
      <c r="O134" s="981"/>
      <c r="P134" s="85"/>
      <c r="Q134" s="85"/>
      <c r="R134" s="981"/>
      <c r="S134" s="981"/>
      <c r="T134" s="85"/>
      <c r="U134" s="85"/>
      <c r="V134" s="981"/>
      <c r="W134" s="982"/>
      <c r="X134" s="85"/>
      <c r="Y134" s="85"/>
      <c r="Z134" s="981"/>
      <c r="AA134" s="982"/>
      <c r="AB134" s="85"/>
      <c r="AC134" s="85"/>
      <c r="AD134" s="981"/>
      <c r="AE134" s="982"/>
      <c r="AF134" s="85"/>
      <c r="AG134" s="85"/>
      <c r="AH134" s="981"/>
      <c r="AI134" s="437"/>
      <c r="AJ134" s="85"/>
      <c r="AK134" s="85"/>
      <c r="AL134" s="981"/>
      <c r="AM134" s="940"/>
      <c r="AN134" s="1"/>
      <c r="AO134" s="1017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</row>
    <row r="135" ht="14.25" customHeight="1">
      <c r="A135" s="1"/>
      <c r="B135" s="438" t="str">
        <f>B40</f>
        <v/>
      </c>
      <c r="C135" s="438"/>
      <c r="D135" s="39"/>
      <c r="E135" s="994"/>
      <c r="F135" s="994"/>
      <c r="G135" s="994"/>
      <c r="H135" s="994"/>
      <c r="I135" s="39"/>
      <c r="J135" s="828" t="s">
        <v>594</v>
      </c>
      <c r="K135" s="1114"/>
      <c r="L135" s="996"/>
      <c r="M135" s="20"/>
      <c r="N135" s="22"/>
      <c r="O135" s="437"/>
      <c r="P135" s="996"/>
      <c r="Q135" s="20"/>
      <c r="R135" s="22"/>
      <c r="S135" s="437"/>
      <c r="T135" s="996"/>
      <c r="U135" s="20"/>
      <c r="V135" s="22"/>
      <c r="W135" s="940"/>
      <c r="X135" s="996"/>
      <c r="Y135" s="20"/>
      <c r="Z135" s="22"/>
      <c r="AA135" s="940"/>
      <c r="AB135" s="996"/>
      <c r="AC135" s="20"/>
      <c r="AD135" s="22"/>
      <c r="AE135" s="940"/>
      <c r="AF135" s="996"/>
      <c r="AG135" s="20"/>
      <c r="AH135" s="22"/>
      <c r="AI135" s="437"/>
      <c r="AJ135" s="999">
        <f>SUM(J135:AH135)</f>
        <v>0</v>
      </c>
      <c r="AK135" s="35"/>
      <c r="AL135" s="21"/>
      <c r="AM135" s="940"/>
      <c r="AN135" s="1"/>
      <c r="AO135" s="1"/>
      <c r="AP135" s="1"/>
      <c r="AQ135" s="1"/>
      <c r="AR135" s="1">
        <f>IF(SUM($L225:L225)&gt;0,SUM($AP77:AR77)-SUM($AQ135:AQ135),0)</f>
        <v>0</v>
      </c>
      <c r="AS135" s="1"/>
      <c r="AT135" s="1">
        <f>IF(SUM($L225:P225)&gt;0,SUM($AP77:AT77)-SUM($AQ135:AS135),0)</f>
        <v>0</v>
      </c>
      <c r="AU135" s="1"/>
      <c r="AV135" s="1">
        <f>IF(SUM($L225:T225)&gt;0,SUM($AP77:AV77)-SUM($AQ135:AU135),0)</f>
        <v>0</v>
      </c>
      <c r="AW135" s="1"/>
      <c r="AX135" s="1">
        <f>IF(SUM($L225:X225)&gt;0,SUM($AP77:AX77)-SUM($AQ135:AW135),0)</f>
        <v>0</v>
      </c>
      <c r="AY135" s="1"/>
      <c r="AZ135" s="1">
        <f>IF(SUM($L225:AB225)&gt;0,SUM($AP77:AZ77)-SUM($AQ135:AY135),0)</f>
        <v>0</v>
      </c>
      <c r="BA135" s="1"/>
      <c r="BB135" s="1">
        <f>IF(SUM($L225:AF225)&gt;0,SUM($AP77:BB77)-SUM($AQ135:BA135),0)</f>
        <v>0</v>
      </c>
      <c r="BC135" s="1"/>
      <c r="BD135" s="1"/>
      <c r="BE135" s="1"/>
      <c r="BF135" s="1"/>
    </row>
    <row r="136" ht="4.5" customHeight="1">
      <c r="A136" s="1"/>
      <c r="B136" s="203"/>
      <c r="C136" s="180"/>
      <c r="D136" s="39"/>
      <c r="E136" s="994"/>
      <c r="F136" s="994"/>
      <c r="G136" s="994"/>
      <c r="H136" s="994"/>
      <c r="I136" s="979"/>
      <c r="J136" s="469"/>
      <c r="K136" s="39"/>
      <c r="L136" s="85"/>
      <c r="M136" s="85"/>
      <c r="N136" s="981"/>
      <c r="O136" s="981"/>
      <c r="P136" s="85"/>
      <c r="Q136" s="85"/>
      <c r="R136" s="981"/>
      <c r="S136" s="981"/>
      <c r="T136" s="85"/>
      <c r="U136" s="85"/>
      <c r="V136" s="981"/>
      <c r="W136" s="982"/>
      <c r="X136" s="85"/>
      <c r="Y136" s="85"/>
      <c r="Z136" s="981"/>
      <c r="AA136" s="982"/>
      <c r="AB136" s="85"/>
      <c r="AC136" s="85"/>
      <c r="AD136" s="981"/>
      <c r="AE136" s="982"/>
      <c r="AF136" s="85"/>
      <c r="AG136" s="85"/>
      <c r="AH136" s="981"/>
      <c r="AI136" s="437"/>
      <c r="AJ136" s="85"/>
      <c r="AK136" s="85"/>
      <c r="AL136" s="981"/>
      <c r="AM136" s="940"/>
      <c r="AN136" s="1"/>
      <c r="AO136" s="1017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</row>
    <row r="137" ht="14.25" customHeight="1">
      <c r="A137" s="1"/>
      <c r="B137" s="438" t="str">
        <f>B42</f>
        <v/>
      </c>
      <c r="C137" s="438"/>
      <c r="D137" s="39"/>
      <c r="E137" s="994"/>
      <c r="F137" s="994"/>
      <c r="G137" s="994"/>
      <c r="H137" s="994"/>
      <c r="I137" s="39"/>
      <c r="J137" s="828" t="s">
        <v>594</v>
      </c>
      <c r="K137" s="1114"/>
      <c r="L137" s="996"/>
      <c r="M137" s="20"/>
      <c r="N137" s="22"/>
      <c r="O137" s="997"/>
      <c r="P137" s="996"/>
      <c r="Q137" s="20"/>
      <c r="R137" s="22"/>
      <c r="S137" s="997"/>
      <c r="T137" s="996"/>
      <c r="U137" s="20"/>
      <c r="V137" s="22"/>
      <c r="W137" s="998"/>
      <c r="X137" s="996"/>
      <c r="Y137" s="20"/>
      <c r="Z137" s="22"/>
      <c r="AA137" s="998"/>
      <c r="AB137" s="996"/>
      <c r="AC137" s="20"/>
      <c r="AD137" s="22"/>
      <c r="AE137" s="998"/>
      <c r="AF137" s="996"/>
      <c r="AG137" s="20"/>
      <c r="AH137" s="22"/>
      <c r="AI137" s="437"/>
      <c r="AJ137" s="999">
        <f>SUM(J137:AH137)</f>
        <v>0</v>
      </c>
      <c r="AK137" s="35"/>
      <c r="AL137" s="21"/>
      <c r="AM137" s="940"/>
      <c r="AN137" s="1"/>
      <c r="AO137" s="1"/>
      <c r="AP137" s="1"/>
      <c r="AQ137" s="1"/>
      <c r="AR137" s="1">
        <f>IF(SUM($L227:L227)&gt;0,SUM($AP79:AR79)-SUM($AQ137:AQ137),0)</f>
        <v>0</v>
      </c>
      <c r="AS137" s="1"/>
      <c r="AT137" s="1">
        <f>IF(SUM($L227:P227)&gt;0,SUM($AP79:AT79)-SUM($AQ137:AS137),0)</f>
        <v>0</v>
      </c>
      <c r="AU137" s="1"/>
      <c r="AV137" s="1">
        <f>IF(SUM($L227:T227)&gt;0,SUM($AP79:AV79)-SUM($AQ137:AU137),0)</f>
        <v>0</v>
      </c>
      <c r="AW137" s="1"/>
      <c r="AX137" s="1">
        <f>IF(SUM($L227:X227)&gt;0,SUM($AP79:AX79)-SUM($AQ137:AW137),0)</f>
        <v>0</v>
      </c>
      <c r="AY137" s="1"/>
      <c r="AZ137" s="1">
        <f>IF(SUM($L227:AB227)&gt;0,SUM($AP79:AZ79)-SUM($AQ137:AY137),0)</f>
        <v>0</v>
      </c>
      <c r="BA137" s="1"/>
      <c r="BB137" s="1">
        <f>IF(SUM($L227:AF227)&gt;0,SUM($AP79:BB79)-SUM($AQ137:BA137),0)</f>
        <v>0</v>
      </c>
      <c r="BC137" s="1"/>
      <c r="BD137" s="1"/>
      <c r="BE137" s="1"/>
      <c r="BF137" s="1"/>
    </row>
    <row r="138" ht="4.5" customHeight="1">
      <c r="A138" s="1"/>
      <c r="B138" s="203"/>
      <c r="C138" s="180"/>
      <c r="D138" s="39"/>
      <c r="E138" s="994"/>
      <c r="F138" s="994"/>
      <c r="G138" s="994"/>
      <c r="H138" s="994"/>
      <c r="I138" s="979"/>
      <c r="J138" s="828"/>
      <c r="K138" s="39"/>
      <c r="L138" s="85"/>
      <c r="M138" s="85"/>
      <c r="N138" s="981"/>
      <c r="O138" s="981"/>
      <c r="P138" s="85"/>
      <c r="Q138" s="85"/>
      <c r="R138" s="981"/>
      <c r="S138" s="981"/>
      <c r="T138" s="85"/>
      <c r="U138" s="85"/>
      <c r="V138" s="981"/>
      <c r="W138" s="982"/>
      <c r="X138" s="85"/>
      <c r="Y138" s="85"/>
      <c r="Z138" s="981"/>
      <c r="AA138" s="982"/>
      <c r="AB138" s="85"/>
      <c r="AC138" s="85"/>
      <c r="AD138" s="981"/>
      <c r="AE138" s="982"/>
      <c r="AF138" s="85"/>
      <c r="AG138" s="85"/>
      <c r="AH138" s="981"/>
      <c r="AI138" s="437"/>
      <c r="AJ138" s="85"/>
      <c r="AK138" s="85"/>
      <c r="AL138" s="981"/>
      <c r="AM138" s="940"/>
      <c r="AN138" s="1"/>
      <c r="AO138" s="1017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</row>
    <row r="139" ht="14.25" customHeight="1">
      <c r="A139" s="1"/>
      <c r="B139" s="438" t="str">
        <f>B44</f>
        <v/>
      </c>
      <c r="C139" s="438"/>
      <c r="D139" s="39"/>
      <c r="E139" s="994"/>
      <c r="F139" s="994"/>
      <c r="G139" s="994"/>
      <c r="H139" s="994"/>
      <c r="I139" s="39"/>
      <c r="J139" s="828" t="s">
        <v>594</v>
      </c>
      <c r="K139" s="1114"/>
      <c r="L139" s="996"/>
      <c r="M139" s="20"/>
      <c r="N139" s="22"/>
      <c r="O139" s="997"/>
      <c r="P139" s="996"/>
      <c r="Q139" s="20"/>
      <c r="R139" s="22"/>
      <c r="S139" s="997"/>
      <c r="T139" s="996"/>
      <c r="U139" s="20"/>
      <c r="V139" s="22"/>
      <c r="W139" s="998"/>
      <c r="X139" s="996"/>
      <c r="Y139" s="20"/>
      <c r="Z139" s="22"/>
      <c r="AA139" s="998"/>
      <c r="AB139" s="996"/>
      <c r="AC139" s="20"/>
      <c r="AD139" s="22"/>
      <c r="AE139" s="998"/>
      <c r="AF139" s="996"/>
      <c r="AG139" s="20"/>
      <c r="AH139" s="22"/>
      <c r="AI139" s="437"/>
      <c r="AJ139" s="999">
        <f>SUM(J139:AH139)</f>
        <v>0</v>
      </c>
      <c r="AK139" s="35"/>
      <c r="AL139" s="21"/>
      <c r="AM139" s="940"/>
      <c r="AN139" s="1"/>
      <c r="AO139" s="1"/>
      <c r="AP139" s="1"/>
      <c r="AQ139" s="1"/>
      <c r="AR139" s="1">
        <f>IF(SUM($L229:L229)&gt;0,SUM($AP81:AR81)-SUM($AQ139:AQ139),0)</f>
        <v>0</v>
      </c>
      <c r="AS139" s="1"/>
      <c r="AT139" s="1">
        <f>IF(SUM($L229:P229)&gt;0,SUM($AP81:AT81)-SUM($AQ139:AS139),0)</f>
        <v>0</v>
      </c>
      <c r="AU139" s="1"/>
      <c r="AV139" s="1">
        <f>IF(SUM($L229:T229)&gt;0,SUM($AP81:AV81)-SUM($AQ139:AU139),0)</f>
        <v>0</v>
      </c>
      <c r="AW139" s="1"/>
      <c r="AX139" s="1">
        <f>IF(SUM($L229:X229)&gt;0,SUM($AP81:AX81)-SUM($AQ139:AW139),0)</f>
        <v>0</v>
      </c>
      <c r="AY139" s="1"/>
      <c r="AZ139" s="1">
        <f>IF(SUM($L229:AB229)&gt;0,SUM($AP81:AZ81)-SUM($AQ139:AY139),0)</f>
        <v>0</v>
      </c>
      <c r="BA139" s="1"/>
      <c r="BB139" s="1">
        <f>IF(SUM($L229:AF229)&gt;0,SUM($AP81:BB81)-SUM($AQ139:BA139),0)</f>
        <v>0</v>
      </c>
      <c r="BC139" s="1"/>
      <c r="BD139" s="1"/>
      <c r="BE139" s="1"/>
      <c r="BF139" s="1"/>
    </row>
    <row r="140" ht="4.5" customHeight="1">
      <c r="A140" s="1"/>
      <c r="B140" s="203"/>
      <c r="C140" s="180"/>
      <c r="D140" s="39"/>
      <c r="E140" s="994"/>
      <c r="F140" s="994"/>
      <c r="G140" s="994"/>
      <c r="H140" s="994"/>
      <c r="I140" s="979"/>
      <c r="J140" s="828"/>
      <c r="K140" s="39"/>
      <c r="L140" s="85"/>
      <c r="M140" s="85"/>
      <c r="N140" s="981"/>
      <c r="O140" s="981"/>
      <c r="P140" s="85"/>
      <c r="Q140" s="85"/>
      <c r="R140" s="981"/>
      <c r="S140" s="981"/>
      <c r="T140" s="85"/>
      <c r="U140" s="85"/>
      <c r="V140" s="981"/>
      <c r="W140" s="982"/>
      <c r="X140" s="85"/>
      <c r="Y140" s="85"/>
      <c r="Z140" s="981"/>
      <c r="AA140" s="982"/>
      <c r="AB140" s="85"/>
      <c r="AC140" s="85"/>
      <c r="AD140" s="981"/>
      <c r="AE140" s="982"/>
      <c r="AF140" s="85"/>
      <c r="AG140" s="85"/>
      <c r="AH140" s="981"/>
      <c r="AI140" s="437"/>
      <c r="AJ140" s="85"/>
      <c r="AK140" s="85"/>
      <c r="AL140" s="981"/>
      <c r="AM140" s="940"/>
      <c r="AN140" s="1"/>
      <c r="AO140" s="1017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</row>
    <row r="141" ht="14.25" customHeight="1">
      <c r="A141" s="1"/>
      <c r="B141" s="446" t="s">
        <v>702</v>
      </c>
      <c r="C141" s="446"/>
      <c r="D141" s="39"/>
      <c r="E141" s="994"/>
      <c r="F141" s="994"/>
      <c r="G141" s="994"/>
      <c r="H141" s="994"/>
      <c r="I141" s="39"/>
      <c r="J141" s="469" t="s">
        <v>594</v>
      </c>
      <c r="K141" s="39"/>
      <c r="L141" s="996"/>
      <c r="M141" s="20"/>
      <c r="N141" s="22"/>
      <c r="O141" s="437"/>
      <c r="P141" s="996"/>
      <c r="Q141" s="20"/>
      <c r="R141" s="22"/>
      <c r="S141" s="437"/>
      <c r="T141" s="996"/>
      <c r="U141" s="20"/>
      <c r="V141" s="22"/>
      <c r="W141" s="940"/>
      <c r="X141" s="996"/>
      <c r="Y141" s="20"/>
      <c r="Z141" s="22"/>
      <c r="AA141" s="940"/>
      <c r="AB141" s="996"/>
      <c r="AC141" s="20"/>
      <c r="AD141" s="22"/>
      <c r="AE141" s="940"/>
      <c r="AF141" s="996"/>
      <c r="AG141" s="20"/>
      <c r="AH141" s="22"/>
      <c r="AI141" s="437"/>
      <c r="AJ141" s="999">
        <f>SUM(J141:AH141)</f>
        <v>0</v>
      </c>
      <c r="AK141" s="35"/>
      <c r="AL141" s="21"/>
      <c r="AM141" s="940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</row>
    <row r="142" ht="0.75" customHeight="1">
      <c r="A142" s="1"/>
      <c r="B142" s="82"/>
      <c r="C142" s="82"/>
      <c r="D142" s="39"/>
      <c r="E142" s="994"/>
      <c r="F142" s="994"/>
      <c r="G142" s="994"/>
      <c r="H142" s="994"/>
      <c r="I142" s="39"/>
      <c r="J142" s="828"/>
      <c r="K142" s="1114"/>
      <c r="L142" s="1114"/>
      <c r="M142" s="1114"/>
      <c r="N142" s="1114"/>
      <c r="O142" s="1114"/>
      <c r="P142" s="1114"/>
      <c r="Q142" s="1114"/>
      <c r="R142" s="1114"/>
      <c r="S142" s="997"/>
      <c r="T142" s="1114"/>
      <c r="U142" s="1114"/>
      <c r="V142" s="1114"/>
      <c r="W142" s="997"/>
      <c r="X142" s="1114"/>
      <c r="Y142" s="1114"/>
      <c r="Z142" s="1114"/>
      <c r="AA142" s="998"/>
      <c r="AB142" s="1114"/>
      <c r="AC142" s="1114"/>
      <c r="AD142" s="1114"/>
      <c r="AE142" s="998"/>
      <c r="AF142" s="1114"/>
      <c r="AG142" s="1114"/>
      <c r="AH142" s="1114"/>
      <c r="AI142" s="437"/>
      <c r="AJ142" s="1114"/>
      <c r="AK142" s="1114"/>
      <c r="AL142" s="1114"/>
      <c r="AM142" s="940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</row>
    <row r="143" ht="4.5" customHeight="1">
      <c r="A143" s="1"/>
      <c r="B143" s="203"/>
      <c r="C143" s="180"/>
      <c r="D143" s="39"/>
      <c r="E143" s="994"/>
      <c r="F143" s="994"/>
      <c r="G143" s="994"/>
      <c r="H143" s="994"/>
      <c r="I143" s="979"/>
      <c r="J143" s="828"/>
      <c r="K143" s="39"/>
      <c r="L143" s="39"/>
      <c r="M143" s="39"/>
      <c r="N143" s="39"/>
      <c r="O143" s="39"/>
      <c r="P143" s="39"/>
      <c r="Q143" s="39"/>
      <c r="R143" s="39"/>
      <c r="S143" s="981"/>
      <c r="T143" s="39"/>
      <c r="U143" s="39"/>
      <c r="V143" s="39"/>
      <c r="W143" s="981"/>
      <c r="X143" s="39"/>
      <c r="Y143" s="39"/>
      <c r="Z143" s="39"/>
      <c r="AA143" s="982"/>
      <c r="AB143" s="39"/>
      <c r="AC143" s="39"/>
      <c r="AD143" s="39"/>
      <c r="AE143" s="982"/>
      <c r="AF143" s="39"/>
      <c r="AG143" s="39"/>
      <c r="AH143" s="39"/>
      <c r="AI143" s="437"/>
      <c r="AJ143" s="39"/>
      <c r="AK143" s="39"/>
      <c r="AL143" s="39"/>
      <c r="AM143" s="940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</row>
    <row r="144" ht="14.25" customHeight="1">
      <c r="A144" s="1"/>
      <c r="B144" s="82" t="s">
        <v>709</v>
      </c>
      <c r="C144" s="82"/>
      <c r="D144" s="39"/>
      <c r="E144" s="994"/>
      <c r="F144" s="994"/>
      <c r="G144" s="994"/>
      <c r="H144" s="994"/>
      <c r="I144" s="39"/>
      <c r="J144" s="828"/>
      <c r="K144" s="1114"/>
      <c r="L144" s="999">
        <f>SUM(L105:L141)</f>
        <v>7000000</v>
      </c>
      <c r="M144" s="35"/>
      <c r="N144" s="21"/>
      <c r="O144" s="1114"/>
      <c r="P144" s="999">
        <f>SUM(P105:P141)</f>
        <v>0</v>
      </c>
      <c r="Q144" s="35"/>
      <c r="R144" s="21"/>
      <c r="S144" s="997"/>
      <c r="T144" s="999">
        <f>SUM(T105:T141)</f>
        <v>0</v>
      </c>
      <c r="U144" s="35"/>
      <c r="V144" s="21"/>
      <c r="W144" s="997"/>
      <c r="X144" s="999">
        <f>SUM(X105:X141)</f>
        <v>0</v>
      </c>
      <c r="Y144" s="35"/>
      <c r="Z144" s="21"/>
      <c r="AA144" s="998"/>
      <c r="AB144" s="999">
        <f>SUM(AB105:AB141)</f>
        <v>0</v>
      </c>
      <c r="AC144" s="35"/>
      <c r="AD144" s="21"/>
      <c r="AE144" s="998"/>
      <c r="AF144" s="999">
        <f>SUM(AF105:AF141)</f>
        <v>0</v>
      </c>
      <c r="AG144" s="35"/>
      <c r="AH144" s="21"/>
      <c r="AI144" s="437"/>
      <c r="AJ144" s="999">
        <f>SUM(J144:AF144)</f>
        <v>7000000</v>
      </c>
      <c r="AK144" s="35"/>
      <c r="AL144" s="21"/>
      <c r="AM144" s="940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</row>
    <row r="145" ht="4.5" customHeight="1">
      <c r="A145" s="1"/>
      <c r="B145" s="203"/>
      <c r="C145" s="180"/>
      <c r="D145" s="39"/>
      <c r="E145" s="994"/>
      <c r="F145" s="994"/>
      <c r="G145" s="994"/>
      <c r="H145" s="994"/>
      <c r="I145" s="979"/>
      <c r="J145" s="828"/>
      <c r="K145" s="39"/>
      <c r="L145" s="39"/>
      <c r="M145" s="39"/>
      <c r="N145" s="39"/>
      <c r="O145" s="39"/>
      <c r="P145" s="39"/>
      <c r="Q145" s="39"/>
      <c r="R145" s="39"/>
      <c r="S145" s="981"/>
      <c r="T145" s="39"/>
      <c r="U145" s="39"/>
      <c r="V145" s="39"/>
      <c r="W145" s="981"/>
      <c r="X145" s="39"/>
      <c r="Y145" s="39"/>
      <c r="Z145" s="39"/>
      <c r="AA145" s="982"/>
      <c r="AB145" s="39"/>
      <c r="AC145" s="39"/>
      <c r="AD145" s="39"/>
      <c r="AE145" s="982"/>
      <c r="AF145" s="39"/>
      <c r="AG145" s="39"/>
      <c r="AH145" s="39"/>
      <c r="AI145" s="437"/>
      <c r="AJ145" s="39"/>
      <c r="AK145" s="39"/>
      <c r="AL145" s="39"/>
      <c r="AM145" s="940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</row>
    <row r="146" ht="14.25" customHeight="1">
      <c r="A146" s="1"/>
      <c r="B146" s="82" t="s">
        <v>710</v>
      </c>
      <c r="C146" s="82"/>
      <c r="D146" s="39"/>
      <c r="E146" s="994"/>
      <c r="F146" s="994"/>
      <c r="G146" s="994"/>
      <c r="H146" s="994"/>
      <c r="I146" s="39"/>
      <c r="J146" s="828" t="s">
        <v>711</v>
      </c>
      <c r="K146" s="1114"/>
      <c r="L146" s="1189">
        <v>0.065</v>
      </c>
      <c r="M146" s="20"/>
      <c r="N146" s="22"/>
      <c r="O146" s="1190"/>
      <c r="P146" s="1189"/>
      <c r="Q146" s="20"/>
      <c r="R146" s="22"/>
      <c r="S146" s="1190"/>
      <c r="T146" s="1189"/>
      <c r="U146" s="20"/>
      <c r="V146" s="22"/>
      <c r="W146" s="1190"/>
      <c r="X146" s="1189"/>
      <c r="Y146" s="20"/>
      <c r="Z146" s="22"/>
      <c r="AA146" s="1190"/>
      <c r="AB146" s="1189"/>
      <c r="AC146" s="20"/>
      <c r="AD146" s="22"/>
      <c r="AE146" s="1190"/>
      <c r="AF146" s="1189"/>
      <c r="AG146" s="20"/>
      <c r="AH146" s="22"/>
      <c r="AI146" s="437"/>
      <c r="AJ146" s="1"/>
      <c r="AK146" s="1"/>
      <c r="AL146" s="1"/>
      <c r="AM146" s="940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</row>
    <row r="147" ht="4.5" customHeight="1">
      <c r="A147" s="1"/>
      <c r="B147" s="203"/>
      <c r="C147" s="180"/>
      <c r="D147" s="39"/>
      <c r="E147" s="994"/>
      <c r="F147" s="994"/>
      <c r="G147" s="994"/>
      <c r="H147" s="994"/>
      <c r="I147" s="979"/>
      <c r="J147" s="828"/>
      <c r="K147" s="39"/>
      <c r="L147" s="85"/>
      <c r="M147" s="85"/>
      <c r="N147" s="981"/>
      <c r="O147" s="981"/>
      <c r="P147" s="85"/>
      <c r="Q147" s="85"/>
      <c r="R147" s="981"/>
      <c r="S147" s="981"/>
      <c r="T147" s="85"/>
      <c r="U147" s="85"/>
      <c r="V147" s="981"/>
      <c r="W147" s="982"/>
      <c r="X147" s="85"/>
      <c r="Y147" s="85"/>
      <c r="Z147" s="981"/>
      <c r="AA147" s="982"/>
      <c r="AB147" s="85"/>
      <c r="AC147" s="85"/>
      <c r="AD147" s="981"/>
      <c r="AE147" s="982"/>
      <c r="AF147" s="85"/>
      <c r="AG147" s="85"/>
      <c r="AH147" s="981"/>
      <c r="AI147" s="437"/>
      <c r="AJ147" s="1"/>
      <c r="AK147" s="1"/>
      <c r="AL147" s="1"/>
      <c r="AM147" s="940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</row>
    <row r="148" ht="14.25" customHeight="1">
      <c r="A148" s="1"/>
      <c r="B148" s="82" t="s">
        <v>712</v>
      </c>
      <c r="C148" s="82"/>
      <c r="D148" s="39"/>
      <c r="E148" s="994"/>
      <c r="F148" s="994"/>
      <c r="G148" s="994"/>
      <c r="H148" s="994"/>
      <c r="I148" s="39"/>
      <c r="J148" s="828" t="s">
        <v>713</v>
      </c>
      <c r="K148" s="1114"/>
      <c r="L148" s="39"/>
      <c r="M148" s="1191">
        <v>25.0</v>
      </c>
      <c r="N148" s="1192"/>
      <c r="O148" s="35"/>
      <c r="P148" s="1193"/>
      <c r="Q148" s="1191"/>
      <c r="R148" s="1192"/>
      <c r="S148" s="35"/>
      <c r="T148" s="1193"/>
      <c r="U148" s="1191"/>
      <c r="V148" s="1192"/>
      <c r="W148" s="35"/>
      <c r="X148" s="1193"/>
      <c r="Y148" s="1191"/>
      <c r="Z148" s="1192"/>
      <c r="AA148" s="35"/>
      <c r="AB148" s="1193"/>
      <c r="AC148" s="1191"/>
      <c r="AD148" s="1192"/>
      <c r="AE148" s="35"/>
      <c r="AF148" s="1193"/>
      <c r="AG148" s="1191"/>
      <c r="AH148" s="1194"/>
      <c r="AI148" s="1194"/>
      <c r="AJ148" s="1194"/>
      <c r="AK148" s="1"/>
      <c r="AL148" s="1"/>
      <c r="AM148" s="940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</row>
    <row r="149" ht="4.5" customHeight="1">
      <c r="A149" s="1"/>
      <c r="B149" s="203"/>
      <c r="C149" s="180"/>
      <c r="D149" s="39"/>
      <c r="E149" s="994"/>
      <c r="F149" s="994"/>
      <c r="G149" s="994"/>
      <c r="H149" s="994"/>
      <c r="I149" s="979"/>
      <c r="J149" s="828"/>
      <c r="K149" s="39"/>
      <c r="L149" s="85"/>
      <c r="M149" s="85"/>
      <c r="N149" s="981"/>
      <c r="O149" s="981"/>
      <c r="P149" s="438"/>
      <c r="Q149" s="85"/>
      <c r="R149" s="981"/>
      <c r="S149" s="981"/>
      <c r="T149" s="438"/>
      <c r="U149" s="85"/>
      <c r="V149" s="981"/>
      <c r="W149" s="982"/>
      <c r="X149" s="438"/>
      <c r="Y149" s="85"/>
      <c r="Z149" s="981"/>
      <c r="AA149" s="982"/>
      <c r="AB149" s="438"/>
      <c r="AC149" s="85"/>
      <c r="AD149" s="981"/>
      <c r="AE149" s="982"/>
      <c r="AF149" s="438"/>
      <c r="AG149" s="85"/>
      <c r="AH149" s="981"/>
      <c r="AI149" s="437"/>
      <c r="AJ149" s="1"/>
      <c r="AK149" s="1"/>
      <c r="AL149" s="1"/>
      <c r="AM149" s="940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</row>
    <row r="150" ht="14.25" customHeight="1">
      <c r="A150" s="1"/>
      <c r="B150" s="82" t="s">
        <v>714</v>
      </c>
      <c r="C150" s="82"/>
      <c r="D150" s="39"/>
      <c r="E150" s="994"/>
      <c r="F150" s="994"/>
      <c r="G150" s="994"/>
      <c r="H150" s="994"/>
      <c r="I150" s="39"/>
      <c r="J150" s="828" t="s">
        <v>715</v>
      </c>
      <c r="K150" s="1114"/>
      <c r="L150" s="39"/>
      <c r="M150" s="1195">
        <v>6.0</v>
      </c>
      <c r="N150" s="1192"/>
      <c r="O150" s="35"/>
      <c r="P150" s="1193"/>
      <c r="Q150" s="1195"/>
      <c r="R150" s="1192"/>
      <c r="S150" s="35"/>
      <c r="T150" s="1193"/>
      <c r="U150" s="1195"/>
      <c r="V150" s="1192"/>
      <c r="W150" s="35"/>
      <c r="X150" s="1193"/>
      <c r="Y150" s="1195"/>
      <c r="Z150" s="1192"/>
      <c r="AA150" s="35"/>
      <c r="AB150" s="1193"/>
      <c r="AC150" s="1195"/>
      <c r="AD150" s="1192"/>
      <c r="AE150" s="35"/>
      <c r="AF150" s="1193"/>
      <c r="AG150" s="1195"/>
      <c r="AH150" s="1194"/>
      <c r="AI150" s="1194"/>
      <c r="AJ150" s="1194"/>
      <c r="AK150" s="1"/>
      <c r="AL150" s="1"/>
      <c r="AM150" s="940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</row>
    <row r="151" ht="4.5" customHeight="1">
      <c r="A151" s="1"/>
      <c r="B151" s="203"/>
      <c r="C151" s="180"/>
      <c r="D151" s="39"/>
      <c r="E151" s="994"/>
      <c r="F151" s="994"/>
      <c r="G151" s="994"/>
      <c r="H151" s="994"/>
      <c r="I151" s="979"/>
      <c r="J151" s="828"/>
      <c r="K151" s="39"/>
      <c r="L151" s="85"/>
      <c r="M151" s="85"/>
      <c r="N151" s="981"/>
      <c r="O151" s="981"/>
      <c r="P151" s="438"/>
      <c r="Q151" s="85"/>
      <c r="R151" s="981"/>
      <c r="S151" s="981"/>
      <c r="T151" s="438"/>
      <c r="U151" s="85"/>
      <c r="V151" s="981"/>
      <c r="W151" s="982"/>
      <c r="X151" s="438"/>
      <c r="Y151" s="85"/>
      <c r="Z151" s="981"/>
      <c r="AA151" s="982"/>
      <c r="AB151" s="438"/>
      <c r="AC151" s="85"/>
      <c r="AD151" s="981"/>
      <c r="AE151" s="982"/>
      <c r="AF151" s="438"/>
      <c r="AG151" s="85"/>
      <c r="AH151" s="981"/>
      <c r="AI151" s="437"/>
      <c r="AJ151" s="1"/>
      <c r="AK151" s="1"/>
      <c r="AL151" s="1"/>
      <c r="AM151" s="940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</row>
    <row r="152" ht="14.25" customHeight="1">
      <c r="A152" s="1"/>
      <c r="B152" s="82" t="s">
        <v>716</v>
      </c>
      <c r="C152" s="82"/>
      <c r="D152" s="39"/>
      <c r="E152" s="994"/>
      <c r="F152" s="994"/>
      <c r="G152" s="994"/>
      <c r="H152" s="994"/>
      <c r="I152" s="39"/>
      <c r="J152" s="828" t="s">
        <v>717</v>
      </c>
      <c r="K152" s="1114"/>
      <c r="L152" s="39"/>
      <c r="M152" s="1195"/>
      <c r="N152" s="1192"/>
      <c r="O152" s="35"/>
      <c r="P152" s="1193"/>
      <c r="Q152" s="1195"/>
      <c r="R152" s="1192"/>
      <c r="S152" s="35"/>
      <c r="T152" s="1193"/>
      <c r="U152" s="1195"/>
      <c r="V152" s="1192"/>
      <c r="W152" s="35"/>
      <c r="X152" s="1193"/>
      <c r="Y152" s="1195"/>
      <c r="Z152" s="1192"/>
      <c r="AA152" s="35"/>
      <c r="AB152" s="1193"/>
      <c r="AC152" s="1195"/>
      <c r="AD152" s="1192"/>
      <c r="AE152" s="35"/>
      <c r="AF152" s="1193"/>
      <c r="AG152" s="1195"/>
      <c r="AH152" s="1194"/>
      <c r="AI152" s="1194"/>
      <c r="AJ152" s="1194"/>
      <c r="AK152" s="1"/>
      <c r="AL152" s="1"/>
      <c r="AM152" s="940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</row>
    <row r="153" ht="4.5" customHeight="1">
      <c r="A153" s="1"/>
      <c r="B153" s="203"/>
      <c r="C153" s="180"/>
      <c r="D153" s="39"/>
      <c r="E153" s="994"/>
      <c r="F153" s="994"/>
      <c r="G153" s="994"/>
      <c r="H153" s="994"/>
      <c r="I153" s="979"/>
      <c r="J153" s="828"/>
      <c r="K153" s="39"/>
      <c r="L153" s="39"/>
      <c r="M153" s="39"/>
      <c r="N153" s="39"/>
      <c r="O153" s="39"/>
      <c r="P153" s="39"/>
      <c r="Q153" s="39"/>
      <c r="R153" s="39"/>
      <c r="S153" s="981"/>
      <c r="T153" s="39"/>
      <c r="U153" s="39"/>
      <c r="V153" s="39"/>
      <c r="W153" s="981"/>
      <c r="X153" s="39"/>
      <c r="Y153" s="39"/>
      <c r="Z153" s="39"/>
      <c r="AA153" s="982"/>
      <c r="AB153" s="39"/>
      <c r="AC153" s="39"/>
      <c r="AD153" s="39"/>
      <c r="AE153" s="982"/>
      <c r="AF153" s="39"/>
      <c r="AG153" s="39"/>
      <c r="AH153" s="39"/>
      <c r="AI153" s="437"/>
      <c r="AJ153" s="1"/>
      <c r="AK153" s="1"/>
      <c r="AL153" s="1"/>
      <c r="AM153" s="940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</row>
    <row r="154" ht="14.25" customHeight="1">
      <c r="A154" s="1"/>
      <c r="B154" s="82" t="s">
        <v>718</v>
      </c>
      <c r="C154" s="82"/>
      <c r="D154" s="39"/>
      <c r="E154" s="994"/>
      <c r="F154" s="994"/>
      <c r="G154" s="994"/>
      <c r="H154" s="994"/>
      <c r="I154" s="39"/>
      <c r="J154" s="828" t="s">
        <v>719</v>
      </c>
      <c r="K154" s="1114"/>
      <c r="L154" s="1198">
        <f>IF(L144&gt;0,-PMT(L146,M148,L144),0)</f>
        <v>573870.3676</v>
      </c>
      <c r="M154" s="35"/>
      <c r="N154" s="21"/>
      <c r="O154" s="1199"/>
      <c r="P154" s="1198">
        <f>IF(P144&gt;0,-PMT(P146,Q148,P144),0)</f>
        <v>0</v>
      </c>
      <c r="Q154" s="35"/>
      <c r="R154" s="21"/>
      <c r="S154" s="1200"/>
      <c r="T154" s="1198">
        <f>IF(T144&gt;0,-PMT(T146,U148,T144),0)</f>
        <v>0</v>
      </c>
      <c r="U154" s="35"/>
      <c r="V154" s="21"/>
      <c r="W154" s="1200"/>
      <c r="X154" s="1198">
        <f>IF(X144&gt;0,-PMT(X146,Y148,X144),0)</f>
        <v>0</v>
      </c>
      <c r="Y154" s="35"/>
      <c r="Z154" s="21"/>
      <c r="AA154" s="1200"/>
      <c r="AB154" s="1198">
        <f>IF(AB144&gt;0,-PMT(AB146,AC148,AB144),0)</f>
        <v>0</v>
      </c>
      <c r="AC154" s="35"/>
      <c r="AD154" s="21"/>
      <c r="AE154" s="1200"/>
      <c r="AF154" s="1198">
        <f>IF(AF144&gt;0,-PMT(AF146,AG148,AF144),0)</f>
        <v>0</v>
      </c>
      <c r="AG154" s="35"/>
      <c r="AH154" s="21"/>
      <c r="AI154" s="437"/>
      <c r="AJ154" s="1"/>
      <c r="AK154" s="1"/>
      <c r="AL154" s="1"/>
      <c r="AM154" s="940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</row>
    <row r="155" ht="5.25" customHeight="1">
      <c r="A155" s="1"/>
      <c r="B155" s="82"/>
      <c r="C155" s="82"/>
      <c r="D155" s="828"/>
      <c r="E155" s="994"/>
      <c r="F155" s="994"/>
      <c r="G155" s="994"/>
      <c r="H155" s="994"/>
      <c r="I155" s="39"/>
      <c r="J155" s="1114"/>
      <c r="K155" s="1114"/>
      <c r="L155" s="1114"/>
      <c r="M155" s="1114"/>
      <c r="N155" s="1114"/>
      <c r="O155" s="1114"/>
      <c r="P155" s="1114"/>
      <c r="Q155" s="1114"/>
      <c r="R155" s="1114"/>
      <c r="S155" s="997"/>
      <c r="T155" s="1114"/>
      <c r="U155" s="1114"/>
      <c r="V155" s="1114"/>
      <c r="W155" s="997"/>
      <c r="X155" s="1114"/>
      <c r="Y155" s="1114"/>
      <c r="Z155" s="1114"/>
      <c r="AA155" s="998"/>
      <c r="AB155" s="1114"/>
      <c r="AC155" s="1114"/>
      <c r="AD155" s="1114"/>
      <c r="AE155" s="998"/>
      <c r="AF155" s="1114"/>
      <c r="AG155" s="1114"/>
      <c r="AH155" s="1114"/>
      <c r="AI155" s="437"/>
      <c r="AJ155" s="1114"/>
      <c r="AK155" s="1114"/>
      <c r="AL155" s="1114"/>
      <c r="AM155" s="940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</row>
    <row r="156" ht="14.25" customHeight="1">
      <c r="A156" s="1"/>
      <c r="B156" s="1201" t="s">
        <v>720</v>
      </c>
      <c r="C156" s="1"/>
      <c r="D156" s="1202"/>
      <c r="E156" s="994"/>
      <c r="F156" s="994"/>
      <c r="G156" s="994"/>
      <c r="H156" s="1202" t="s">
        <v>721</v>
      </c>
      <c r="I156" s="1203"/>
      <c r="J156" s="1204"/>
      <c r="K156" s="1204" t="s">
        <v>722</v>
      </c>
      <c r="L156" s="996"/>
      <c r="M156" s="20"/>
      <c r="N156" s="22"/>
      <c r="O156" s="997"/>
      <c r="P156" s="996"/>
      <c r="Q156" s="20"/>
      <c r="R156" s="22"/>
      <c r="S156" s="997"/>
      <c r="T156" s="996"/>
      <c r="U156" s="20"/>
      <c r="V156" s="22"/>
      <c r="W156" s="998"/>
      <c r="X156" s="996"/>
      <c r="Y156" s="20"/>
      <c r="Z156" s="22"/>
      <c r="AA156" s="998"/>
      <c r="AB156" s="996"/>
      <c r="AC156" s="20"/>
      <c r="AD156" s="22"/>
      <c r="AE156" s="998"/>
      <c r="AF156" s="996"/>
      <c r="AG156" s="20"/>
      <c r="AH156" s="22"/>
      <c r="AI156" s="437"/>
      <c r="AJ156" s="999">
        <f>SUM(J156:AH156)</f>
        <v>0</v>
      </c>
      <c r="AK156" s="35"/>
      <c r="AL156" s="21"/>
      <c r="AM156" s="940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</row>
    <row r="157" ht="5.25" customHeight="1">
      <c r="A157" s="1"/>
      <c r="B157" s="1201"/>
      <c r="C157" s="1"/>
      <c r="D157" s="828"/>
      <c r="E157" s="994"/>
      <c r="F157" s="994"/>
      <c r="G157" s="994"/>
      <c r="H157" s="994"/>
      <c r="I157" s="1205"/>
      <c r="J157" s="1206"/>
      <c r="K157" s="1114"/>
      <c r="L157" s="1114"/>
      <c r="M157" s="1114"/>
      <c r="N157" s="1114"/>
      <c r="O157" s="1114"/>
      <c r="P157" s="1114"/>
      <c r="Q157" s="1114"/>
      <c r="R157" s="1114"/>
      <c r="S157" s="997"/>
      <c r="T157" s="1114"/>
      <c r="U157" s="1114"/>
      <c r="V157" s="1114"/>
      <c r="W157" s="997"/>
      <c r="X157" s="1114"/>
      <c r="Y157" s="1114"/>
      <c r="Z157" s="1114"/>
      <c r="AA157" s="998"/>
      <c r="AB157" s="1114"/>
      <c r="AC157" s="1114"/>
      <c r="AD157" s="1114"/>
      <c r="AE157" s="998"/>
      <c r="AF157" s="1114"/>
      <c r="AG157" s="1114"/>
      <c r="AH157" s="1114"/>
      <c r="AI157" s="437"/>
      <c r="AJ157" s="1114"/>
      <c r="AK157" s="1114"/>
      <c r="AL157" s="1114"/>
      <c r="AM157" s="940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</row>
    <row r="158" ht="14.25" customHeight="1">
      <c r="A158" s="1"/>
      <c r="B158" s="1201" t="s">
        <v>723</v>
      </c>
      <c r="C158" s="1"/>
      <c r="D158" s="1202"/>
      <c r="E158" s="994"/>
      <c r="F158" s="994"/>
      <c r="G158" s="994"/>
      <c r="H158" s="1202" t="s">
        <v>721</v>
      </c>
      <c r="I158" s="1203">
        <v>6.0</v>
      </c>
      <c r="J158" s="1207" t="s">
        <v>169</v>
      </c>
      <c r="K158" s="1114"/>
      <c r="L158" s="1208">
        <f>'D PY Audit'!$H74</f>
        <v>745000</v>
      </c>
      <c r="M158" s="35"/>
      <c r="N158" s="21"/>
      <c r="O158" s="1114"/>
      <c r="P158" s="1208">
        <f>'D PY Audit'!$H76</f>
        <v>732000</v>
      </c>
      <c r="Q158" s="35"/>
      <c r="R158" s="21"/>
      <c r="S158" s="1209"/>
      <c r="T158" s="1208">
        <f>'D PY Audit'!$H78</f>
        <v>754000</v>
      </c>
      <c r="U158" s="35"/>
      <c r="V158" s="21"/>
      <c r="W158" s="1209"/>
      <c r="X158" s="1208">
        <f>'D PY Audit'!$H80</f>
        <v>786000</v>
      </c>
      <c r="Y158" s="35"/>
      <c r="Z158" s="21"/>
      <c r="AA158" s="1209"/>
      <c r="AB158" s="1208">
        <f>'D PY Audit'!$H82</f>
        <v>809000</v>
      </c>
      <c r="AC158" s="35"/>
      <c r="AD158" s="21"/>
      <c r="AE158" s="1209"/>
      <c r="AF158" s="1208">
        <f>'D PY Audit'!$H84</f>
        <v>1455000</v>
      </c>
      <c r="AG158" s="35"/>
      <c r="AH158" s="21"/>
      <c r="AI158" s="437"/>
      <c r="AJ158" s="1208">
        <f>SUM(J158:AF158)</f>
        <v>5281000</v>
      </c>
      <c r="AK158" s="35"/>
      <c r="AL158" s="21"/>
      <c r="AM158" s="940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</row>
    <row r="159" ht="4.5" customHeight="1">
      <c r="A159" s="1"/>
      <c r="B159" s="1201"/>
      <c r="C159" s="82"/>
      <c r="D159" s="828"/>
      <c r="E159" s="994"/>
      <c r="F159" s="994"/>
      <c r="G159" s="994"/>
      <c r="H159" s="994"/>
      <c r="I159" s="39"/>
      <c r="J159" s="1207"/>
      <c r="K159" s="1114"/>
      <c r="L159" s="1209"/>
      <c r="M159" s="1209"/>
      <c r="N159" s="1114"/>
      <c r="O159" s="1114"/>
      <c r="P159" s="1209"/>
      <c r="Q159" s="1209"/>
      <c r="R159" s="1114"/>
      <c r="S159" s="1209"/>
      <c r="T159" s="1209"/>
      <c r="U159" s="1209"/>
      <c r="V159" s="1114"/>
      <c r="W159" s="1209"/>
      <c r="X159" s="1209"/>
      <c r="Y159" s="1209"/>
      <c r="Z159" s="1114"/>
      <c r="AA159" s="1209"/>
      <c r="AB159" s="1209"/>
      <c r="AC159" s="1209"/>
      <c r="AD159" s="1114"/>
      <c r="AE159" s="1209"/>
      <c r="AF159" s="1209"/>
      <c r="AG159" s="1209"/>
      <c r="AH159" s="1114"/>
      <c r="AI159" s="437"/>
      <c r="AJ159" s="1209"/>
      <c r="AK159" s="1209"/>
      <c r="AL159" s="1114"/>
      <c r="AM159" s="940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</row>
    <row r="160" ht="14.25" customHeight="1">
      <c r="A160" s="1"/>
      <c r="B160" s="1201" t="s">
        <v>724</v>
      </c>
      <c r="C160" s="82"/>
      <c r="D160" s="828"/>
      <c r="E160" s="994"/>
      <c r="F160" s="994"/>
      <c r="G160" s="994"/>
      <c r="H160" s="994"/>
      <c r="I160" s="39"/>
      <c r="J160" s="1207"/>
      <c r="K160" s="1114"/>
      <c r="L160" s="1208">
        <f>'R Bal sheets'!F28-L156-L158</f>
        <v>26038294</v>
      </c>
      <c r="M160" s="35"/>
      <c r="N160" s="21"/>
      <c r="O160" s="1114"/>
      <c r="P160" s="1208">
        <f>L160-P156-P158</f>
        <v>25306294</v>
      </c>
      <c r="Q160" s="35"/>
      <c r="R160" s="21"/>
      <c r="S160" s="1209"/>
      <c r="T160" s="1208">
        <f>P160-T156-T158</f>
        <v>24552294</v>
      </c>
      <c r="U160" s="35"/>
      <c r="V160" s="21"/>
      <c r="W160" s="1209"/>
      <c r="X160" s="1208">
        <f>T160-X156-X158</f>
        <v>23766294</v>
      </c>
      <c r="Y160" s="35"/>
      <c r="Z160" s="21"/>
      <c r="AA160" s="1209"/>
      <c r="AB160" s="1208">
        <f>X160-AB156-AB158</f>
        <v>22957294</v>
      </c>
      <c r="AC160" s="35"/>
      <c r="AD160" s="21"/>
      <c r="AE160" s="1209"/>
      <c r="AF160" s="1208">
        <f>AB160-AF156-AF158</f>
        <v>21502294</v>
      </c>
      <c r="AG160" s="35"/>
      <c r="AH160" s="21"/>
      <c r="AI160" s="437"/>
      <c r="AJ160" s="1208"/>
      <c r="AK160" s="35"/>
      <c r="AL160" s="21"/>
      <c r="AM160" s="940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</row>
    <row r="161" ht="6.0" customHeight="1">
      <c r="A161" s="1"/>
      <c r="B161" s="1201"/>
      <c r="C161" s="82"/>
      <c r="D161" s="828"/>
      <c r="E161" s="828"/>
      <c r="F161" s="828"/>
      <c r="G161" s="828"/>
      <c r="H161" s="828"/>
      <c r="I161" s="828"/>
      <c r="J161" s="1210"/>
      <c r="K161" s="1114"/>
      <c r="L161" s="1209"/>
      <c r="M161" s="1209"/>
      <c r="N161" s="1209"/>
      <c r="O161" s="1209"/>
      <c r="P161" s="1209"/>
      <c r="Q161" s="1209"/>
      <c r="R161" s="1209"/>
      <c r="S161" s="1209"/>
      <c r="T161" s="1209"/>
      <c r="U161" s="1209"/>
      <c r="V161" s="1209"/>
      <c r="W161" s="1209"/>
      <c r="X161" s="1209"/>
      <c r="Y161" s="1209"/>
      <c r="Z161" s="1209"/>
      <c r="AA161" s="1209"/>
      <c r="AB161" s="1209"/>
      <c r="AC161" s="1209"/>
      <c r="AD161" s="1209"/>
      <c r="AE161" s="1209"/>
      <c r="AF161" s="1209"/>
      <c r="AG161" s="1209"/>
      <c r="AH161" s="1209"/>
      <c r="AI161" s="437"/>
      <c r="AJ161" s="1209"/>
      <c r="AK161" s="1209"/>
      <c r="AL161" s="1209"/>
      <c r="AM161" s="940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</row>
    <row r="162" ht="14.25" customHeight="1">
      <c r="A162" s="1"/>
      <c r="B162" s="1201" t="s">
        <v>725</v>
      </c>
      <c r="C162" s="82"/>
      <c r="D162" s="828"/>
      <c r="E162" s="828"/>
      <c r="F162" s="828"/>
      <c r="G162" s="828"/>
      <c r="H162" s="828"/>
      <c r="I162" s="828"/>
      <c r="J162" s="477" t="s">
        <v>726</v>
      </c>
      <c r="K162" s="1114"/>
      <c r="L162" s="1208">
        <f>AP293</f>
        <v>59435.18379</v>
      </c>
      <c r="M162" s="35"/>
      <c r="N162" s="21"/>
      <c r="O162" s="1209"/>
      <c r="P162" s="1208">
        <f>AQ293</f>
        <v>122733.6545</v>
      </c>
      <c r="Q162" s="35"/>
      <c r="R162" s="21"/>
      <c r="S162" s="1209"/>
      <c r="T162" s="1208">
        <f>AR293</f>
        <v>130711.3421</v>
      </c>
      <c r="U162" s="35"/>
      <c r="V162" s="21"/>
      <c r="W162" s="1209"/>
      <c r="X162" s="1208">
        <f>AS293</f>
        <v>139207.5793</v>
      </c>
      <c r="Y162" s="35"/>
      <c r="Z162" s="21"/>
      <c r="AA162" s="1209"/>
      <c r="AB162" s="1208">
        <f>AT293</f>
        <v>148256.072</v>
      </c>
      <c r="AC162" s="35"/>
      <c r="AD162" s="21"/>
      <c r="AE162" s="1209"/>
      <c r="AF162" s="1208">
        <f>AU293</f>
        <v>157892.7166</v>
      </c>
      <c r="AG162" s="35"/>
      <c r="AH162" s="21"/>
      <c r="AI162" s="437"/>
      <c r="AJ162" s="1208">
        <f>SUM(J162:AF162)</f>
        <v>758236.5483</v>
      </c>
      <c r="AK162" s="35"/>
      <c r="AL162" s="21"/>
      <c r="AM162" s="940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</row>
    <row r="163" ht="5.25" customHeight="1">
      <c r="A163" s="1"/>
      <c r="B163" s="82"/>
      <c r="C163" s="82"/>
      <c r="D163" s="1114"/>
      <c r="E163" s="994"/>
      <c r="F163" s="994"/>
      <c r="G163" s="994"/>
      <c r="H163" s="994"/>
      <c r="I163" s="39"/>
      <c r="J163" s="39"/>
      <c r="K163" s="1114"/>
      <c r="L163" s="1211"/>
      <c r="M163" s="1211"/>
      <c r="N163" s="1211"/>
      <c r="O163" s="39"/>
      <c r="P163" s="1211"/>
      <c r="Q163" s="1211"/>
      <c r="R163" s="1211"/>
      <c r="S163" s="39"/>
      <c r="T163" s="1211"/>
      <c r="U163" s="1211"/>
      <c r="V163" s="1211"/>
      <c r="W163" s="39"/>
      <c r="X163" s="1211"/>
      <c r="Y163" s="1211"/>
      <c r="Z163" s="1211"/>
      <c r="AA163" s="39"/>
      <c r="AB163" s="1211"/>
      <c r="AC163" s="1211"/>
      <c r="AD163" s="1211"/>
      <c r="AE163" s="39"/>
      <c r="AF163" s="1211"/>
      <c r="AG163" s="1211"/>
      <c r="AH163" s="1211"/>
      <c r="AI163" s="437"/>
      <c r="AJ163" s="1211"/>
      <c r="AK163" s="1211"/>
      <c r="AL163" s="1211"/>
      <c r="AM163" s="940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</row>
    <row r="164" ht="5.25" customHeight="1">
      <c r="A164" s="1"/>
      <c r="B164" s="82"/>
      <c r="C164" s="82"/>
      <c r="D164" s="1114"/>
      <c r="E164" s="994"/>
      <c r="F164" s="994"/>
      <c r="G164" s="994"/>
      <c r="H164" s="994"/>
      <c r="I164" s="39"/>
      <c r="J164" s="39"/>
      <c r="K164" s="1114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437"/>
      <c r="AJ164" s="39"/>
      <c r="AK164" s="39"/>
      <c r="AL164" s="39"/>
      <c r="AM164" s="940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</row>
    <row r="165" ht="14.25" customHeight="1">
      <c r="A165" s="1"/>
      <c r="B165" s="180" t="s">
        <v>727</v>
      </c>
      <c r="C165" s="180"/>
      <c r="D165" s="39"/>
      <c r="E165" s="994"/>
      <c r="F165" s="994"/>
      <c r="G165" s="994"/>
      <c r="H165" s="994"/>
      <c r="I165" s="39"/>
      <c r="J165" s="1212"/>
      <c r="K165" s="39"/>
      <c r="L165" s="1003">
        <f>L144-L156-L158-L162</f>
        <v>6195564.816</v>
      </c>
      <c r="M165" s="35"/>
      <c r="N165" s="21"/>
      <c r="O165" s="39"/>
      <c r="P165" s="1003">
        <f>P144-P156-P158-P162</f>
        <v>-854733.6545</v>
      </c>
      <c r="Q165" s="35"/>
      <c r="R165" s="21"/>
      <c r="S165" s="1213"/>
      <c r="T165" s="1003">
        <f>T144-T156-T158-T162</f>
        <v>-884711.3421</v>
      </c>
      <c r="U165" s="35"/>
      <c r="V165" s="21"/>
      <c r="W165" s="1213"/>
      <c r="X165" s="1003">
        <f>X144-X156-X158-X162</f>
        <v>-925207.5793</v>
      </c>
      <c r="Y165" s="35"/>
      <c r="Z165" s="21"/>
      <c r="AA165" s="1214"/>
      <c r="AB165" s="1003">
        <f>AB144-AB156-AB158-AB162</f>
        <v>-957256.072</v>
      </c>
      <c r="AC165" s="35"/>
      <c r="AD165" s="21"/>
      <c r="AE165" s="1215"/>
      <c r="AF165" s="1003">
        <f>AF144-AF156-AF158-AF162</f>
        <v>-1612892.717</v>
      </c>
      <c r="AG165" s="35"/>
      <c r="AH165" s="21"/>
      <c r="AI165" s="437"/>
      <c r="AJ165" s="1003">
        <f>SUM(AJ144:AJ162)</f>
        <v>13039236.55</v>
      </c>
      <c r="AK165" s="35"/>
      <c r="AL165" s="21"/>
      <c r="AM165" s="940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</row>
    <row r="166" ht="6.0" customHeight="1">
      <c r="A166" s="1"/>
      <c r="B166" s="180"/>
      <c r="C166" s="180"/>
      <c r="D166" s="39"/>
      <c r="E166" s="994"/>
      <c r="F166" s="994"/>
      <c r="G166" s="994"/>
      <c r="H166" s="994"/>
      <c r="I166" s="39"/>
      <c r="J166" s="1211"/>
      <c r="K166" s="39"/>
      <c r="L166" s="1211"/>
      <c r="M166" s="1211"/>
      <c r="N166" s="1211"/>
      <c r="O166" s="39"/>
      <c r="P166" s="1211"/>
      <c r="Q166" s="1211"/>
      <c r="R166" s="1211"/>
      <c r="S166" s="39"/>
      <c r="T166" s="1211"/>
      <c r="U166" s="1211"/>
      <c r="V166" s="1211"/>
      <c r="W166" s="39"/>
      <c r="X166" s="1211"/>
      <c r="Y166" s="1211"/>
      <c r="Z166" s="1211"/>
      <c r="AA166" s="39"/>
      <c r="AB166" s="1211"/>
      <c r="AC166" s="1211"/>
      <c r="AD166" s="1211"/>
      <c r="AE166" s="39"/>
      <c r="AF166" s="1211"/>
      <c r="AG166" s="1211"/>
      <c r="AH166" s="1211"/>
      <c r="AI166" s="437"/>
      <c r="AJ166" s="1211"/>
      <c r="AK166" s="1211"/>
      <c r="AL166" s="1211"/>
      <c r="AM166" s="940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</row>
    <row r="167" ht="6.0" customHeight="1">
      <c r="A167" s="1"/>
      <c r="B167" s="180"/>
      <c r="C167" s="180"/>
      <c r="D167" s="39"/>
      <c r="E167" s="994"/>
      <c r="F167" s="994"/>
      <c r="G167" s="994"/>
      <c r="H167" s="994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437"/>
      <c r="AJ167" s="39"/>
      <c r="AK167" s="39"/>
      <c r="AL167" s="39"/>
      <c r="AM167" s="940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</row>
    <row r="168" ht="17.25" customHeight="1">
      <c r="A168" s="1"/>
      <c r="B168" s="180" t="s">
        <v>728</v>
      </c>
      <c r="C168" s="180"/>
      <c r="D168" s="39"/>
      <c r="E168" s="994"/>
      <c r="F168" s="994"/>
      <c r="G168" s="994"/>
      <c r="H168" s="994"/>
      <c r="I168" s="39"/>
      <c r="J168" s="1212">
        <f>'R Bal sheets'!F28</f>
        <v>26783294</v>
      </c>
      <c r="K168" s="39"/>
      <c r="L168" s="1216">
        <f>J168+L165</f>
        <v>32978858.82</v>
      </c>
      <c r="M168" s="35"/>
      <c r="N168" s="21"/>
      <c r="O168" s="816"/>
      <c r="P168" s="1216">
        <f>L168+P165</f>
        <v>32124125.16</v>
      </c>
      <c r="Q168" s="35"/>
      <c r="R168" s="21"/>
      <c r="S168" s="816"/>
      <c r="T168" s="1216">
        <f>P168+T165</f>
        <v>31239413.82</v>
      </c>
      <c r="U168" s="35"/>
      <c r="V168" s="21"/>
      <c r="W168" s="816"/>
      <c r="X168" s="1216">
        <f>T168+X165</f>
        <v>30314206.24</v>
      </c>
      <c r="Y168" s="35"/>
      <c r="Z168" s="21"/>
      <c r="AA168" s="816"/>
      <c r="AB168" s="1216">
        <f>X168+AB165</f>
        <v>29356950.17</v>
      </c>
      <c r="AC168" s="35"/>
      <c r="AD168" s="21"/>
      <c r="AE168" s="816"/>
      <c r="AF168" s="1216">
        <f>AB168+AF165</f>
        <v>27744057.45</v>
      </c>
      <c r="AG168" s="35"/>
      <c r="AH168" s="21"/>
      <c r="AI168" s="437"/>
      <c r="AJ168" s="1216"/>
      <c r="AK168" s="35"/>
      <c r="AL168" s="21"/>
      <c r="AM168" s="940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</row>
    <row r="169" ht="15.0" customHeight="1">
      <c r="A169" s="1"/>
      <c r="B169" s="180"/>
      <c r="C169" s="180"/>
      <c r="D169" s="1217"/>
      <c r="E169" s="1217"/>
      <c r="F169" s="994"/>
      <c r="G169" s="994"/>
      <c r="H169" s="994"/>
      <c r="I169" s="994"/>
      <c r="J169" s="1212"/>
      <c r="K169" s="39"/>
      <c r="L169" s="1212"/>
      <c r="M169" s="1212"/>
      <c r="N169" s="816"/>
      <c r="O169" s="816"/>
      <c r="P169" s="1212"/>
      <c r="Q169" s="1212"/>
      <c r="R169" s="816"/>
      <c r="S169" s="816"/>
      <c r="T169" s="1212"/>
      <c r="U169" s="1212"/>
      <c r="V169" s="816"/>
      <c r="W169" s="816"/>
      <c r="X169" s="1212"/>
      <c r="Y169" s="1212"/>
      <c r="Z169" s="816"/>
      <c r="AA169" s="816"/>
      <c r="AB169" s="1212"/>
      <c r="AC169" s="1212"/>
      <c r="AD169" s="816"/>
      <c r="AE169" s="816"/>
      <c r="AF169" s="1212"/>
      <c r="AG169" s="1212"/>
      <c r="AH169" s="816"/>
      <c r="AI169" s="437"/>
      <c r="AJ169" s="1212"/>
      <c r="AK169" s="1212"/>
      <c r="AL169" s="816"/>
      <c r="AM169" s="940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</row>
    <row r="170" ht="15.0" customHeight="1">
      <c r="A170" s="1"/>
      <c r="B170" s="180" t="s">
        <v>729</v>
      </c>
      <c r="C170" s="247"/>
      <c r="D170" s="1217"/>
      <c r="E170" s="1217"/>
      <c r="F170" s="994"/>
      <c r="G170" s="994"/>
      <c r="H170" s="994"/>
      <c r="I170" s="994"/>
      <c r="J170" s="1218">
        <f>'D PY Audit'!H26</f>
        <v>1000000</v>
      </c>
      <c r="K170" s="39"/>
      <c r="L170" s="1219">
        <v>2000000.0</v>
      </c>
      <c r="M170" s="20"/>
      <c r="N170" s="22"/>
      <c r="O170" s="1044"/>
      <c r="P170" s="1219"/>
      <c r="Q170" s="20"/>
      <c r="R170" s="22"/>
      <c r="S170" s="1044"/>
      <c r="T170" s="1219"/>
      <c r="U170" s="20"/>
      <c r="V170" s="22"/>
      <c r="W170" s="1045"/>
      <c r="X170" s="1219"/>
      <c r="Y170" s="20"/>
      <c r="Z170" s="22"/>
      <c r="AA170" s="1045"/>
      <c r="AB170" s="1219"/>
      <c r="AC170" s="20"/>
      <c r="AD170" s="22"/>
      <c r="AE170" s="1045"/>
      <c r="AF170" s="1219"/>
      <c r="AG170" s="20"/>
      <c r="AH170" s="22"/>
      <c r="AI170" s="437"/>
      <c r="AJ170" s="1216"/>
      <c r="AK170" s="35"/>
      <c r="AL170" s="21"/>
      <c r="AM170" s="940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</row>
    <row r="171" ht="5.25" customHeight="1">
      <c r="A171" s="1"/>
      <c r="B171" s="1220"/>
      <c r="C171" s="247"/>
      <c r="D171" s="1217"/>
      <c r="E171" s="1217"/>
      <c r="F171" s="994"/>
      <c r="G171" s="994"/>
      <c r="H171" s="994"/>
      <c r="I171" s="994"/>
      <c r="J171" s="1218"/>
      <c r="K171" s="39"/>
      <c r="L171" s="1218"/>
      <c r="M171" s="1218"/>
      <c r="N171" s="1218"/>
      <c r="O171" s="1218"/>
      <c r="P171" s="1218"/>
      <c r="Q171" s="1218"/>
      <c r="R171" s="1218"/>
      <c r="S171" s="1218"/>
      <c r="T171" s="1218"/>
      <c r="U171" s="1218"/>
      <c r="V171" s="1218"/>
      <c r="W171" s="1218"/>
      <c r="X171" s="1218"/>
      <c r="Y171" s="1218"/>
      <c r="Z171" s="1218"/>
      <c r="AA171" s="1218"/>
      <c r="AB171" s="1218"/>
      <c r="AC171" s="1218"/>
      <c r="AD171" s="1218"/>
      <c r="AE171" s="1218"/>
      <c r="AF171" s="1218"/>
      <c r="AG171" s="1218"/>
      <c r="AH171" s="1218"/>
      <c r="AI171" s="1218"/>
      <c r="AJ171" s="1216"/>
      <c r="AK171" s="35"/>
      <c r="AL171" s="21"/>
      <c r="AM171" s="940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</row>
    <row r="172" ht="14.25" customHeight="1">
      <c r="A172" s="1"/>
      <c r="B172" s="1220" t="s">
        <v>730</v>
      </c>
      <c r="C172" s="247"/>
      <c r="D172" s="1217"/>
      <c r="E172" s="1217"/>
      <c r="F172" s="994"/>
      <c r="G172" s="994"/>
      <c r="H172" s="994"/>
      <c r="I172" s="994"/>
      <c r="J172" s="1218"/>
      <c r="K172" s="39"/>
      <c r="L172" s="1221">
        <v>7.0</v>
      </c>
      <c r="M172" s="1222"/>
      <c r="N172" s="1223">
        <v>0.07</v>
      </c>
      <c r="O172" s="1224"/>
      <c r="P172" s="1221"/>
      <c r="Q172" s="1222"/>
      <c r="R172" s="1223"/>
      <c r="S172" s="1224"/>
      <c r="T172" s="1221"/>
      <c r="U172" s="1222"/>
      <c r="V172" s="1223"/>
      <c r="W172" s="1224"/>
      <c r="X172" s="1221"/>
      <c r="Y172" s="1222"/>
      <c r="Z172" s="1223"/>
      <c r="AA172" s="1224"/>
      <c r="AB172" s="1221"/>
      <c r="AC172" s="1222"/>
      <c r="AD172" s="1223"/>
      <c r="AE172" s="1224"/>
      <c r="AF172" s="1221"/>
      <c r="AG172" s="1222"/>
      <c r="AH172" s="1223"/>
      <c r="AI172" s="1218"/>
      <c r="AJ172" s="1216"/>
      <c r="AK172" s="35"/>
      <c r="AL172" s="21"/>
      <c r="AM172" s="940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</row>
    <row r="173" ht="9.0" customHeight="1">
      <c r="A173" s="1"/>
      <c r="B173" s="180"/>
      <c r="C173" s="247"/>
      <c r="D173" s="39"/>
      <c r="E173" s="39"/>
      <c r="F173" s="994"/>
      <c r="G173" s="994"/>
      <c r="H173" s="994"/>
      <c r="I173" s="994"/>
      <c r="J173" s="39"/>
      <c r="K173" s="39"/>
      <c r="L173" s="1218"/>
      <c r="M173" s="1218"/>
      <c r="N173" s="1218"/>
      <c r="O173" s="1218"/>
      <c r="P173" s="1218"/>
      <c r="Q173" s="1218"/>
      <c r="R173" s="1218"/>
      <c r="S173" s="1218"/>
      <c r="T173" s="1218"/>
      <c r="U173" s="1218"/>
      <c r="V173" s="1218"/>
      <c r="W173" s="1218"/>
      <c r="X173" s="1218"/>
      <c r="Y173" s="1218"/>
      <c r="Z173" s="1218"/>
      <c r="AA173" s="1218"/>
      <c r="AB173" s="1218"/>
      <c r="AC173" s="1218"/>
      <c r="AD173" s="940"/>
      <c r="AE173" s="940"/>
      <c r="AF173" s="438"/>
      <c r="AG173" s="1218"/>
      <c r="AH173" s="1218"/>
      <c r="AI173" s="1218"/>
      <c r="AJ173" s="1216"/>
      <c r="AK173" s="35"/>
      <c r="AL173" s="21"/>
      <c r="AM173" s="940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</row>
    <row r="174" ht="14.25" customHeight="1">
      <c r="A174" s="1"/>
      <c r="B174" s="151" t="s">
        <v>731</v>
      </c>
      <c r="C174" s="309"/>
      <c r="D174" s="1"/>
      <c r="E174" s="994"/>
      <c r="F174" s="994"/>
      <c r="G174" s="994"/>
      <c r="H174" s="994"/>
      <c r="I174" s="994"/>
      <c r="J174" s="1225" t="s">
        <v>732</v>
      </c>
      <c r="K174" s="569"/>
      <c r="L174" s="1226"/>
      <c r="M174" s="35"/>
      <c r="N174" s="21"/>
      <c r="O174" s="178"/>
      <c r="P174" s="1226"/>
      <c r="Q174" s="35"/>
      <c r="R174" s="21"/>
      <c r="S174" s="178"/>
      <c r="T174" s="1226"/>
      <c r="U174" s="35"/>
      <c r="V174" s="21"/>
      <c r="W174" s="178"/>
      <c r="X174" s="1226"/>
      <c r="Y174" s="35"/>
      <c r="Z174" s="21"/>
      <c r="AA174" s="178"/>
      <c r="AB174" s="1226"/>
      <c r="AC174" s="35"/>
      <c r="AD174" s="21"/>
      <c r="AE174" s="178"/>
      <c r="AF174" s="1226"/>
      <c r="AG174" s="35"/>
      <c r="AH174" s="21"/>
      <c r="AI174" s="437"/>
      <c r="AJ174" s="155"/>
      <c r="AK174" s="155"/>
      <c r="AL174" s="1213"/>
      <c r="AM174" s="940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</row>
    <row r="175" ht="5.25" customHeight="1">
      <c r="A175" s="1"/>
      <c r="B175" s="309"/>
      <c r="C175" s="309"/>
      <c r="D175" s="1"/>
      <c r="E175" s="994"/>
      <c r="F175" s="994"/>
      <c r="G175" s="994"/>
      <c r="H175" s="994"/>
      <c r="I175" s="39"/>
      <c r="J175" s="1227"/>
      <c r="K175" s="1228"/>
      <c r="L175" s="39"/>
      <c r="M175" s="39"/>
      <c r="N175" s="1"/>
      <c r="O175" s="1"/>
      <c r="P175" s="155"/>
      <c r="Q175" s="155"/>
      <c r="R175" s="1213"/>
      <c r="S175" s="1213"/>
      <c r="T175" s="155"/>
      <c r="U175" s="155"/>
      <c r="V175" s="1213"/>
      <c r="W175" s="1213"/>
      <c r="X175" s="155"/>
      <c r="Y175" s="155"/>
      <c r="Z175" s="1213"/>
      <c r="AA175" s="1214"/>
      <c r="AB175" s="155"/>
      <c r="AC175" s="155"/>
      <c r="AD175" s="1213"/>
      <c r="AE175" s="1215"/>
      <c r="AF175" s="155"/>
      <c r="AG175" s="155"/>
      <c r="AH175" s="1213"/>
      <c r="AI175" s="437"/>
      <c r="AJ175" s="155"/>
      <c r="AK175" s="155"/>
      <c r="AL175" s="1213"/>
      <c r="AM175" s="940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</row>
    <row r="176" ht="14.25" customHeight="1">
      <c r="A176" s="1"/>
      <c r="B176" s="82" t="s">
        <v>733</v>
      </c>
      <c r="C176" s="309"/>
      <c r="D176" s="1"/>
      <c r="E176" s="994"/>
      <c r="F176" s="994"/>
      <c r="G176" s="994"/>
      <c r="H176" s="994"/>
      <c r="I176" s="39"/>
      <c r="J176" s="1229">
        <v>0.045</v>
      </c>
      <c r="K176" s="1228"/>
      <c r="L176" s="1230">
        <f>(J168+L160)/2*J176</f>
        <v>1188485.73</v>
      </c>
      <c r="M176" s="35"/>
      <c r="N176" s="21"/>
      <c r="O176" s="1"/>
      <c r="P176" s="1226">
        <f>IF((L160+P160)&gt;0,(L160-(12-$I156)/12*P156-(12-$I158)/12*P158)*$J176,0)</f>
        <v>1155253.23</v>
      </c>
      <c r="Q176" s="35"/>
      <c r="R176" s="21"/>
      <c r="S176" s="1213"/>
      <c r="T176" s="1226">
        <f>IF((P160+T160)&gt;0,(P160-(12-$I156)/12*T156-(12-$I158)/12*T158)*$J176,0)</f>
        <v>1121818.23</v>
      </c>
      <c r="U176" s="35"/>
      <c r="V176" s="21"/>
      <c r="W176" s="1213"/>
      <c r="X176" s="1226">
        <f>IF((T160+X160)&gt;0,(T160-(12-$I156)/12*X156-(12-$I158)/12*X158)*$J176,0)</f>
        <v>1087168.23</v>
      </c>
      <c r="Y176" s="35"/>
      <c r="Z176" s="21"/>
      <c r="AA176" s="1214"/>
      <c r="AB176" s="1226">
        <f>IF((X160+AB160)&gt;0,(X160-(12-$I156)/12*AB156-(12-$I158)/12*AB158)*$J176,0)</f>
        <v>1051280.73</v>
      </c>
      <c r="AC176" s="35"/>
      <c r="AD176" s="21"/>
      <c r="AE176" s="1215"/>
      <c r="AF176" s="1226">
        <f>IF((AB160+AF160)&gt;0,(AB160-(12-$I156)/12*AF156-(12-$I158)/12*AF158)*$J176,0)</f>
        <v>1000340.73</v>
      </c>
      <c r="AG176" s="35"/>
      <c r="AH176" s="21"/>
      <c r="AI176" s="437"/>
      <c r="AJ176" s="1226"/>
      <c r="AK176" s="35"/>
      <c r="AL176" s="21"/>
      <c r="AM176" s="940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</row>
    <row r="177" ht="6.0" customHeight="1">
      <c r="A177" s="1"/>
      <c r="B177" s="82"/>
      <c r="C177" s="309"/>
      <c r="D177" s="1"/>
      <c r="E177" s="994"/>
      <c r="F177" s="994"/>
      <c r="G177" s="994"/>
      <c r="H177" s="994"/>
      <c r="I177" s="39"/>
      <c r="J177" s="1231"/>
      <c r="K177" s="1232"/>
      <c r="L177" s="1218"/>
      <c r="M177" s="1218"/>
      <c r="N177" s="1"/>
      <c r="O177" s="1"/>
      <c r="P177" s="1218"/>
      <c r="Q177" s="1218"/>
      <c r="R177" s="1213"/>
      <c r="S177" s="1213"/>
      <c r="T177" s="1218"/>
      <c r="U177" s="1218"/>
      <c r="V177" s="1213"/>
      <c r="W177" s="1213"/>
      <c r="X177" s="1218"/>
      <c r="Y177" s="1218"/>
      <c r="Z177" s="1213"/>
      <c r="AA177" s="1214"/>
      <c r="AB177" s="1218"/>
      <c r="AC177" s="1218"/>
      <c r="AD177" s="1213"/>
      <c r="AE177" s="1215"/>
      <c r="AF177" s="1218"/>
      <c r="AG177" s="1218"/>
      <c r="AH177" s="1213"/>
      <c r="AI177" s="437"/>
      <c r="AJ177" s="1218"/>
      <c r="AK177" s="1218"/>
      <c r="AL177" s="1213"/>
      <c r="AM177" s="940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</row>
    <row r="178" ht="14.25" customHeight="1">
      <c r="A178" s="1"/>
      <c r="B178" s="82" t="s">
        <v>734</v>
      </c>
      <c r="C178" s="309"/>
      <c r="D178" s="1"/>
      <c r="E178" s="994"/>
      <c r="F178" s="994"/>
      <c r="G178" s="994"/>
      <c r="H178" s="994"/>
      <c r="I178" s="39"/>
      <c r="J178" s="1"/>
      <c r="K178" s="1"/>
      <c r="L178" s="1226">
        <f>L170*L172/12*N172</f>
        <v>81666.66667</v>
      </c>
      <c r="M178" s="35"/>
      <c r="N178" s="21"/>
      <c r="O178" s="1"/>
      <c r="P178" s="1226">
        <f>P170*P172/12*R172</f>
        <v>0</v>
      </c>
      <c r="Q178" s="35"/>
      <c r="R178" s="21"/>
      <c r="S178" s="1213"/>
      <c r="T178" s="1226">
        <f>T170*T172/12*V172</f>
        <v>0</v>
      </c>
      <c r="U178" s="35"/>
      <c r="V178" s="21"/>
      <c r="W178" s="1213"/>
      <c r="X178" s="1226">
        <f>X170*X172/12*Z172</f>
        <v>0</v>
      </c>
      <c r="Y178" s="35"/>
      <c r="Z178" s="21"/>
      <c r="AA178" s="1214"/>
      <c r="AB178" s="1226">
        <f>AB170*AB172/12*AD172</f>
        <v>0</v>
      </c>
      <c r="AC178" s="35"/>
      <c r="AD178" s="21"/>
      <c r="AE178" s="1215"/>
      <c r="AF178" s="1226">
        <f>AF170*AF172/12*AH172</f>
        <v>0</v>
      </c>
      <c r="AG178" s="35"/>
      <c r="AH178" s="21"/>
      <c r="AI178" s="437"/>
      <c r="AJ178" s="1226"/>
      <c r="AK178" s="35"/>
      <c r="AL178" s="21"/>
      <c r="AM178" s="940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</row>
    <row r="179" ht="5.25" customHeight="1">
      <c r="A179" s="1"/>
      <c r="B179" s="309"/>
      <c r="C179" s="309"/>
      <c r="D179" s="1"/>
      <c r="E179" s="994"/>
      <c r="F179" s="994"/>
      <c r="G179" s="994"/>
      <c r="H179" s="994"/>
      <c r="I179" s="39"/>
      <c r="J179" s="1"/>
      <c r="K179" s="1"/>
      <c r="L179" s="39"/>
      <c r="M179" s="39"/>
      <c r="N179" s="1"/>
      <c r="O179" s="1"/>
      <c r="P179" s="155"/>
      <c r="Q179" s="155"/>
      <c r="R179" s="1213"/>
      <c r="S179" s="1213"/>
      <c r="T179" s="155"/>
      <c r="U179" s="155"/>
      <c r="V179" s="1213"/>
      <c r="W179" s="1213"/>
      <c r="X179" s="155"/>
      <c r="Y179" s="155"/>
      <c r="Z179" s="1213"/>
      <c r="AA179" s="1214"/>
      <c r="AB179" s="155"/>
      <c r="AC179" s="155"/>
      <c r="AD179" s="1213"/>
      <c r="AE179" s="1215"/>
      <c r="AF179" s="155"/>
      <c r="AG179" s="155"/>
      <c r="AH179" s="1213"/>
      <c r="AI179" s="437"/>
      <c r="AJ179" s="155"/>
      <c r="AK179" s="155"/>
      <c r="AL179" s="1213"/>
      <c r="AM179" s="940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</row>
    <row r="180" ht="14.25" customHeight="1">
      <c r="A180" s="1"/>
      <c r="B180" s="82" t="str">
        <f>CONCAT("Accumulated new debt issues since ",J5)</f>
        <v>Accumulated new debt issues since 2025 - 26</v>
      </c>
      <c r="C180" s="82"/>
      <c r="D180" s="1"/>
      <c r="E180" s="994"/>
      <c r="F180" s="994"/>
      <c r="G180" s="994"/>
      <c r="H180" s="994"/>
      <c r="I180" s="39"/>
      <c r="J180" s="1"/>
      <c r="K180" s="1"/>
      <c r="L180" s="1233">
        <f>AP294</f>
        <v>227500</v>
      </c>
      <c r="M180" s="35"/>
      <c r="N180" s="21"/>
      <c r="O180" s="1"/>
      <c r="P180" s="1234">
        <f>AQ294</f>
        <v>451136.7131</v>
      </c>
      <c r="Q180" s="35"/>
      <c r="R180" s="21"/>
      <c r="S180" s="1"/>
      <c r="T180" s="1234">
        <f>AR294</f>
        <v>443159.0255</v>
      </c>
      <c r="U180" s="35"/>
      <c r="V180" s="21"/>
      <c r="W180" s="1213"/>
      <c r="X180" s="1234">
        <f>AS294</f>
        <v>434662.7883</v>
      </c>
      <c r="Y180" s="35"/>
      <c r="Z180" s="21"/>
      <c r="AA180" s="1213"/>
      <c r="AB180" s="1234">
        <f>AT294</f>
        <v>425614.2956</v>
      </c>
      <c r="AC180" s="35"/>
      <c r="AD180" s="21"/>
      <c r="AE180" s="1214"/>
      <c r="AF180" s="1234">
        <f>AU294</f>
        <v>415977.6509</v>
      </c>
      <c r="AG180" s="35"/>
      <c r="AH180" s="21"/>
      <c r="AI180" s="1215"/>
      <c r="AJ180" s="1216"/>
      <c r="AK180" s="35"/>
      <c r="AL180" s="21"/>
      <c r="AM180" s="940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</row>
    <row r="181" ht="6.0" customHeight="1">
      <c r="A181" s="1"/>
      <c r="B181" s="82"/>
      <c r="C181" s="82"/>
      <c r="D181" s="1"/>
      <c r="E181" s="994"/>
      <c r="F181" s="994"/>
      <c r="G181" s="994"/>
      <c r="H181" s="994"/>
      <c r="I181" s="39"/>
      <c r="J181" s="1"/>
      <c r="K181" s="1"/>
      <c r="L181" s="1235"/>
      <c r="M181" s="1235"/>
      <c r="N181" s="1235"/>
      <c r="O181" s="1"/>
      <c r="P181" s="1235"/>
      <c r="Q181" s="1235"/>
      <c r="R181" s="1235"/>
      <c r="S181" s="1213"/>
      <c r="T181" s="1235"/>
      <c r="U181" s="1235"/>
      <c r="V181" s="1235"/>
      <c r="W181" s="1213"/>
      <c r="X181" s="1235"/>
      <c r="Y181" s="1235"/>
      <c r="Z181" s="1235"/>
      <c r="AA181" s="1214"/>
      <c r="AB181" s="1235"/>
      <c r="AC181" s="1235"/>
      <c r="AD181" s="1235"/>
      <c r="AE181" s="1215"/>
      <c r="AF181" s="1235"/>
      <c r="AG181" s="1235"/>
      <c r="AH181" s="1235"/>
      <c r="AI181" s="437"/>
      <c r="AJ181" s="1216"/>
      <c r="AK181" s="35"/>
      <c r="AL181" s="21"/>
      <c r="AM181" s="940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</row>
    <row r="182" ht="5.25" customHeight="1">
      <c r="A182" s="1"/>
      <c r="B182" s="82"/>
      <c r="C182" s="82"/>
      <c r="D182" s="1"/>
      <c r="E182" s="994"/>
      <c r="F182" s="994"/>
      <c r="G182" s="994"/>
      <c r="H182" s="994"/>
      <c r="I182" s="39"/>
      <c r="J182" s="1"/>
      <c r="K182" s="1"/>
      <c r="L182" s="39"/>
      <c r="M182" s="39"/>
      <c r="N182" s="1"/>
      <c r="O182" s="1"/>
      <c r="P182" s="155"/>
      <c r="Q182" s="155"/>
      <c r="R182" s="1213"/>
      <c r="S182" s="1213"/>
      <c r="T182" s="155"/>
      <c r="U182" s="155"/>
      <c r="V182" s="1213"/>
      <c r="W182" s="1213"/>
      <c r="X182" s="155"/>
      <c r="Y182" s="155"/>
      <c r="Z182" s="1213"/>
      <c r="AA182" s="1214"/>
      <c r="AB182" s="155"/>
      <c r="AC182" s="155"/>
      <c r="AD182" s="1213"/>
      <c r="AE182" s="1215"/>
      <c r="AF182" s="155"/>
      <c r="AG182" s="155"/>
      <c r="AH182" s="1213"/>
      <c r="AI182" s="437"/>
      <c r="AJ182" s="1216"/>
      <c r="AK182" s="35"/>
      <c r="AL182" s="21"/>
      <c r="AM182" s="940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</row>
    <row r="183" ht="14.25" customHeight="1">
      <c r="A183" s="1"/>
      <c r="B183" s="1022" t="s">
        <v>735</v>
      </c>
      <c r="C183" s="1"/>
      <c r="D183" s="1054"/>
      <c r="E183" s="994"/>
      <c r="F183" s="994"/>
      <c r="G183" s="994"/>
      <c r="H183" s="994"/>
      <c r="I183" s="39"/>
      <c r="J183" s="1"/>
      <c r="K183" s="1"/>
      <c r="L183" s="1216">
        <f>L176+L178+L180</f>
        <v>1497652.397</v>
      </c>
      <c r="M183" s="35"/>
      <c r="N183" s="21"/>
      <c r="O183" s="1"/>
      <c r="P183" s="1216">
        <f>P176+P178+P180</f>
        <v>1606389.943</v>
      </c>
      <c r="Q183" s="35"/>
      <c r="R183" s="21"/>
      <c r="S183" s="1213"/>
      <c r="T183" s="1216">
        <f>T176+T178+T180</f>
        <v>1564977.256</v>
      </c>
      <c r="U183" s="35"/>
      <c r="V183" s="21"/>
      <c r="W183" s="1213"/>
      <c r="X183" s="1216">
        <f>X176+X178+X180</f>
        <v>1521831.018</v>
      </c>
      <c r="Y183" s="35"/>
      <c r="Z183" s="21"/>
      <c r="AA183" s="1214"/>
      <c r="AB183" s="1216">
        <f>AB176+AB178+AB180</f>
        <v>1476895.026</v>
      </c>
      <c r="AC183" s="35"/>
      <c r="AD183" s="21"/>
      <c r="AE183" s="1215"/>
      <c r="AF183" s="1216">
        <f>AF176+AF178+AF180</f>
        <v>1416318.381</v>
      </c>
      <c r="AG183" s="35"/>
      <c r="AH183" s="21"/>
      <c r="AI183" s="437"/>
      <c r="AJ183" s="1216"/>
      <c r="AK183" s="35"/>
      <c r="AL183" s="21"/>
      <c r="AM183" s="940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</row>
    <row r="184" ht="4.5" customHeight="1">
      <c r="A184" s="1"/>
      <c r="B184" s="82"/>
      <c r="C184" s="82"/>
      <c r="D184" s="1"/>
      <c r="E184" s="994"/>
      <c r="F184" s="994"/>
      <c r="G184" s="994"/>
      <c r="H184" s="994"/>
      <c r="I184" s="39"/>
      <c r="J184" s="1"/>
      <c r="K184" s="1"/>
      <c r="L184" s="1235"/>
      <c r="M184" s="1235"/>
      <c r="N184" s="1235"/>
      <c r="O184" s="1"/>
      <c r="P184" s="1235"/>
      <c r="Q184" s="1235"/>
      <c r="R184" s="1235"/>
      <c r="S184" s="1213"/>
      <c r="T184" s="1235"/>
      <c r="U184" s="1235"/>
      <c r="V184" s="1235"/>
      <c r="W184" s="1213"/>
      <c r="X184" s="1235"/>
      <c r="Y184" s="1235"/>
      <c r="Z184" s="1235"/>
      <c r="AA184" s="1214"/>
      <c r="AB184" s="1235"/>
      <c r="AC184" s="1235"/>
      <c r="AD184" s="1235"/>
      <c r="AE184" s="1215"/>
      <c r="AF184" s="1235"/>
      <c r="AG184" s="1235"/>
      <c r="AH184" s="1235"/>
      <c r="AI184" s="437"/>
      <c r="AJ184" s="1216"/>
      <c r="AK184" s="35"/>
      <c r="AL184" s="21"/>
      <c r="AM184" s="940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</row>
    <row r="185" ht="12.75" customHeight="1">
      <c r="A185" s="1"/>
      <c r="B185" s="82"/>
      <c r="C185" s="82"/>
      <c r="D185" s="1"/>
      <c r="E185" s="994"/>
      <c r="F185" s="994"/>
      <c r="G185" s="994"/>
      <c r="H185" s="994"/>
      <c r="I185" s="39"/>
      <c r="J185" s="1"/>
      <c r="K185" s="1"/>
      <c r="L185" s="1236"/>
      <c r="M185" s="1236"/>
      <c r="N185" s="1"/>
      <c r="O185" s="1"/>
      <c r="P185" s="1236"/>
      <c r="Q185" s="1236"/>
      <c r="R185" s="1213"/>
      <c r="S185" s="1213"/>
      <c r="T185" s="1236"/>
      <c r="U185" s="1236"/>
      <c r="V185" s="1213"/>
      <c r="W185" s="1213"/>
      <c r="X185" s="1236"/>
      <c r="Y185" s="1236"/>
      <c r="Z185" s="1213"/>
      <c r="AA185" s="1214"/>
      <c r="AB185" s="1236"/>
      <c r="AC185" s="1236"/>
      <c r="AD185" s="1213"/>
      <c r="AE185" s="1215"/>
      <c r="AF185" s="1236"/>
      <c r="AG185" s="1236"/>
      <c r="AH185" s="1213"/>
      <c r="AI185" s="437"/>
      <c r="AJ185" s="1216"/>
      <c r="AK185" s="35"/>
      <c r="AL185" s="21"/>
      <c r="AM185" s="940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</row>
    <row r="186" ht="15.0" customHeight="1">
      <c r="A186" s="1"/>
      <c r="B186" s="309" t="s">
        <v>736</v>
      </c>
      <c r="C186" s="82"/>
      <c r="D186" s="1006" t="s">
        <v>737</v>
      </c>
      <c r="E186" s="994"/>
      <c r="F186" s="994"/>
      <c r="G186" s="994"/>
      <c r="H186" s="994"/>
      <c r="I186" s="1054">
        <f>'R Bal sheets'!F15/'E Budg CY'!N80-1</f>
        <v>14.05015785</v>
      </c>
      <c r="J186" s="477" t="s">
        <v>738</v>
      </c>
      <c r="K186" s="39"/>
      <c r="L186" s="1234">
        <f>'E Budg CY'!N80*0.98</f>
        <v>6798260</v>
      </c>
      <c r="M186" s="35"/>
      <c r="N186" s="21"/>
      <c r="O186" s="39"/>
      <c r="P186" s="1234">
        <f>L186*0.98</f>
        <v>6662294.8</v>
      </c>
      <c r="Q186" s="35"/>
      <c r="R186" s="21"/>
      <c r="S186" s="981"/>
      <c r="T186" s="1234">
        <f>P186*0.98</f>
        <v>6529048.904</v>
      </c>
      <c r="U186" s="35"/>
      <c r="V186" s="21"/>
      <c r="W186" s="981"/>
      <c r="X186" s="1234">
        <f>T186*0.98</f>
        <v>6398467.926</v>
      </c>
      <c r="Y186" s="35"/>
      <c r="Z186" s="21"/>
      <c r="AA186" s="982"/>
      <c r="AB186" s="1234">
        <f>X186*0.98</f>
        <v>6270498.567</v>
      </c>
      <c r="AC186" s="35"/>
      <c r="AD186" s="21"/>
      <c r="AE186" s="982"/>
      <c r="AF186" s="1234">
        <f>AB186*0.98</f>
        <v>6145088.596</v>
      </c>
      <c r="AG186" s="35"/>
      <c r="AH186" s="21"/>
      <c r="AI186" s="437"/>
      <c r="AJ186" s="1234"/>
      <c r="AK186" s="35"/>
      <c r="AL186" s="21"/>
      <c r="AM186" s="940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</row>
    <row r="187" ht="4.5" customHeight="1">
      <c r="A187" s="1"/>
      <c r="B187" s="82"/>
      <c r="C187" s="82"/>
      <c r="D187" s="1006"/>
      <c r="E187" s="994"/>
      <c r="F187" s="994"/>
      <c r="G187" s="994"/>
      <c r="H187" s="994"/>
      <c r="I187" s="39"/>
      <c r="J187" s="510"/>
      <c r="K187" s="39"/>
      <c r="L187" s="39"/>
      <c r="M187" s="39"/>
      <c r="N187" s="39"/>
      <c r="O187" s="39"/>
      <c r="P187" s="39"/>
      <c r="Q187" s="39"/>
      <c r="R187" s="39"/>
      <c r="S187" s="981"/>
      <c r="T187" s="39"/>
      <c r="U187" s="39"/>
      <c r="V187" s="39"/>
      <c r="W187" s="981"/>
      <c r="X187" s="39"/>
      <c r="Y187" s="39"/>
      <c r="Z187" s="39"/>
      <c r="AA187" s="982"/>
      <c r="AB187" s="39"/>
      <c r="AC187" s="39"/>
      <c r="AD187" s="39"/>
      <c r="AE187" s="982"/>
      <c r="AF187" s="39"/>
      <c r="AG187" s="39"/>
      <c r="AH187" s="39"/>
      <c r="AI187" s="437"/>
      <c r="AJ187" s="39"/>
      <c r="AK187" s="39"/>
      <c r="AL187" s="39"/>
      <c r="AM187" s="940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</row>
    <row r="188" ht="15.0" customHeight="1">
      <c r="A188" s="1"/>
      <c r="B188" s="82"/>
      <c r="C188" s="82"/>
      <c r="D188" s="1006" t="s">
        <v>739</v>
      </c>
      <c r="E188" s="994"/>
      <c r="F188" s="994"/>
      <c r="G188" s="994"/>
      <c r="H188" s="994"/>
      <c r="I188" s="39"/>
      <c r="J188" s="477" t="s">
        <v>740</v>
      </c>
      <c r="K188" s="39"/>
      <c r="L188" s="1234">
        <f>L337</f>
        <v>241375.7753</v>
      </c>
      <c r="M188" s="35"/>
      <c r="N188" s="21"/>
      <c r="O188" s="39"/>
      <c r="P188" s="1234">
        <f>P337</f>
        <v>-21222.22222</v>
      </c>
      <c r="Q188" s="35"/>
      <c r="R188" s="21"/>
      <c r="S188" s="981"/>
      <c r="T188" s="1234">
        <f>T337</f>
        <v>90555.55556</v>
      </c>
      <c r="U188" s="35"/>
      <c r="V188" s="21"/>
      <c r="W188" s="981"/>
      <c r="X188" s="1234">
        <f>X337</f>
        <v>66666.66667</v>
      </c>
      <c r="Y188" s="35"/>
      <c r="Z188" s="21"/>
      <c r="AA188" s="982"/>
      <c r="AB188" s="1234">
        <f>AB337</f>
        <v>66666.66667</v>
      </c>
      <c r="AC188" s="35"/>
      <c r="AD188" s="21"/>
      <c r="AE188" s="982"/>
      <c r="AF188" s="1234">
        <f>AF337</f>
        <v>66666.66667</v>
      </c>
      <c r="AG188" s="35"/>
      <c r="AH188" s="21"/>
      <c r="AI188" s="437"/>
      <c r="AJ188" s="1234"/>
      <c r="AK188" s="35"/>
      <c r="AL188" s="21"/>
      <c r="AM188" s="940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</row>
    <row r="189" ht="4.5" customHeight="1">
      <c r="A189" s="1"/>
      <c r="B189" s="82"/>
      <c r="C189" s="82"/>
      <c r="D189" s="199"/>
      <c r="E189" s="994"/>
      <c r="F189" s="994"/>
      <c r="G189" s="994"/>
      <c r="H189" s="994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981"/>
      <c r="T189" s="39"/>
      <c r="U189" s="39"/>
      <c r="V189" s="39"/>
      <c r="W189" s="981"/>
      <c r="X189" s="39"/>
      <c r="Y189" s="39"/>
      <c r="Z189" s="39"/>
      <c r="AA189" s="982"/>
      <c r="AB189" s="39"/>
      <c r="AC189" s="39"/>
      <c r="AD189" s="39"/>
      <c r="AE189" s="982"/>
      <c r="AF189" s="39"/>
      <c r="AG189" s="39"/>
      <c r="AH189" s="39"/>
      <c r="AI189" s="437"/>
      <c r="AJ189" s="39"/>
      <c r="AK189" s="39"/>
      <c r="AL189" s="39"/>
      <c r="AM189" s="940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</row>
    <row r="190" ht="18.0" customHeight="1">
      <c r="A190" s="1"/>
      <c r="B190" s="82"/>
      <c r="C190" s="82"/>
      <c r="D190" s="1006" t="s">
        <v>741</v>
      </c>
      <c r="E190" s="994"/>
      <c r="F190" s="994"/>
      <c r="G190" s="994"/>
      <c r="H190" s="994"/>
      <c r="I190" s="39"/>
      <c r="J190" s="477" t="s">
        <v>742</v>
      </c>
      <c r="K190" s="39"/>
      <c r="L190" s="1237">
        <v>0.0</v>
      </c>
      <c r="M190" s="35"/>
      <c r="N190" s="21"/>
      <c r="O190" s="1238"/>
      <c r="P190" s="1237">
        <f>L387</f>
        <v>336378.203</v>
      </c>
      <c r="Q190" s="35"/>
      <c r="R190" s="21"/>
      <c r="S190" s="1238"/>
      <c r="T190" s="1237">
        <f>P190+P387</f>
        <v>395711.5364</v>
      </c>
      <c r="U190" s="35"/>
      <c r="V190" s="21"/>
      <c r="W190" s="1238"/>
      <c r="X190" s="1237">
        <f>T190+T387</f>
        <v>524378.203</v>
      </c>
      <c r="Y190" s="35"/>
      <c r="Z190" s="21"/>
      <c r="AA190" s="1238"/>
      <c r="AB190" s="1237">
        <f>X190+X387</f>
        <v>624378.203</v>
      </c>
      <c r="AC190" s="35"/>
      <c r="AD190" s="21"/>
      <c r="AE190" s="1238"/>
      <c r="AF190" s="1237">
        <f>AB190+AB387</f>
        <v>724378.203</v>
      </c>
      <c r="AG190" s="35"/>
      <c r="AH190" s="21"/>
      <c r="AI190" s="437"/>
      <c r="AJ190" s="1237"/>
      <c r="AK190" s="35"/>
      <c r="AL190" s="21"/>
      <c r="AM190" s="940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</row>
    <row r="191" ht="4.5" customHeight="1">
      <c r="A191" s="1"/>
      <c r="B191" s="82"/>
      <c r="C191" s="82"/>
      <c r="D191" s="199"/>
      <c r="E191" s="994"/>
      <c r="F191" s="994"/>
      <c r="G191" s="994"/>
      <c r="H191" s="994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981"/>
      <c r="T191" s="39"/>
      <c r="U191" s="39"/>
      <c r="V191" s="39"/>
      <c r="W191" s="981"/>
      <c r="X191" s="39"/>
      <c r="Y191" s="39"/>
      <c r="Z191" s="39"/>
      <c r="AA191" s="982"/>
      <c r="AB191" s="39"/>
      <c r="AC191" s="39"/>
      <c r="AD191" s="39"/>
      <c r="AE191" s="982"/>
      <c r="AF191" s="39"/>
      <c r="AG191" s="39"/>
      <c r="AH191" s="39"/>
      <c r="AI191" s="437"/>
      <c r="AJ191" s="39"/>
      <c r="AK191" s="39"/>
      <c r="AL191" s="39"/>
      <c r="AM191" s="940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</row>
    <row r="192" ht="21.75" customHeight="1">
      <c r="A192" s="1"/>
      <c r="B192" s="1022" t="s">
        <v>743</v>
      </c>
      <c r="C192" s="1239" t="s">
        <v>744</v>
      </c>
      <c r="D192" s="147"/>
      <c r="E192" s="27"/>
      <c r="F192" s="994"/>
      <c r="G192" s="994"/>
      <c r="H192" s="994"/>
      <c r="I192" s="39"/>
      <c r="J192" s="477" t="s">
        <v>745</v>
      </c>
      <c r="K192" s="39"/>
      <c r="L192" s="1237">
        <f>SUM(L186:L190)</f>
        <v>7039635.775</v>
      </c>
      <c r="M192" s="35"/>
      <c r="N192" s="21"/>
      <c r="O192" s="1238"/>
      <c r="P192" s="1237">
        <f>SUM(P186:P190)</f>
        <v>6977450.781</v>
      </c>
      <c r="Q192" s="35"/>
      <c r="R192" s="21"/>
      <c r="S192" s="1238"/>
      <c r="T192" s="1237">
        <f>SUM(T186:T190)</f>
        <v>7015315.996</v>
      </c>
      <c r="U192" s="35"/>
      <c r="V192" s="21"/>
      <c r="W192" s="1238"/>
      <c r="X192" s="1237">
        <f>SUM(X186:X190)</f>
        <v>6989512.796</v>
      </c>
      <c r="Y192" s="35"/>
      <c r="Z192" s="21"/>
      <c r="AA192" s="1238"/>
      <c r="AB192" s="1237">
        <f>SUM(AB186:AB190)</f>
        <v>6961543.437</v>
      </c>
      <c r="AC192" s="35"/>
      <c r="AD192" s="21"/>
      <c r="AE192" s="1238"/>
      <c r="AF192" s="1237">
        <f>SUM(AF186:AF190)</f>
        <v>6936133.466</v>
      </c>
      <c r="AG192" s="35"/>
      <c r="AH192" s="21"/>
      <c r="AI192" s="437"/>
      <c r="AJ192" s="1237"/>
      <c r="AK192" s="35"/>
      <c r="AL192" s="21"/>
      <c r="AM192" s="940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</row>
    <row r="193" ht="9.75" customHeight="1">
      <c r="A193" s="1"/>
      <c r="B193" s="1022"/>
      <c r="C193" s="37"/>
      <c r="D193" s="44"/>
      <c r="E193" s="38"/>
      <c r="F193" s="994"/>
      <c r="G193" s="994"/>
      <c r="H193" s="994"/>
      <c r="I193" s="39"/>
      <c r="J193" s="39"/>
      <c r="K193" s="39"/>
      <c r="L193" s="1238"/>
      <c r="M193" s="1238"/>
      <c r="N193" s="1238"/>
      <c r="O193" s="1238"/>
      <c r="P193" s="1238"/>
      <c r="Q193" s="1238"/>
      <c r="R193" s="1238"/>
      <c r="S193" s="1238"/>
      <c r="T193" s="1238"/>
      <c r="U193" s="1238"/>
      <c r="V193" s="1238"/>
      <c r="W193" s="1238"/>
      <c r="X193" s="1238"/>
      <c r="Y193" s="1238"/>
      <c r="Z193" s="1238"/>
      <c r="AA193" s="1238"/>
      <c r="AB193" s="1238"/>
      <c r="AC193" s="1238"/>
      <c r="AD193" s="1238"/>
      <c r="AE193" s="1238"/>
      <c r="AF193" s="1238"/>
      <c r="AG193" s="1238"/>
      <c r="AH193" s="1238"/>
      <c r="AI193" s="437"/>
      <c r="AJ193" s="1238"/>
      <c r="AK193" s="1238"/>
      <c r="AL193" s="1238"/>
      <c r="AM193" s="940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</row>
    <row r="194" ht="15.0" customHeight="1">
      <c r="A194" s="1"/>
      <c r="B194" s="1022" t="s">
        <v>746</v>
      </c>
      <c r="C194" s="309"/>
      <c r="D194" s="1077" t="str">
        <f>L5</f>
        <v>2026 - 27</v>
      </c>
      <c r="E194" s="994"/>
      <c r="F194" s="994"/>
      <c r="G194" s="994"/>
      <c r="H194" s="994"/>
      <c r="I194" s="39"/>
      <c r="J194" s="511"/>
      <c r="K194" s="511" t="s">
        <v>461</v>
      </c>
      <c r="L194" s="1240">
        <f>'E Budg CY'!H80</f>
        <v>7120000</v>
      </c>
      <c r="M194" s="659"/>
      <c r="N194" s="660"/>
      <c r="O194" s="1238"/>
      <c r="P194" s="1238"/>
      <c r="Q194" s="1238"/>
      <c r="R194" s="1238"/>
      <c r="S194" s="1238"/>
      <c r="T194" s="1238"/>
      <c r="U194" s="1238"/>
      <c r="V194" s="1238"/>
      <c r="W194" s="1238"/>
      <c r="X194" s="1238"/>
      <c r="Y194" s="1238"/>
      <c r="Z194" s="1238"/>
      <c r="AA194" s="1238"/>
      <c r="AB194" s="1238"/>
      <c r="AC194" s="1238"/>
      <c r="AD194" s="1238"/>
      <c r="AE194" s="1238"/>
      <c r="AF194" s="1238"/>
      <c r="AG194" s="1238"/>
      <c r="AH194" s="1238"/>
      <c r="AI194" s="437"/>
      <c r="AJ194" s="1238"/>
      <c r="AK194" s="1238"/>
      <c r="AL194" s="1238"/>
      <c r="AM194" s="940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</row>
    <row r="195" ht="18.0" customHeight="1">
      <c r="A195" s="1"/>
      <c r="B195" s="1241" t="s">
        <v>747</v>
      </c>
      <c r="C195" s="82"/>
      <c r="D195" s="39"/>
      <c r="E195" s="994"/>
      <c r="F195" s="994"/>
      <c r="G195" s="994"/>
      <c r="H195" s="994"/>
      <c r="I195" s="39"/>
      <c r="J195" s="39"/>
      <c r="K195" s="39"/>
      <c r="L195" s="1242">
        <f>L242-L61</f>
        <v>11570437</v>
      </c>
      <c r="M195" s="35"/>
      <c r="N195" s="21"/>
      <c r="O195" s="39"/>
      <c r="P195" s="1242">
        <f>P242-P61</f>
        <v>8740000</v>
      </c>
      <c r="Q195" s="35"/>
      <c r="R195" s="21"/>
      <c r="S195" s="1243"/>
      <c r="T195" s="1242">
        <f>T242-T61</f>
        <v>1860000</v>
      </c>
      <c r="U195" s="35"/>
      <c r="V195" s="21"/>
      <c r="W195" s="1243"/>
      <c r="X195" s="1242">
        <f>X242-X61</f>
        <v>1000000</v>
      </c>
      <c r="Y195" s="35"/>
      <c r="Z195" s="21"/>
      <c r="AA195" s="1244"/>
      <c r="AB195" s="1242">
        <f>AB242-AB61</f>
        <v>1000000</v>
      </c>
      <c r="AC195" s="35"/>
      <c r="AD195" s="21"/>
      <c r="AE195" s="1244"/>
      <c r="AF195" s="1242">
        <f>AF242-AF61</f>
        <v>1000000</v>
      </c>
      <c r="AG195" s="35"/>
      <c r="AH195" s="21"/>
      <c r="AI195" s="437"/>
      <c r="AJ195" s="1245">
        <f>SUM(L195:AF195)</f>
        <v>25170437</v>
      </c>
      <c r="AK195" s="35"/>
      <c r="AL195" s="21"/>
      <c r="AM195" s="940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</row>
    <row r="196" ht="4.5" customHeight="1">
      <c r="A196" s="1"/>
      <c r="B196" s="1022"/>
      <c r="C196" s="469"/>
      <c r="D196" s="469"/>
      <c r="E196" s="469"/>
      <c r="F196" s="994"/>
      <c r="G196" s="994"/>
      <c r="H196" s="994"/>
      <c r="I196" s="39"/>
      <c r="J196" s="39"/>
      <c r="K196" s="39"/>
      <c r="L196" s="1238"/>
      <c r="M196" s="1238"/>
      <c r="N196" s="1238"/>
      <c r="O196" s="1238"/>
      <c r="P196" s="1238"/>
      <c r="Q196" s="1238"/>
      <c r="R196" s="1238"/>
      <c r="S196" s="1238"/>
      <c r="T196" s="1238"/>
      <c r="U196" s="1238"/>
      <c r="V196" s="1238"/>
      <c r="W196" s="1238"/>
      <c r="X196" s="1238"/>
      <c r="Y196" s="1238"/>
      <c r="Z196" s="1238"/>
      <c r="AA196" s="1238"/>
      <c r="AB196" s="1238"/>
      <c r="AC196" s="1238"/>
      <c r="AD196" s="1238"/>
      <c r="AE196" s="1238"/>
      <c r="AF196" s="1238"/>
      <c r="AG196" s="1238"/>
      <c r="AH196" s="1238"/>
      <c r="AI196" s="437"/>
      <c r="AJ196" s="1238"/>
      <c r="AK196" s="1238"/>
      <c r="AL196" s="1238"/>
      <c r="AM196" s="940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</row>
    <row r="197" ht="15.0" customHeight="1">
      <c r="A197" s="1"/>
      <c r="B197" s="1022"/>
      <c r="C197" s="469"/>
      <c r="D197" s="469"/>
      <c r="E197" s="469"/>
      <c r="F197" s="994"/>
      <c r="G197" s="994"/>
      <c r="H197" s="994"/>
      <c r="I197" s="39"/>
      <c r="J197" s="39"/>
      <c r="K197" s="39"/>
      <c r="L197" s="1238"/>
      <c r="M197" s="1238"/>
      <c r="N197" s="1238"/>
      <c r="O197" s="1238"/>
      <c r="P197" s="1238"/>
      <c r="Q197" s="1238"/>
      <c r="R197" s="1238"/>
      <c r="S197" s="1238"/>
      <c r="T197" s="1238"/>
      <c r="U197" s="1238"/>
      <c r="V197" s="1238"/>
      <c r="W197" s="1238"/>
      <c r="X197" s="1238"/>
      <c r="Y197" s="1238"/>
      <c r="Z197" s="1238"/>
      <c r="AA197" s="1238"/>
      <c r="AB197" s="1238"/>
      <c r="AC197" s="1238"/>
      <c r="AD197" s="1238"/>
      <c r="AE197" s="1238"/>
      <c r="AF197" s="1238"/>
      <c r="AG197" s="1238"/>
      <c r="AH197" s="1238"/>
      <c r="AI197" s="437"/>
      <c r="AJ197" s="1238"/>
      <c r="AK197" s="1238"/>
      <c r="AL197" s="1238"/>
      <c r="AM197" s="940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</row>
    <row r="198" ht="5.25" customHeight="1">
      <c r="A198" s="1"/>
      <c r="B198" s="1022"/>
      <c r="C198" s="469"/>
      <c r="D198" s="469"/>
      <c r="E198" s="469"/>
      <c r="F198" s="994"/>
      <c r="G198" s="994"/>
      <c r="H198" s="994"/>
      <c r="I198" s="39"/>
      <c r="J198" s="39"/>
      <c r="K198" s="39"/>
      <c r="L198" s="1238"/>
      <c r="M198" s="1238"/>
      <c r="N198" s="1238"/>
      <c r="O198" s="1238"/>
      <c r="P198" s="1238"/>
      <c r="Q198" s="1238"/>
      <c r="R198" s="1238"/>
      <c r="S198" s="1238"/>
      <c r="T198" s="1238"/>
      <c r="U198" s="1238"/>
      <c r="V198" s="1238"/>
      <c r="W198" s="1238"/>
      <c r="X198" s="1238"/>
      <c r="Y198" s="1238"/>
      <c r="Z198" s="1238"/>
      <c r="AA198" s="1238"/>
      <c r="AB198" s="1238"/>
      <c r="AC198" s="1238"/>
      <c r="AD198" s="1238"/>
      <c r="AE198" s="1238"/>
      <c r="AF198" s="1238"/>
      <c r="AG198" s="1238"/>
      <c r="AH198" s="1238"/>
      <c r="AI198" s="437"/>
      <c r="AJ198" s="1238"/>
      <c r="AK198" s="1238"/>
      <c r="AL198" s="1238"/>
      <c r="AM198" s="940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</row>
    <row r="199" ht="15.0" customHeight="1">
      <c r="A199" s="1"/>
      <c r="B199" s="1022"/>
      <c r="C199" s="469"/>
      <c r="D199" s="469"/>
      <c r="E199" s="469"/>
      <c r="F199" s="994"/>
      <c r="G199" s="994"/>
      <c r="H199" s="994"/>
      <c r="I199" s="39"/>
      <c r="J199" s="39"/>
      <c r="K199" s="39"/>
      <c r="L199" s="1238"/>
      <c r="M199" s="1238"/>
      <c r="N199" s="1238"/>
      <c r="O199" s="1238"/>
      <c r="P199" s="1238"/>
      <c r="Q199" s="1238"/>
      <c r="R199" s="1238"/>
      <c r="S199" s="1238"/>
      <c r="T199" s="1238"/>
      <c r="U199" s="1238"/>
      <c r="V199" s="1238"/>
      <c r="W199" s="1238"/>
      <c r="X199" s="1238"/>
      <c r="Y199" s="1238"/>
      <c r="Z199" s="1238"/>
      <c r="AA199" s="1238"/>
      <c r="AB199" s="1238"/>
      <c r="AC199" s="1238"/>
      <c r="AD199" s="1238"/>
      <c r="AE199" s="1238"/>
      <c r="AF199" s="1238"/>
      <c r="AG199" s="1238"/>
      <c r="AH199" s="1238"/>
      <c r="AI199" s="437"/>
      <c r="AJ199" s="1238"/>
      <c r="AK199" s="1238"/>
      <c r="AL199" s="1238"/>
      <c r="AM199" s="940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</row>
    <row r="200" ht="4.5" customHeight="1">
      <c r="A200" s="1"/>
      <c r="B200" s="1022"/>
      <c r="C200" s="469"/>
      <c r="D200" s="469"/>
      <c r="E200" s="469"/>
      <c r="F200" s="994"/>
      <c r="G200" s="994"/>
      <c r="H200" s="994"/>
      <c r="I200" s="39"/>
      <c r="J200" s="39"/>
      <c r="K200" s="39"/>
      <c r="L200" s="1238"/>
      <c r="M200" s="1238"/>
      <c r="N200" s="1238"/>
      <c r="O200" s="1238"/>
      <c r="P200" s="1238"/>
      <c r="Q200" s="1238"/>
      <c r="R200" s="1238"/>
      <c r="S200" s="1238"/>
      <c r="T200" s="1238"/>
      <c r="U200" s="1238"/>
      <c r="V200" s="1238"/>
      <c r="W200" s="1238"/>
      <c r="X200" s="1238"/>
      <c r="Y200" s="1238"/>
      <c r="Z200" s="1238"/>
      <c r="AA200" s="1238"/>
      <c r="AB200" s="1238"/>
      <c r="AC200" s="1238"/>
      <c r="AD200" s="1238"/>
      <c r="AE200" s="1238"/>
      <c r="AF200" s="1238"/>
      <c r="AG200" s="1238"/>
      <c r="AH200" s="1238"/>
      <c r="AI200" s="437"/>
      <c r="AJ200" s="1238"/>
      <c r="AK200" s="1238"/>
      <c r="AL200" s="1238"/>
      <c r="AM200" s="940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</row>
    <row r="201" ht="15.0" customHeight="1">
      <c r="A201" s="1"/>
      <c r="B201" s="1022"/>
      <c r="C201" s="469"/>
      <c r="D201" s="469"/>
      <c r="E201" s="469"/>
      <c r="F201" s="994"/>
      <c r="G201" s="994"/>
      <c r="H201" s="994"/>
      <c r="I201" s="39"/>
      <c r="J201" s="39"/>
      <c r="K201" s="39"/>
      <c r="L201" s="1238"/>
      <c r="M201" s="1238"/>
      <c r="N201" s="1238"/>
      <c r="O201" s="1238"/>
      <c r="P201" s="1238"/>
      <c r="Q201" s="1238"/>
      <c r="R201" s="1238"/>
      <c r="S201" s="1238"/>
      <c r="T201" s="1238"/>
      <c r="U201" s="1238"/>
      <c r="V201" s="1238"/>
      <c r="W201" s="1238"/>
      <c r="X201" s="1238"/>
      <c r="Y201" s="1238"/>
      <c r="Z201" s="1238"/>
      <c r="AA201" s="1238"/>
      <c r="AB201" s="1238"/>
      <c r="AC201" s="1238"/>
      <c r="AD201" s="1238"/>
      <c r="AE201" s="1238"/>
      <c r="AF201" s="1238"/>
      <c r="AG201" s="1238"/>
      <c r="AH201" s="1238"/>
      <c r="AI201" s="437"/>
      <c r="AJ201" s="1238"/>
      <c r="AK201" s="1238"/>
      <c r="AL201" s="1238"/>
      <c r="AM201" s="940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</row>
    <row r="202" ht="60.0" customHeight="1">
      <c r="A202" s="1"/>
      <c r="B202" s="1022"/>
      <c r="C202" s="469"/>
      <c r="D202" s="469"/>
      <c r="E202" s="469"/>
      <c r="F202" s="994"/>
      <c r="G202" s="994"/>
      <c r="H202" s="994"/>
      <c r="I202" s="39"/>
      <c r="J202" s="39"/>
      <c r="K202" s="39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097">
        <v>45980.0</v>
      </c>
      <c r="AE202" s="35"/>
      <c r="AF202" s="21"/>
      <c r="AG202" s="1"/>
      <c r="AH202" s="1"/>
      <c r="AI202" s="1"/>
      <c r="AJ202" s="1"/>
      <c r="AK202" s="1"/>
      <c r="AL202" s="1"/>
      <c r="AM202" s="940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</row>
    <row r="203" ht="15.0" customHeight="1">
      <c r="A203" s="1"/>
      <c r="B203" s="151" t="s">
        <v>748</v>
      </c>
      <c r="C203" s="82"/>
      <c r="D203" s="39"/>
      <c r="E203" s="994"/>
      <c r="F203" s="994"/>
      <c r="G203" s="994"/>
      <c r="H203" s="994"/>
      <c r="I203" s="39"/>
      <c r="J203" s="398" t="str">
        <f>'F Population'!N$6</f>
        <v>2025 - 26</v>
      </c>
      <c r="K203" s="39"/>
      <c r="L203" s="975" t="str">
        <f>'F Population'!P$6</f>
        <v>2026 - 27</v>
      </c>
      <c r="M203" s="243"/>
      <c r="N203" s="244"/>
      <c r="O203" s="39"/>
      <c r="P203" s="975" t="str">
        <f>'F Population'!U$6</f>
        <v>2027 - 28</v>
      </c>
      <c r="Q203" s="243"/>
      <c r="R203" s="244"/>
      <c r="S203" s="39"/>
      <c r="T203" s="975" t="str">
        <f>'F Population'!W$6</f>
        <v>2028 - 29</v>
      </c>
      <c r="U203" s="243"/>
      <c r="V203" s="244"/>
      <c r="W203" s="39"/>
      <c r="X203" s="975" t="str">
        <f>'F Population'!Y$6</f>
        <v>2029 - 30</v>
      </c>
      <c r="Y203" s="243"/>
      <c r="Z203" s="244"/>
      <c r="AA203" s="39"/>
      <c r="AB203" s="975" t="str">
        <f>'F Population'!AA$6</f>
        <v>2030 - 31</v>
      </c>
      <c r="AC203" s="243"/>
      <c r="AD203" s="244"/>
      <c r="AE203" s="1246"/>
      <c r="AF203" s="975" t="str">
        <f>'F Population'!AC$6</f>
        <v>2031 - 32</v>
      </c>
      <c r="AG203" s="243"/>
      <c r="AH203" s="244"/>
      <c r="AI203" s="39"/>
      <c r="AJ203" s="976" t="s">
        <v>126</v>
      </c>
      <c r="AK203" s="35"/>
      <c r="AL203" s="21"/>
      <c r="AM203" s="39"/>
      <c r="AN203" s="1"/>
      <c r="AO203" s="1"/>
      <c r="AP203" s="1" t="str">
        <f>AP209*50</f>
        <v>#DIV/0!</v>
      </c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</row>
    <row r="204" ht="6.0" customHeight="1">
      <c r="A204" s="1"/>
      <c r="B204" s="89"/>
      <c r="C204" s="89"/>
      <c r="D204" s="39"/>
      <c r="E204" s="994"/>
      <c r="F204" s="994"/>
      <c r="G204" s="994"/>
      <c r="H204" s="994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437"/>
      <c r="T204" s="39"/>
      <c r="U204" s="39"/>
      <c r="V204" s="39"/>
      <c r="W204" s="437"/>
      <c r="X204" s="39"/>
      <c r="Y204" s="39"/>
      <c r="Z204" s="39"/>
      <c r="AA204" s="940"/>
      <c r="AB204" s="39"/>
      <c r="AC204" s="39"/>
      <c r="AD204" s="1246"/>
      <c r="AE204" s="1246"/>
      <c r="AF204" s="1246"/>
      <c r="AG204" s="39"/>
      <c r="AH204" s="39"/>
      <c r="AI204" s="437"/>
      <c r="AJ204" s="39"/>
      <c r="AK204" s="39"/>
      <c r="AL204" s="39"/>
      <c r="AM204" s="940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</row>
    <row r="205" ht="14.25" customHeight="1">
      <c r="A205" s="1"/>
      <c r="B205" s="284" t="str">
        <f>B10</f>
        <v>New Student Center</v>
      </c>
      <c r="C205" s="89"/>
      <c r="D205" s="39"/>
      <c r="E205" s="994"/>
      <c r="F205" s="994"/>
      <c r="G205" s="994"/>
      <c r="H205" s="994"/>
      <c r="I205" s="39"/>
      <c r="J205" s="39"/>
      <c r="K205" s="926" t="str">
        <f>IF(H10&gt;12,"X",IF(H10&lt;0,"X",""))</f>
        <v/>
      </c>
      <c r="L205" s="1245">
        <f>IF($D10&lt;=L$5,IF($D10=L$5,SUM($J10:L10),L10),0)</f>
        <v>8600000</v>
      </c>
      <c r="M205" s="35"/>
      <c r="N205" s="21"/>
      <c r="O205" s="39"/>
      <c r="P205" s="1245">
        <f>IF($D10&lt;=P$5,IF($D10=P$5,SUM($J10:P10),P10),0)</f>
        <v>2200000</v>
      </c>
      <c r="Q205" s="35"/>
      <c r="R205" s="21"/>
      <c r="S205" s="437"/>
      <c r="T205" s="1245" t="str">
        <f>IF($D10&lt;=T$5,IF($D10=T$5,SUM($J10:T10),T10),0)</f>
        <v/>
      </c>
      <c r="U205" s="35"/>
      <c r="V205" s="21"/>
      <c r="W205" s="437"/>
      <c r="X205" s="1245" t="str">
        <f>IF($D10&lt;=X$5,IF($D10=X$5,SUM($J10:X10),X10),0)</f>
        <v/>
      </c>
      <c r="Y205" s="35"/>
      <c r="Z205" s="21"/>
      <c r="AA205" s="940"/>
      <c r="AB205" s="1245" t="str">
        <f>IF($D10&lt;=AB$5,IF($D10=AB$5,SUM($J10:AB10),AB10),0)</f>
        <v/>
      </c>
      <c r="AC205" s="35"/>
      <c r="AD205" s="21"/>
      <c r="AE205" s="940"/>
      <c r="AF205" s="1245" t="str">
        <f>IF($D10&lt;=AF$5,IF($D10=AF$5,SUM($J10:AF10),AF10),0)</f>
        <v/>
      </c>
      <c r="AG205" s="35"/>
      <c r="AH205" s="21"/>
      <c r="AI205" s="437"/>
      <c r="AJ205" s="1245">
        <f>SUM(L205:AF205)</f>
        <v>10800000</v>
      </c>
      <c r="AK205" s="35"/>
      <c r="AL205" s="21"/>
      <c r="AM205" s="940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</row>
    <row r="206" ht="6.75" customHeight="1">
      <c r="A206" s="1"/>
      <c r="B206" s="247"/>
      <c r="C206" s="247"/>
      <c r="D206" s="39"/>
      <c r="E206" s="994"/>
      <c r="F206" s="994"/>
      <c r="G206" s="994"/>
      <c r="H206" s="994"/>
      <c r="I206" s="39"/>
      <c r="J206" s="39"/>
      <c r="K206" s="39"/>
      <c r="L206" s="438"/>
      <c r="M206" s="438"/>
      <c r="N206" s="39"/>
      <c r="O206" s="39"/>
      <c r="P206" s="438"/>
      <c r="Q206" s="438"/>
      <c r="R206" s="39"/>
      <c r="S206" s="437"/>
      <c r="T206" s="438"/>
      <c r="U206" s="438"/>
      <c r="V206" s="39"/>
      <c r="W206" s="437"/>
      <c r="X206" s="438"/>
      <c r="Y206" s="438"/>
      <c r="Z206" s="39"/>
      <c r="AA206" s="940"/>
      <c r="AB206" s="438"/>
      <c r="AC206" s="438"/>
      <c r="AD206" s="39"/>
      <c r="AE206" s="940"/>
      <c r="AF206" s="438"/>
      <c r="AG206" s="438"/>
      <c r="AH206" s="39"/>
      <c r="AI206" s="437"/>
      <c r="AJ206" s="438"/>
      <c r="AK206" s="438"/>
      <c r="AL206" s="39"/>
      <c r="AM206" s="940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</row>
    <row r="207" ht="14.25" customHeight="1">
      <c r="A207" s="1"/>
      <c r="B207" s="284" t="str">
        <f>B12</f>
        <v>Field House</v>
      </c>
      <c r="C207" s="247"/>
      <c r="D207" s="39"/>
      <c r="E207" s="994"/>
      <c r="F207" s="994"/>
      <c r="G207" s="994"/>
      <c r="H207" s="994"/>
      <c r="I207" s="39"/>
      <c r="J207" s="39"/>
      <c r="K207" s="926" t="str">
        <f>IF(H12&gt;12,"X",IF(H12&lt;0,"X",""))</f>
        <v/>
      </c>
      <c r="L207" s="1245">
        <f>IF($D12&lt;=L$5,IF($D12=L$5,SUM($J12:L12),L12),0)</f>
        <v>2500437</v>
      </c>
      <c r="M207" s="35"/>
      <c r="N207" s="21"/>
      <c r="O207" s="39"/>
      <c r="P207" s="1245">
        <f>IF($D12&lt;=P$5,IF($D12=P$5,SUM($J12:P12),P12),0)</f>
        <v>6300000</v>
      </c>
      <c r="Q207" s="35"/>
      <c r="R207" s="21"/>
      <c r="S207" s="437"/>
      <c r="T207" s="1245">
        <f>IF($D12&lt;=T$5,IF($D12=T$5,SUM($J12:T12),T12),0)</f>
        <v>860000</v>
      </c>
      <c r="U207" s="35"/>
      <c r="V207" s="21"/>
      <c r="W207" s="437"/>
      <c r="X207" s="1245" t="str">
        <f>IF($D12&lt;=X$5,IF($D12=X$5,SUM($J12:X12),X12),0)</f>
        <v/>
      </c>
      <c r="Y207" s="35"/>
      <c r="Z207" s="21"/>
      <c r="AA207" s="940"/>
      <c r="AB207" s="1245" t="str">
        <f>IF($D12&lt;=AB$5,IF($D12=AB$5,SUM($J12:AB12),AB12),0)</f>
        <v/>
      </c>
      <c r="AC207" s="35"/>
      <c r="AD207" s="21"/>
      <c r="AE207" s="940"/>
      <c r="AF207" s="1245" t="str">
        <f>IF($D12&lt;=AF$5,IF($D12=AF$5,SUM($J12:AF12),AF12),0)</f>
        <v/>
      </c>
      <c r="AG207" s="35"/>
      <c r="AH207" s="21"/>
      <c r="AI207" s="437"/>
      <c r="AJ207" s="1245">
        <f>SUM(L207:AF207)</f>
        <v>9660437</v>
      </c>
      <c r="AK207" s="35"/>
      <c r="AL207" s="21"/>
      <c r="AM207" s="940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</row>
    <row r="208" ht="6.0" customHeight="1">
      <c r="A208" s="1"/>
      <c r="B208" s="247"/>
      <c r="C208" s="247"/>
      <c r="D208" s="39"/>
      <c r="E208" s="994"/>
      <c r="F208" s="994"/>
      <c r="G208" s="994"/>
      <c r="H208" s="994"/>
      <c r="I208" s="39"/>
      <c r="J208" s="39"/>
      <c r="K208" s="39"/>
      <c r="L208" s="438"/>
      <c r="M208" s="438"/>
      <c r="N208" s="39"/>
      <c r="O208" s="39"/>
      <c r="P208" s="438"/>
      <c r="Q208" s="438"/>
      <c r="R208" s="39"/>
      <c r="S208" s="437"/>
      <c r="T208" s="438"/>
      <c r="U208" s="438"/>
      <c r="V208" s="39"/>
      <c r="W208" s="437"/>
      <c r="X208" s="438"/>
      <c r="Y208" s="438"/>
      <c r="Z208" s="39"/>
      <c r="AA208" s="940"/>
      <c r="AB208" s="438"/>
      <c r="AC208" s="438"/>
      <c r="AD208" s="39"/>
      <c r="AE208" s="940"/>
      <c r="AF208" s="438"/>
      <c r="AG208" s="438"/>
      <c r="AH208" s="39"/>
      <c r="AI208" s="437"/>
      <c r="AJ208" s="438"/>
      <c r="AK208" s="438"/>
      <c r="AL208" s="39"/>
      <c r="AM208" s="940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</row>
    <row r="209" ht="14.25" customHeight="1">
      <c r="A209" s="1"/>
      <c r="B209" s="284" t="str">
        <f>B14</f>
        <v/>
      </c>
      <c r="C209" s="89"/>
      <c r="D209" s="39"/>
      <c r="E209" s="994"/>
      <c r="F209" s="994"/>
      <c r="G209" s="994"/>
      <c r="H209" s="994"/>
      <c r="I209" s="39"/>
      <c r="J209" s="39"/>
      <c r="K209" s="926" t="str">
        <f>IF(H14&gt;12,"X",IF(H14&lt;0,"X",""))</f>
        <v/>
      </c>
      <c r="L209" s="1245" t="str">
        <f>IF($D14&lt;=L$5,IF($D14=L$5,SUM($J14:L14),L14),0)</f>
        <v/>
      </c>
      <c r="M209" s="35"/>
      <c r="N209" s="21"/>
      <c r="O209" s="39"/>
      <c r="P209" s="1245" t="str">
        <f>IF($D14&lt;=P$5,IF($D14=P$5,SUM($J14:P14),P14),0)</f>
        <v/>
      </c>
      <c r="Q209" s="35"/>
      <c r="R209" s="21"/>
      <c r="S209" s="437"/>
      <c r="T209" s="1245" t="str">
        <f>IF($D14&lt;=T$5,IF($D14=T$5,SUM($J14:T14),T14),0)</f>
        <v/>
      </c>
      <c r="U209" s="35"/>
      <c r="V209" s="21"/>
      <c r="W209" s="437"/>
      <c r="X209" s="1245" t="str">
        <f>IF($D14&lt;=X$5,IF($D14=X$5,SUM($J14:X14),X14),0)</f>
        <v/>
      </c>
      <c r="Y209" s="35"/>
      <c r="Z209" s="21"/>
      <c r="AA209" s="940"/>
      <c r="AB209" s="1245" t="str">
        <f>IF($D14&lt;=AB$5,IF($D14=AB$5,SUM($J14:AB14),AB14),0)</f>
        <v/>
      </c>
      <c r="AC209" s="35"/>
      <c r="AD209" s="21"/>
      <c r="AE209" s="940"/>
      <c r="AF209" s="1245" t="str">
        <f>IF($D14&lt;=AF$5,IF($D14=AF$5,SUM($J14:AF14),AF14),0)</f>
        <v/>
      </c>
      <c r="AG209" s="35"/>
      <c r="AH209" s="21"/>
      <c r="AI209" s="437"/>
      <c r="AJ209" s="1245">
        <f>SUM(L209:AF209)</f>
        <v>0</v>
      </c>
      <c r="AK209" s="35"/>
      <c r="AL209" s="21"/>
      <c r="AM209" s="940"/>
      <c r="AN209" s="1"/>
      <c r="AO209" s="1"/>
      <c r="AP209" s="1" t="str">
        <f>IF(SUM(L$209:L209)/$F14&gt;SUM($J69:L69)/$F14,SUM($J69:L69)/$F14,SUM(L$209:L209)/$F14)</f>
        <v>#DIV/0!</v>
      </c>
      <c r="AQ209" s="1"/>
      <c r="AR209" s="1" t="str">
        <f>IF(SUM(P$209:P209)/$F14&gt;SUM($J69:P69)/$F14,SUM($J69:P69)/$F14,SUM(P$209:P209)/$F14)</f>
        <v>#DIV/0!</v>
      </c>
      <c r="AS209" s="1"/>
      <c r="AT209" s="1" t="str">
        <f>IF(SUM(T$209:T209)/$F14&gt;SUM($J69:T69)/$F14,SUM($J69:T69)/$F14,SUM(T$209:T209)/$F14)</f>
        <v>#DIV/0!</v>
      </c>
      <c r="AU209" s="1"/>
      <c r="AV209" s="1" t="str">
        <f>IF(SUM(X$209:X209)/$F14&gt;SUM($J69:X69)/$F14,SUM($J69:X69)/$F14,SUM(X$209:X209)/$F14)</f>
        <v>#DIV/0!</v>
      </c>
      <c r="AW209" s="1"/>
      <c r="AX209" s="1" t="str">
        <f>IF(SUM(AB$209:AB209)/$F14&gt;SUM($J69:AB69)/$F14,SUM($J69:AB69)/$F14,SUM(AB$209:AB209)/$F14)</f>
        <v>#DIV/0!</v>
      </c>
      <c r="AY209" s="1"/>
      <c r="AZ209" s="1" t="str">
        <f>IF(SUM(AF$209:AF209)/$F14&gt;SUM($J69:AF69)/$F14,SUM($J69:AF69)/$F14,SUM(AF$209:AF209)/$F14)</f>
        <v>#DIV/0!</v>
      </c>
      <c r="BA209" s="1"/>
      <c r="BB209" s="1" t="str">
        <f>IF(SUM(AJ$209:AJ209)/$F14&gt;SUM($J69:AJ69)/$F14,SUM($J69:AJ69)/$F14,SUM(AJ$209:AJ209)/$F14)</f>
        <v>#DIV/0!</v>
      </c>
      <c r="BC209" s="1"/>
      <c r="BD209" s="1"/>
      <c r="BE209" s="1"/>
      <c r="BF209" s="1"/>
    </row>
    <row r="210" ht="6.0" customHeight="1">
      <c r="A210" s="1"/>
      <c r="B210" s="284"/>
      <c r="C210" s="89"/>
      <c r="D210" s="39"/>
      <c r="E210" s="994"/>
      <c r="F210" s="994"/>
      <c r="G210" s="994"/>
      <c r="H210" s="994"/>
      <c r="I210" s="39"/>
      <c r="J210" s="39"/>
      <c r="K210" s="926"/>
      <c r="L210" s="1247"/>
      <c r="M210" s="1247"/>
      <c r="N210" s="1247"/>
      <c r="O210" s="39"/>
      <c r="P210" s="1247"/>
      <c r="Q210" s="1247"/>
      <c r="R210" s="1247"/>
      <c r="S210" s="437"/>
      <c r="T210" s="1247"/>
      <c r="U210" s="1247"/>
      <c r="V210" s="1247"/>
      <c r="W210" s="437"/>
      <c r="X210" s="1247"/>
      <c r="Y210" s="1247"/>
      <c r="Z210" s="1247"/>
      <c r="AA210" s="940"/>
      <c r="AB210" s="1247"/>
      <c r="AC210" s="1247"/>
      <c r="AD210" s="1247"/>
      <c r="AE210" s="940"/>
      <c r="AF210" s="1247"/>
      <c r="AG210" s="1247"/>
      <c r="AH210" s="1247"/>
      <c r="AI210" s="437"/>
      <c r="AJ210" s="1247"/>
      <c r="AK210" s="1247"/>
      <c r="AL210" s="1247"/>
      <c r="AM210" s="940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</row>
    <row r="211" ht="14.25" customHeight="1">
      <c r="A211" s="1"/>
      <c r="B211" s="284" t="str">
        <f>B16</f>
        <v/>
      </c>
      <c r="C211" s="89"/>
      <c r="D211" s="39"/>
      <c r="E211" s="994"/>
      <c r="F211" s="994"/>
      <c r="G211" s="994"/>
      <c r="H211" s="994"/>
      <c r="I211" s="39"/>
      <c r="J211" s="39"/>
      <c r="K211" s="926"/>
      <c r="L211" s="1245" t="str">
        <f>IF($D16&lt;=L$5,IF($D16=L$5,SUM($J16:L16),L16),0)</f>
        <v/>
      </c>
      <c r="M211" s="35"/>
      <c r="N211" s="21"/>
      <c r="O211" s="39"/>
      <c r="P211" s="1245" t="str">
        <f>IF($D16&lt;=P$5,IF($D16=P$5,SUM($J16:P16),P16),0)</f>
        <v/>
      </c>
      <c r="Q211" s="35"/>
      <c r="R211" s="21"/>
      <c r="S211" s="437"/>
      <c r="T211" s="1245" t="str">
        <f>IF($D16&lt;=T$5,IF($D16=T$5,SUM($J16:T16),T16),0)</f>
        <v/>
      </c>
      <c r="U211" s="35"/>
      <c r="V211" s="21"/>
      <c r="W211" s="437"/>
      <c r="X211" s="1245" t="str">
        <f>IF($D16&lt;=X$5,IF($D16=X$5,SUM($J16:X16),X16),0)</f>
        <v/>
      </c>
      <c r="Y211" s="35"/>
      <c r="Z211" s="21"/>
      <c r="AA211" s="940"/>
      <c r="AB211" s="1245" t="str">
        <f>IF($D16&lt;=AB$5,IF($D16=AB$5,SUM($J16:AB16),AB16),0)</f>
        <v/>
      </c>
      <c r="AC211" s="35"/>
      <c r="AD211" s="21"/>
      <c r="AE211" s="940"/>
      <c r="AF211" s="1245" t="str">
        <f>IF($D16&lt;=AF$5,IF($D16=AF$5,SUM($J16:AF16),AF16),0)</f>
        <v/>
      </c>
      <c r="AG211" s="35"/>
      <c r="AH211" s="21"/>
      <c r="AI211" s="437"/>
      <c r="AJ211" s="1245">
        <f>SUM(L211:AF211)</f>
        <v>0</v>
      </c>
      <c r="AK211" s="35"/>
      <c r="AL211" s="21"/>
      <c r="AM211" s="940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</row>
    <row r="212" ht="6.0" customHeight="1">
      <c r="A212" s="1"/>
      <c r="B212" s="284"/>
      <c r="C212" s="89"/>
      <c r="D212" s="39"/>
      <c r="E212" s="994"/>
      <c r="F212" s="994"/>
      <c r="G212" s="994"/>
      <c r="H212" s="994"/>
      <c r="I212" s="39"/>
      <c r="J212" s="39"/>
      <c r="K212" s="926"/>
      <c r="L212" s="1247"/>
      <c r="M212" s="1247"/>
      <c r="N212" s="1247"/>
      <c r="O212" s="39"/>
      <c r="P212" s="1247"/>
      <c r="Q212" s="1247"/>
      <c r="R212" s="1247"/>
      <c r="S212" s="437"/>
      <c r="T212" s="1247"/>
      <c r="U212" s="1247"/>
      <c r="V212" s="1247"/>
      <c r="W212" s="437"/>
      <c r="X212" s="1247"/>
      <c r="Y212" s="1247"/>
      <c r="Z212" s="1247"/>
      <c r="AA212" s="940"/>
      <c r="AB212" s="1247"/>
      <c r="AC212" s="1247"/>
      <c r="AD212" s="1247"/>
      <c r="AE212" s="940"/>
      <c r="AF212" s="1247"/>
      <c r="AG212" s="1247"/>
      <c r="AH212" s="1247"/>
      <c r="AI212" s="437"/>
      <c r="AJ212" s="1247"/>
      <c r="AK212" s="1247"/>
      <c r="AL212" s="1247"/>
      <c r="AM212" s="940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</row>
    <row r="213" ht="14.25" customHeight="1">
      <c r="A213" s="1"/>
      <c r="B213" s="284" t="str">
        <f>B18</f>
        <v/>
      </c>
      <c r="C213" s="89"/>
      <c r="D213" s="39"/>
      <c r="E213" s="994"/>
      <c r="F213" s="994"/>
      <c r="G213" s="994"/>
      <c r="H213" s="994"/>
      <c r="I213" s="39"/>
      <c r="J213" s="39"/>
      <c r="K213" s="926"/>
      <c r="L213" s="1245" t="str">
        <f>IF($D18&lt;=L$5,IF($D18=L$5,SUM($J18:L18),L18),0)</f>
        <v/>
      </c>
      <c r="M213" s="35"/>
      <c r="N213" s="21"/>
      <c r="O213" s="39"/>
      <c r="P213" s="1245" t="str">
        <f>IF($D18&lt;=P$5,IF($D18=P$5,SUM($J18:P18),P18),0)</f>
        <v/>
      </c>
      <c r="Q213" s="35"/>
      <c r="R213" s="21"/>
      <c r="S213" s="437"/>
      <c r="T213" s="1245" t="str">
        <f>IF($D18&lt;=T$5,IF($D18=T$5,SUM($J18:T18),T18),0)</f>
        <v/>
      </c>
      <c r="U213" s="35"/>
      <c r="V213" s="21"/>
      <c r="W213" s="437"/>
      <c r="X213" s="1245" t="str">
        <f>IF($D18&lt;=X$5,IF($D18=X$5,SUM($J18:X18),X18),0)</f>
        <v/>
      </c>
      <c r="Y213" s="35"/>
      <c r="Z213" s="21"/>
      <c r="AA213" s="940"/>
      <c r="AB213" s="1245" t="str">
        <f>IF($D18&lt;=AB$5,IF($D18=AB$5,SUM($J18:AB18),AB18),0)</f>
        <v/>
      </c>
      <c r="AC213" s="35"/>
      <c r="AD213" s="21"/>
      <c r="AE213" s="940"/>
      <c r="AF213" s="1245" t="str">
        <f>IF($D18&lt;=AF$5,IF($D18=AF$5,SUM($J18:AF18),AF18),0)</f>
        <v/>
      </c>
      <c r="AG213" s="35"/>
      <c r="AH213" s="21"/>
      <c r="AI213" s="437"/>
      <c r="AJ213" s="1245">
        <f>SUM(L213:AF213)</f>
        <v>0</v>
      </c>
      <c r="AK213" s="35"/>
      <c r="AL213" s="21"/>
      <c r="AM213" s="940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</row>
    <row r="214" ht="6.0" customHeight="1">
      <c r="A214" s="1"/>
      <c r="B214" s="284"/>
      <c r="C214" s="89"/>
      <c r="D214" s="39"/>
      <c r="E214" s="994"/>
      <c r="F214" s="994"/>
      <c r="G214" s="994"/>
      <c r="H214" s="994"/>
      <c r="I214" s="39"/>
      <c r="J214" s="39"/>
      <c r="K214" s="926"/>
      <c r="L214" s="1247"/>
      <c r="M214" s="1247"/>
      <c r="N214" s="1247"/>
      <c r="O214" s="39"/>
      <c r="P214" s="1247"/>
      <c r="Q214" s="1247"/>
      <c r="R214" s="1247"/>
      <c r="S214" s="437"/>
      <c r="T214" s="1247"/>
      <c r="U214" s="1247"/>
      <c r="V214" s="1247"/>
      <c r="W214" s="437"/>
      <c r="X214" s="1247"/>
      <c r="Y214" s="1247"/>
      <c r="Z214" s="1247"/>
      <c r="AA214" s="940"/>
      <c r="AB214" s="1247"/>
      <c r="AC214" s="1247"/>
      <c r="AD214" s="1247"/>
      <c r="AE214" s="940"/>
      <c r="AF214" s="1247"/>
      <c r="AG214" s="1247"/>
      <c r="AH214" s="1247"/>
      <c r="AI214" s="437"/>
      <c r="AJ214" s="1247"/>
      <c r="AK214" s="1247"/>
      <c r="AL214" s="1247"/>
      <c r="AM214" s="940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</row>
    <row r="215" ht="14.25" customHeight="1">
      <c r="A215" s="1"/>
      <c r="B215" s="284" t="str">
        <f>B20</f>
        <v/>
      </c>
      <c r="C215" s="89"/>
      <c r="D215" s="39"/>
      <c r="E215" s="994"/>
      <c r="F215" s="994"/>
      <c r="G215" s="994"/>
      <c r="H215" s="994"/>
      <c r="I215" s="39"/>
      <c r="J215" s="39"/>
      <c r="K215" s="926"/>
      <c r="L215" s="1245" t="str">
        <f>IF($D20&lt;=L$5,IF($D20=L$5,SUM($J20:L20),L20),0)</f>
        <v/>
      </c>
      <c r="M215" s="35"/>
      <c r="N215" s="21"/>
      <c r="O215" s="39"/>
      <c r="P215" s="1245" t="str">
        <f>IF($D20&lt;=P$5,IF($D20=P$5,SUM($J20:P20),P20),0)</f>
        <v/>
      </c>
      <c r="Q215" s="35"/>
      <c r="R215" s="21"/>
      <c r="S215" s="437"/>
      <c r="T215" s="1245" t="str">
        <f>IF($D20&lt;=T$5,IF($D20=T$5,SUM($J20:T20),T20),0)</f>
        <v/>
      </c>
      <c r="U215" s="35"/>
      <c r="V215" s="21"/>
      <c r="W215" s="437"/>
      <c r="X215" s="1245" t="str">
        <f>IF($D20&lt;=X$5,IF($D20=X$5,SUM($J20:X20),X20),0)</f>
        <v/>
      </c>
      <c r="Y215" s="35"/>
      <c r="Z215" s="21"/>
      <c r="AA215" s="940"/>
      <c r="AB215" s="1245" t="str">
        <f>IF($D20&lt;=AB$5,IF($D20=AB$5,SUM($J20:AB20),AB20),0)</f>
        <v/>
      </c>
      <c r="AC215" s="35"/>
      <c r="AD215" s="21"/>
      <c r="AE215" s="940"/>
      <c r="AF215" s="1245" t="str">
        <f>IF($D20&lt;=AF$5,IF($D20=AF$5,SUM($J20:AF20),AF20),0)</f>
        <v/>
      </c>
      <c r="AG215" s="35"/>
      <c r="AH215" s="21"/>
      <c r="AI215" s="437"/>
      <c r="AJ215" s="1245">
        <f>SUM(L215:AF215)</f>
        <v>0</v>
      </c>
      <c r="AK215" s="35"/>
      <c r="AL215" s="21"/>
      <c r="AM215" s="940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</row>
    <row r="216" ht="6.0" customHeight="1">
      <c r="A216" s="1"/>
      <c r="B216" s="284"/>
      <c r="C216" s="89"/>
      <c r="D216" s="39"/>
      <c r="E216" s="994"/>
      <c r="F216" s="994"/>
      <c r="G216" s="994"/>
      <c r="H216" s="994"/>
      <c r="I216" s="39"/>
      <c r="J216" s="39"/>
      <c r="K216" s="926"/>
      <c r="L216" s="1247"/>
      <c r="M216" s="1247"/>
      <c r="N216" s="1247"/>
      <c r="O216" s="39"/>
      <c r="P216" s="1247"/>
      <c r="Q216" s="1247"/>
      <c r="R216" s="1247"/>
      <c r="S216" s="437"/>
      <c r="T216" s="1247"/>
      <c r="U216" s="1247"/>
      <c r="V216" s="1247"/>
      <c r="W216" s="437"/>
      <c r="X216" s="1247"/>
      <c r="Y216" s="1247"/>
      <c r="Z216" s="1247"/>
      <c r="AA216" s="940"/>
      <c r="AB216" s="1247"/>
      <c r="AC216" s="1247"/>
      <c r="AD216" s="1247"/>
      <c r="AE216" s="940"/>
      <c r="AF216" s="1247"/>
      <c r="AG216" s="1247"/>
      <c r="AH216" s="1247"/>
      <c r="AI216" s="437"/>
      <c r="AJ216" s="1247"/>
      <c r="AK216" s="1247"/>
      <c r="AL216" s="1247"/>
      <c r="AM216" s="940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</row>
    <row r="217" ht="14.25" customHeight="1">
      <c r="A217" s="1"/>
      <c r="B217" s="284" t="str">
        <f>B22</f>
        <v/>
      </c>
      <c r="C217" s="89"/>
      <c r="D217" s="39"/>
      <c r="E217" s="994"/>
      <c r="F217" s="994"/>
      <c r="G217" s="994"/>
      <c r="H217" s="994"/>
      <c r="I217" s="39"/>
      <c r="J217" s="39"/>
      <c r="K217" s="926"/>
      <c r="L217" s="1245" t="str">
        <f>IF($D22&lt;=L$5,IF($D22=L$5,SUM($J22:L22),L22),0)</f>
        <v/>
      </c>
      <c r="M217" s="35"/>
      <c r="N217" s="21"/>
      <c r="O217" s="39"/>
      <c r="P217" s="1245" t="str">
        <f>IF($D22&lt;=P$5,IF($D22=P$5,SUM($J22:P22),P22),0)</f>
        <v/>
      </c>
      <c r="Q217" s="35"/>
      <c r="R217" s="21"/>
      <c r="S217" s="437"/>
      <c r="T217" s="1245" t="str">
        <f>IF($D22&lt;=T$5,IF($D22=T$5,SUM($J22:T22),T22),0)</f>
        <v/>
      </c>
      <c r="U217" s="35"/>
      <c r="V217" s="21"/>
      <c r="W217" s="437"/>
      <c r="X217" s="1245" t="str">
        <f>IF($D22&lt;=X$5,IF($D22=X$5,SUM($J22:X22),X22),0)</f>
        <v/>
      </c>
      <c r="Y217" s="35"/>
      <c r="Z217" s="21"/>
      <c r="AA217" s="940"/>
      <c r="AB217" s="1245" t="str">
        <f>IF($D22&lt;=AB$5,IF($D22=AB$5,SUM($J22:AB22),AB22),0)</f>
        <v/>
      </c>
      <c r="AC217" s="35"/>
      <c r="AD217" s="21"/>
      <c r="AE217" s="940"/>
      <c r="AF217" s="1245" t="str">
        <f>IF($D22&lt;=AF$5,IF($D22=AF$5,SUM($J22:AF22),AF22),0)</f>
        <v/>
      </c>
      <c r="AG217" s="35"/>
      <c r="AH217" s="21"/>
      <c r="AI217" s="437"/>
      <c r="AJ217" s="1245">
        <f>SUM(L217:AF217)</f>
        <v>0</v>
      </c>
      <c r="AK217" s="35"/>
      <c r="AL217" s="21"/>
      <c r="AM217" s="940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</row>
    <row r="218" ht="6.0" customHeight="1">
      <c r="A218" s="1"/>
      <c r="B218" s="89"/>
      <c r="C218" s="89"/>
      <c r="D218" s="39"/>
      <c r="E218" s="994"/>
      <c r="F218" s="994"/>
      <c r="G218" s="994"/>
      <c r="H218" s="994"/>
      <c r="I218" s="39"/>
      <c r="J218" s="39"/>
      <c r="K218" s="39"/>
      <c r="L218" s="438"/>
      <c r="M218" s="438"/>
      <c r="N218" s="39"/>
      <c r="O218" s="39"/>
      <c r="P218" s="438"/>
      <c r="Q218" s="438"/>
      <c r="R218" s="39"/>
      <c r="S218" s="437"/>
      <c r="T218" s="438"/>
      <c r="U218" s="438"/>
      <c r="V218" s="39"/>
      <c r="W218" s="437"/>
      <c r="X218" s="438"/>
      <c r="Y218" s="438"/>
      <c r="Z218" s="39"/>
      <c r="AA218" s="940"/>
      <c r="AB218" s="438"/>
      <c r="AC218" s="438"/>
      <c r="AD218" s="39"/>
      <c r="AE218" s="940"/>
      <c r="AF218" s="438"/>
      <c r="AG218" s="438"/>
      <c r="AH218" s="39"/>
      <c r="AI218" s="437"/>
      <c r="AJ218" s="438"/>
      <c r="AK218" s="438"/>
      <c r="AL218" s="39"/>
      <c r="AM218" s="940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</row>
    <row r="219" ht="14.25" customHeight="1">
      <c r="A219" s="1"/>
      <c r="B219" s="284" t="str">
        <f>B24</f>
        <v/>
      </c>
      <c r="C219" s="89"/>
      <c r="D219" s="39"/>
      <c r="E219" s="994"/>
      <c r="F219" s="994"/>
      <c r="G219" s="994"/>
      <c r="H219" s="994"/>
      <c r="I219" s="39"/>
      <c r="J219" s="39"/>
      <c r="K219" s="926"/>
      <c r="L219" s="1245" t="str">
        <f>IF($D24&lt;=L$5,IF($D24=L$5,SUM($J24:L24),L24),0)</f>
        <v/>
      </c>
      <c r="M219" s="35"/>
      <c r="N219" s="21"/>
      <c r="O219" s="39"/>
      <c r="P219" s="1245" t="str">
        <f>IF($D24&lt;=P$5,IF($D24=P$5,SUM($J24:P24),P24),0)</f>
        <v/>
      </c>
      <c r="Q219" s="35"/>
      <c r="R219" s="21"/>
      <c r="S219" s="437"/>
      <c r="T219" s="1245" t="str">
        <f>IF($D24&lt;=T$5,IF($D24=T$5,SUM($J24:T24),T24),0)</f>
        <v/>
      </c>
      <c r="U219" s="35"/>
      <c r="V219" s="21"/>
      <c r="W219" s="437"/>
      <c r="X219" s="1245" t="str">
        <f>IF($D24&lt;=X$5,IF($D24=X$5,SUM($J24:X24),X24),0)</f>
        <v/>
      </c>
      <c r="Y219" s="35"/>
      <c r="Z219" s="21"/>
      <c r="AA219" s="940"/>
      <c r="AB219" s="1245" t="str">
        <f>IF($D24&lt;=AB$5,IF($D24=AB$5,SUM($J24:AB24),AB24),0)</f>
        <v/>
      </c>
      <c r="AC219" s="35"/>
      <c r="AD219" s="21"/>
      <c r="AE219" s="940"/>
      <c r="AF219" s="1245" t="str">
        <f>IF($D24&lt;=AF$5,IF($D24=AF$5,SUM($J24:AF24),AF24),0)</f>
        <v/>
      </c>
      <c r="AG219" s="35"/>
      <c r="AH219" s="21"/>
      <c r="AI219" s="437"/>
      <c r="AJ219" s="1245">
        <f>SUM(L219:AF219)</f>
        <v>0</v>
      </c>
      <c r="AK219" s="35"/>
      <c r="AL219" s="21"/>
      <c r="AM219" s="940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</row>
    <row r="220" ht="6.0" customHeight="1">
      <c r="A220" s="1"/>
      <c r="B220" s="82"/>
      <c r="C220" s="82"/>
      <c r="D220" s="39"/>
      <c r="E220" s="994"/>
      <c r="F220" s="994"/>
      <c r="G220" s="994"/>
      <c r="H220" s="994"/>
      <c r="I220" s="39"/>
      <c r="J220" s="39"/>
      <c r="K220" s="39"/>
      <c r="L220" s="438"/>
      <c r="M220" s="438"/>
      <c r="N220" s="39"/>
      <c r="O220" s="39"/>
      <c r="P220" s="438"/>
      <c r="Q220" s="438"/>
      <c r="R220" s="39"/>
      <c r="S220" s="437"/>
      <c r="T220" s="438"/>
      <c r="U220" s="438"/>
      <c r="V220" s="39"/>
      <c r="W220" s="437"/>
      <c r="X220" s="438"/>
      <c r="Y220" s="438"/>
      <c r="Z220" s="39"/>
      <c r="AA220" s="940"/>
      <c r="AB220" s="438"/>
      <c r="AC220" s="438"/>
      <c r="AD220" s="39"/>
      <c r="AE220" s="940"/>
      <c r="AF220" s="438"/>
      <c r="AG220" s="438"/>
      <c r="AH220" s="39"/>
      <c r="AI220" s="437"/>
      <c r="AJ220" s="438"/>
      <c r="AK220" s="438"/>
      <c r="AL220" s="39"/>
      <c r="AM220" s="940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</row>
    <row r="221" ht="14.25" customHeight="1">
      <c r="A221" s="1"/>
      <c r="B221" s="284" t="str">
        <f>B26</f>
        <v/>
      </c>
      <c r="C221" s="89"/>
      <c r="D221" s="39"/>
      <c r="E221" s="994"/>
      <c r="F221" s="994"/>
      <c r="G221" s="994"/>
      <c r="H221" s="994"/>
      <c r="I221" s="39"/>
      <c r="J221" s="39"/>
      <c r="K221" s="926"/>
      <c r="L221" s="1245" t="str">
        <f>IF($D26&lt;=L$5,IF($D26=L$5,SUM($J26:L26),L26),0)</f>
        <v/>
      </c>
      <c r="M221" s="35"/>
      <c r="N221" s="21"/>
      <c r="O221" s="39"/>
      <c r="P221" s="1245" t="str">
        <f>IF($D26&lt;=P$5,IF($D26=P$5,SUM($J26:P26),P26),0)</f>
        <v/>
      </c>
      <c r="Q221" s="35"/>
      <c r="R221" s="21"/>
      <c r="S221" s="437"/>
      <c r="T221" s="1245" t="str">
        <f>IF($D26&lt;=T$5,IF($D26=T$5,SUM($J26:T26),T26),0)</f>
        <v/>
      </c>
      <c r="U221" s="35"/>
      <c r="V221" s="21"/>
      <c r="W221" s="437"/>
      <c r="X221" s="1245" t="str">
        <f>IF($D26&lt;=X$5,IF($D26=X$5,SUM($J26:X26),X26),0)</f>
        <v/>
      </c>
      <c r="Y221" s="35"/>
      <c r="Z221" s="21"/>
      <c r="AA221" s="940"/>
      <c r="AB221" s="1245" t="str">
        <f>IF($D26&lt;=AB$5,IF($D26=AB$5,SUM($J26:AB26),AB26),0)</f>
        <v/>
      </c>
      <c r="AC221" s="35"/>
      <c r="AD221" s="21"/>
      <c r="AE221" s="940"/>
      <c r="AF221" s="1245" t="str">
        <f>IF($D26&lt;=AF$5,IF($D26=AF$5,SUM($J26:AF26),AF26),0)</f>
        <v/>
      </c>
      <c r="AG221" s="35"/>
      <c r="AH221" s="21"/>
      <c r="AI221" s="437"/>
      <c r="AJ221" s="1245">
        <f>SUM(L221:AF221)</f>
        <v>0</v>
      </c>
      <c r="AK221" s="35"/>
      <c r="AL221" s="21"/>
      <c r="AM221" s="940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</row>
    <row r="222" ht="6.0" customHeight="1">
      <c r="A222" s="1"/>
      <c r="B222" s="247"/>
      <c r="C222" s="247"/>
      <c r="D222" s="39"/>
      <c r="E222" s="994"/>
      <c r="F222" s="994"/>
      <c r="G222" s="994"/>
      <c r="H222" s="994"/>
      <c r="I222" s="39"/>
      <c r="J222" s="39"/>
      <c r="K222" s="39"/>
      <c r="L222" s="438"/>
      <c r="M222" s="438"/>
      <c r="N222" s="39"/>
      <c r="O222" s="39"/>
      <c r="P222" s="438"/>
      <c r="Q222" s="438"/>
      <c r="R222" s="39"/>
      <c r="S222" s="437"/>
      <c r="T222" s="438"/>
      <c r="U222" s="438"/>
      <c r="V222" s="39"/>
      <c r="W222" s="437"/>
      <c r="X222" s="438"/>
      <c r="Y222" s="438"/>
      <c r="Z222" s="39"/>
      <c r="AA222" s="940"/>
      <c r="AB222" s="438"/>
      <c r="AC222" s="438"/>
      <c r="AD222" s="39"/>
      <c r="AE222" s="940"/>
      <c r="AF222" s="438"/>
      <c r="AG222" s="438"/>
      <c r="AH222" s="39"/>
      <c r="AI222" s="437"/>
      <c r="AJ222" s="438"/>
      <c r="AK222" s="438"/>
      <c r="AL222" s="39"/>
      <c r="AM222" s="940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</row>
    <row r="223" ht="14.25" customHeight="1">
      <c r="A223" s="1"/>
      <c r="B223" s="284" t="str">
        <f>B28</f>
        <v/>
      </c>
      <c r="C223" s="89"/>
      <c r="D223" s="39"/>
      <c r="E223" s="994"/>
      <c r="F223" s="994"/>
      <c r="G223" s="994"/>
      <c r="H223" s="994"/>
      <c r="I223" s="39"/>
      <c r="J223" s="39"/>
      <c r="K223" s="926"/>
      <c r="L223" s="1245" t="str">
        <f>IF($D28&lt;=L$5,IF($D28=L$5,SUM($J28:L28),L28),0)</f>
        <v/>
      </c>
      <c r="M223" s="35"/>
      <c r="N223" s="21"/>
      <c r="O223" s="39"/>
      <c r="P223" s="1245" t="str">
        <f>IF($D28&lt;=P$5,IF($D28=P$5,SUM($J28:P28),P28),0)</f>
        <v/>
      </c>
      <c r="Q223" s="35"/>
      <c r="R223" s="21"/>
      <c r="S223" s="437"/>
      <c r="T223" s="1245" t="str">
        <f>IF($D28&lt;=T$5,IF($D28=T$5,SUM($J28:T28),T28),0)</f>
        <v/>
      </c>
      <c r="U223" s="35"/>
      <c r="V223" s="21"/>
      <c r="W223" s="437"/>
      <c r="X223" s="1245" t="str">
        <f>IF($D28&lt;=X$5,IF($D28=X$5,SUM($J28:X28),X28),0)</f>
        <v/>
      </c>
      <c r="Y223" s="35"/>
      <c r="Z223" s="21"/>
      <c r="AA223" s="940"/>
      <c r="AB223" s="1245" t="str">
        <f>IF($D28&lt;=AB$5,IF($D28=AB$5,SUM($J28:AB28),AB28),0)</f>
        <v/>
      </c>
      <c r="AC223" s="35"/>
      <c r="AD223" s="21"/>
      <c r="AE223" s="940"/>
      <c r="AF223" s="1245" t="str">
        <f>IF($D28&lt;=AF$5,IF($D28=AF$5,SUM($J28:AF28),AF28),0)</f>
        <v/>
      </c>
      <c r="AG223" s="35"/>
      <c r="AH223" s="21"/>
      <c r="AI223" s="437"/>
      <c r="AJ223" s="1245">
        <f>SUM(L223:AF223)</f>
        <v>0</v>
      </c>
      <c r="AK223" s="35"/>
      <c r="AL223" s="21"/>
      <c r="AM223" s="940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</row>
    <row r="224" ht="6.0" customHeight="1">
      <c r="A224" s="1"/>
      <c r="B224" s="247"/>
      <c r="C224" s="247"/>
      <c r="D224" s="39"/>
      <c r="E224" s="994"/>
      <c r="F224" s="994"/>
      <c r="G224" s="994"/>
      <c r="H224" s="994"/>
      <c r="I224" s="39"/>
      <c r="J224" s="39"/>
      <c r="K224" s="39"/>
      <c r="L224" s="438"/>
      <c r="M224" s="438"/>
      <c r="N224" s="39"/>
      <c r="O224" s="39"/>
      <c r="P224" s="438"/>
      <c r="Q224" s="438"/>
      <c r="R224" s="39"/>
      <c r="S224" s="437"/>
      <c r="T224" s="438"/>
      <c r="U224" s="438"/>
      <c r="V224" s="39"/>
      <c r="W224" s="437"/>
      <c r="X224" s="438"/>
      <c r="Y224" s="438"/>
      <c r="Z224" s="39"/>
      <c r="AA224" s="940"/>
      <c r="AB224" s="438"/>
      <c r="AC224" s="438"/>
      <c r="AD224" s="39"/>
      <c r="AE224" s="940"/>
      <c r="AF224" s="438"/>
      <c r="AG224" s="438"/>
      <c r="AH224" s="39"/>
      <c r="AI224" s="437"/>
      <c r="AJ224" s="438"/>
      <c r="AK224" s="438"/>
      <c r="AL224" s="39"/>
      <c r="AM224" s="940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</row>
    <row r="225" ht="14.25" customHeight="1">
      <c r="A225" s="1"/>
      <c r="B225" s="284" t="str">
        <f>B30</f>
        <v/>
      </c>
      <c r="C225" s="89"/>
      <c r="D225" s="39"/>
      <c r="E225" s="994"/>
      <c r="F225" s="994"/>
      <c r="G225" s="994"/>
      <c r="H225" s="994"/>
      <c r="I225" s="39"/>
      <c r="J225" s="39"/>
      <c r="K225" s="926"/>
      <c r="L225" s="1245" t="str">
        <f>IF($D30&lt;=L$5,IF($D30=L$5,SUM($J30:L30),L30),0)</f>
        <v/>
      </c>
      <c r="M225" s="35"/>
      <c r="N225" s="21"/>
      <c r="O225" s="39"/>
      <c r="P225" s="1245" t="str">
        <f>IF($D30&lt;=P$5,IF($D30=P$5,SUM($J30:P30),P30),0)</f>
        <v/>
      </c>
      <c r="Q225" s="35"/>
      <c r="R225" s="21"/>
      <c r="S225" s="437"/>
      <c r="T225" s="1245" t="str">
        <f>IF($D30&lt;=T$5,IF($D30=T$5,SUM($J30:T30),T30),0)</f>
        <v/>
      </c>
      <c r="U225" s="35"/>
      <c r="V225" s="21"/>
      <c r="W225" s="437"/>
      <c r="X225" s="1245" t="str">
        <f>IF($D30&lt;=X$5,IF($D30=X$5,SUM($J30:X30),X30),0)</f>
        <v/>
      </c>
      <c r="Y225" s="35"/>
      <c r="Z225" s="21"/>
      <c r="AA225" s="940"/>
      <c r="AB225" s="1245" t="str">
        <f>IF($D30&lt;=AB$5,IF($D30=AB$5,SUM($J30:AB30),AB30),0)</f>
        <v/>
      </c>
      <c r="AC225" s="35"/>
      <c r="AD225" s="21"/>
      <c r="AE225" s="940"/>
      <c r="AF225" s="1245" t="str">
        <f>IF($D30&lt;=AF$5,IF($D30=AF$5,SUM($J30:AF30),AF30),0)</f>
        <v/>
      </c>
      <c r="AG225" s="35"/>
      <c r="AH225" s="21"/>
      <c r="AI225" s="437"/>
      <c r="AJ225" s="1245">
        <f>SUM(L225:AF225)</f>
        <v>0</v>
      </c>
      <c r="AK225" s="35"/>
      <c r="AL225" s="21"/>
      <c r="AM225" s="940"/>
      <c r="AN225" s="1022" t="s">
        <v>749</v>
      </c>
      <c r="AO225" s="1"/>
      <c r="AP225" s="1248" t="str">
        <f>L5</f>
        <v>2026 - 27</v>
      </c>
      <c r="AQ225" s="1248" t="str">
        <f>P5</f>
        <v>2027 - 28</v>
      </c>
      <c r="AR225" s="1248" t="str">
        <f>T5</f>
        <v>2028 - 29</v>
      </c>
      <c r="AS225" s="1248" t="str">
        <f>X5</f>
        <v>2029 - 30</v>
      </c>
      <c r="AT225" s="1248" t="str">
        <f>AB5</f>
        <v>2030 - 31</v>
      </c>
      <c r="AU225" s="1248" t="str">
        <f>AF5</f>
        <v>2031 - 32</v>
      </c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</row>
    <row r="226" ht="6.0" customHeight="1">
      <c r="A226" s="1"/>
      <c r="B226" s="89"/>
      <c r="C226" s="89"/>
      <c r="D226" s="39"/>
      <c r="E226" s="994"/>
      <c r="F226" s="994"/>
      <c r="G226" s="994"/>
      <c r="H226" s="994"/>
      <c r="I226" s="39"/>
      <c r="J226" s="39"/>
      <c r="K226" s="39"/>
      <c r="L226" s="438"/>
      <c r="M226" s="438"/>
      <c r="N226" s="39"/>
      <c r="O226" s="39"/>
      <c r="P226" s="438"/>
      <c r="Q226" s="438"/>
      <c r="R226" s="39"/>
      <c r="S226" s="437"/>
      <c r="T226" s="438"/>
      <c r="U226" s="438"/>
      <c r="V226" s="39"/>
      <c r="W226" s="437"/>
      <c r="X226" s="438"/>
      <c r="Y226" s="438"/>
      <c r="Z226" s="39"/>
      <c r="AA226" s="940"/>
      <c r="AB226" s="438"/>
      <c r="AC226" s="438"/>
      <c r="AD226" s="39"/>
      <c r="AE226" s="940"/>
      <c r="AF226" s="438"/>
      <c r="AG226" s="438"/>
      <c r="AH226" s="39"/>
      <c r="AI226" s="437"/>
      <c r="AJ226" s="438"/>
      <c r="AK226" s="438"/>
      <c r="AL226" s="39"/>
      <c r="AM226" s="940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</row>
    <row r="227" ht="14.25" customHeight="1">
      <c r="A227" s="1"/>
      <c r="B227" s="284" t="str">
        <f>B32</f>
        <v/>
      </c>
      <c r="C227" s="89"/>
      <c r="D227" s="39"/>
      <c r="E227" s="994"/>
      <c r="F227" s="994"/>
      <c r="G227" s="994"/>
      <c r="H227" s="994"/>
      <c r="I227" s="39"/>
      <c r="J227" s="39"/>
      <c r="K227" s="926"/>
      <c r="L227" s="1245" t="str">
        <f>IF($D32&lt;=L$5,IF($D32=L$5,SUM($J32:L32),L32),0)</f>
        <v/>
      </c>
      <c r="M227" s="35"/>
      <c r="N227" s="21"/>
      <c r="O227" s="39"/>
      <c r="P227" s="1245" t="str">
        <f>IF($D32&lt;=P$5,IF($D32=P$5,SUM($J32:P32),P32),0)</f>
        <v/>
      </c>
      <c r="Q227" s="35"/>
      <c r="R227" s="21"/>
      <c r="S227" s="437"/>
      <c r="T227" s="1245" t="str">
        <f>IF($D32&lt;=T$5,IF($D32=T$5,SUM($J32:T32),T32),0)</f>
        <v/>
      </c>
      <c r="U227" s="35"/>
      <c r="V227" s="21"/>
      <c r="W227" s="437"/>
      <c r="X227" s="1245" t="str">
        <f>IF($D32&lt;=X$5,IF($D32=X$5,SUM($J32:X32),X32),0)</f>
        <v/>
      </c>
      <c r="Y227" s="35"/>
      <c r="Z227" s="21"/>
      <c r="AA227" s="940"/>
      <c r="AB227" s="1245" t="str">
        <f>IF($D32&lt;=AB$5,IF($D32=AB$5,SUM($J32:AB32),AB32),0)</f>
        <v/>
      </c>
      <c r="AC227" s="35"/>
      <c r="AD227" s="21"/>
      <c r="AE227" s="940"/>
      <c r="AF227" s="1245" t="str">
        <f>IF($D32&lt;=AF$5,IF($D32=AF$5,SUM($J32:AF32),AF32),0)</f>
        <v/>
      </c>
      <c r="AG227" s="35"/>
      <c r="AH227" s="21"/>
      <c r="AI227" s="437"/>
      <c r="AJ227" s="1245">
        <f>SUM(L227:AF227)</f>
        <v>0</v>
      </c>
      <c r="AK227" s="35"/>
      <c r="AL227" s="21"/>
      <c r="AM227" s="940"/>
      <c r="AN227" s="1249" t="str">
        <f>L5</f>
        <v>2026 - 27</v>
      </c>
      <c r="AO227" s="1250" t="s">
        <v>750</v>
      </c>
      <c r="AP227" s="1251">
        <f>IF(AP235&gt;0,IF(AP229&gt;0,L$154*AP235/12,0),0)</f>
        <v>286935.1838</v>
      </c>
      <c r="AQ227" s="1251">
        <f t="shared" ref="AQ227:AU227" si="2">IF(AQ235&gt;0,IF(AQ229&gt;0,$L$154*AQ235/12,0),0)</f>
        <v>573870.3676</v>
      </c>
      <c r="AR227" s="1251">
        <f t="shared" si="2"/>
        <v>573870.3676</v>
      </c>
      <c r="AS227" s="1251">
        <f t="shared" si="2"/>
        <v>573870.3676</v>
      </c>
      <c r="AT227" s="1251">
        <f t="shared" si="2"/>
        <v>573870.3676</v>
      </c>
      <c r="AU227" s="1252">
        <f t="shared" si="2"/>
        <v>573870.3676</v>
      </c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</row>
    <row r="228" ht="6.0" customHeight="1">
      <c r="A228" s="1"/>
      <c r="B228" s="82"/>
      <c r="C228" s="82"/>
      <c r="D228" s="39"/>
      <c r="E228" s="994"/>
      <c r="F228" s="994"/>
      <c r="G228" s="994"/>
      <c r="H228" s="994"/>
      <c r="I228" s="39"/>
      <c r="J228" s="39"/>
      <c r="K228" s="39"/>
      <c r="L228" s="438"/>
      <c r="M228" s="438"/>
      <c r="N228" s="39"/>
      <c r="O228" s="39"/>
      <c r="P228" s="438"/>
      <c r="Q228" s="438"/>
      <c r="R228" s="39"/>
      <c r="S228" s="437"/>
      <c r="T228" s="438"/>
      <c r="U228" s="438"/>
      <c r="V228" s="39"/>
      <c r="W228" s="437"/>
      <c r="X228" s="438"/>
      <c r="Y228" s="438"/>
      <c r="Z228" s="39"/>
      <c r="AA228" s="940"/>
      <c r="AB228" s="438"/>
      <c r="AC228" s="438"/>
      <c r="AD228" s="39"/>
      <c r="AE228" s="940"/>
      <c r="AF228" s="438"/>
      <c r="AG228" s="438"/>
      <c r="AH228" s="39"/>
      <c r="AI228" s="437"/>
      <c r="AJ228" s="438"/>
      <c r="AK228" s="438"/>
      <c r="AL228" s="39"/>
      <c r="AM228" s="940"/>
      <c r="AN228" s="747"/>
      <c r="AO228" s="1253"/>
      <c r="AP228" s="115"/>
      <c r="AQ228" s="115"/>
      <c r="AR228" s="115"/>
      <c r="AS228" s="115"/>
      <c r="AT228" s="115"/>
      <c r="AU228" s="656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</row>
    <row r="229" ht="14.25" customHeight="1">
      <c r="A229" s="1"/>
      <c r="B229" s="284" t="str">
        <f>B34</f>
        <v/>
      </c>
      <c r="C229" s="89"/>
      <c r="D229" s="39"/>
      <c r="E229" s="994"/>
      <c r="F229" s="994"/>
      <c r="G229" s="994"/>
      <c r="H229" s="994"/>
      <c r="I229" s="39"/>
      <c r="J229" s="39"/>
      <c r="K229" s="926"/>
      <c r="L229" s="1245" t="str">
        <f>IF($D34&lt;=L$5,IF($D34=L$5,SUM($J34:L34),L34),0)</f>
        <v/>
      </c>
      <c r="M229" s="35"/>
      <c r="N229" s="21"/>
      <c r="O229" s="39"/>
      <c r="P229" s="1245" t="str">
        <f>IF($D34&lt;=P$5,IF($D34=P$5,SUM($J34:P34),P34),0)</f>
        <v/>
      </c>
      <c r="Q229" s="35"/>
      <c r="R229" s="21"/>
      <c r="S229" s="437"/>
      <c r="T229" s="1245" t="str">
        <f>IF($D34&lt;=T$5,IF($D34=T$5,SUM($J34:T34),T34),0)</f>
        <v/>
      </c>
      <c r="U229" s="35"/>
      <c r="V229" s="21"/>
      <c r="W229" s="437"/>
      <c r="X229" s="1245" t="str">
        <f>IF($D34&lt;=X$5,IF($D34=X$5,SUM($J34:X34),X34),0)</f>
        <v/>
      </c>
      <c r="Y229" s="35"/>
      <c r="Z229" s="21"/>
      <c r="AA229" s="940"/>
      <c r="AB229" s="1245" t="str">
        <f>IF($D34&lt;=AB$5,IF($D34=AB$5,SUM($J34:AB34),AB34),0)</f>
        <v/>
      </c>
      <c r="AC229" s="35"/>
      <c r="AD229" s="21"/>
      <c r="AE229" s="940"/>
      <c r="AF229" s="1245" t="str">
        <f>IF($D34&lt;=AF$5,IF($D34=AF$5,SUM($J34:AF34),AF34),0)</f>
        <v/>
      </c>
      <c r="AG229" s="35"/>
      <c r="AH229" s="21"/>
      <c r="AI229" s="437"/>
      <c r="AJ229" s="1245">
        <f>SUM(L229:AF229)</f>
        <v>0</v>
      </c>
      <c r="AK229" s="35"/>
      <c r="AL229" s="21"/>
      <c r="AM229" s="940"/>
      <c r="AN229" s="747"/>
      <c r="AO229" s="115" t="s">
        <v>751</v>
      </c>
      <c r="AP229" s="762">
        <f>$L$144</f>
        <v>7000000</v>
      </c>
      <c r="AQ229" s="762">
        <f t="shared" ref="AQ229:AU229" si="3">IF((AP229-AP233)&gt;0,AP229-AP233,0)</f>
        <v>6940564.816</v>
      </c>
      <c r="AR229" s="762">
        <f t="shared" si="3"/>
        <v>6817831.162</v>
      </c>
      <c r="AS229" s="762">
        <f t="shared" si="3"/>
        <v>6687119.82</v>
      </c>
      <c r="AT229" s="762">
        <f t="shared" si="3"/>
        <v>6547912.24</v>
      </c>
      <c r="AU229" s="755">
        <f t="shared" si="3"/>
        <v>6399656.168</v>
      </c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</row>
    <row r="230" ht="6.0" customHeight="1">
      <c r="A230" s="1"/>
      <c r="B230" s="247"/>
      <c r="C230" s="247"/>
      <c r="D230" s="39"/>
      <c r="E230" s="994"/>
      <c r="F230" s="994"/>
      <c r="G230" s="994"/>
      <c r="H230" s="994"/>
      <c r="I230" s="39"/>
      <c r="J230" s="39"/>
      <c r="K230" s="39"/>
      <c r="L230" s="438"/>
      <c r="M230" s="438"/>
      <c r="N230" s="39"/>
      <c r="O230" s="39"/>
      <c r="P230" s="438"/>
      <c r="Q230" s="438"/>
      <c r="R230" s="39"/>
      <c r="S230" s="437"/>
      <c r="T230" s="438"/>
      <c r="U230" s="438"/>
      <c r="V230" s="39"/>
      <c r="W230" s="437"/>
      <c r="X230" s="438"/>
      <c r="Y230" s="438"/>
      <c r="Z230" s="39"/>
      <c r="AA230" s="940"/>
      <c r="AB230" s="438"/>
      <c r="AC230" s="438"/>
      <c r="AD230" s="39"/>
      <c r="AE230" s="940"/>
      <c r="AF230" s="438"/>
      <c r="AG230" s="438"/>
      <c r="AH230" s="39"/>
      <c r="AI230" s="437"/>
      <c r="AJ230" s="438"/>
      <c r="AK230" s="438"/>
      <c r="AL230" s="39"/>
      <c r="AM230" s="940"/>
      <c r="AN230" s="747"/>
      <c r="AO230" s="1253"/>
      <c r="AP230" s="115"/>
      <c r="AQ230" s="115"/>
      <c r="AR230" s="115"/>
      <c r="AS230" s="115"/>
      <c r="AT230" s="115"/>
      <c r="AU230" s="656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</row>
    <row r="231" ht="14.25" customHeight="1">
      <c r="A231" s="1"/>
      <c r="B231" s="284" t="str">
        <f>B36</f>
        <v/>
      </c>
      <c r="C231" s="89"/>
      <c r="D231" s="39"/>
      <c r="E231" s="994"/>
      <c r="F231" s="994"/>
      <c r="G231" s="994"/>
      <c r="H231" s="994"/>
      <c r="I231" s="39"/>
      <c r="J231" s="39"/>
      <c r="K231" s="926"/>
      <c r="L231" s="1245" t="str">
        <f>IF($D36&lt;=L$5,IF($D36=L$5,SUM($J36:L36),L36),0)</f>
        <v/>
      </c>
      <c r="M231" s="35"/>
      <c r="N231" s="21"/>
      <c r="O231" s="39"/>
      <c r="P231" s="1245" t="str">
        <f>IF($D36&lt;=P$5,IF($D36=P$5,SUM($J36:P36),P36),0)</f>
        <v/>
      </c>
      <c r="Q231" s="35"/>
      <c r="R231" s="21"/>
      <c r="S231" s="437"/>
      <c r="T231" s="1245" t="str">
        <f>IF($D36&lt;=T$5,IF($D36=T$5,SUM($J36:T36),T36),0)</f>
        <v/>
      </c>
      <c r="U231" s="35"/>
      <c r="V231" s="21"/>
      <c r="W231" s="437"/>
      <c r="X231" s="1245" t="str">
        <f>IF($D36&lt;=X$5,IF($D36=X$5,SUM($J36:X36),X36),0)</f>
        <v/>
      </c>
      <c r="Y231" s="35"/>
      <c r="Z231" s="21"/>
      <c r="AA231" s="940"/>
      <c r="AB231" s="1245" t="str">
        <f>IF($D36&lt;=AB$5,IF($D36=AB$5,SUM($J36:AB36),AB36),0)</f>
        <v/>
      </c>
      <c r="AC231" s="35"/>
      <c r="AD231" s="21"/>
      <c r="AE231" s="940"/>
      <c r="AF231" s="1245" t="str">
        <f>IF($D36&lt;=AF$5,IF($D36=AF$5,SUM($J36:AF36),AF36),0)</f>
        <v/>
      </c>
      <c r="AG231" s="35"/>
      <c r="AH231" s="21"/>
      <c r="AI231" s="437"/>
      <c r="AJ231" s="1245">
        <f>SUM(L231:AF231)</f>
        <v>0</v>
      </c>
      <c r="AK231" s="35"/>
      <c r="AL231" s="21"/>
      <c r="AM231" s="940"/>
      <c r="AN231" s="747"/>
      <c r="AO231" s="115" t="s">
        <v>756</v>
      </c>
      <c r="AP231" s="762">
        <f t="shared" ref="AP231:AQ231" si="4">IF($L$144&gt;0,IF((AP235+AP237)&gt;0,AP229*$L$146*(AP235+AP237)/12,AP229*$L$146),0)</f>
        <v>227500</v>
      </c>
      <c r="AQ231" s="762">
        <f t="shared" si="4"/>
        <v>451136.7131</v>
      </c>
      <c r="AR231" s="762">
        <f t="shared" ref="AR231:AU231" si="5">IF($L144&gt;0,IF((AR235+AR237)&gt;0,AR229*$L146*(AR235+AR237)/12,AR229*$L146),0)</f>
        <v>443159.0255</v>
      </c>
      <c r="AS231" s="762">
        <f t="shared" si="5"/>
        <v>434662.7883</v>
      </c>
      <c r="AT231" s="762">
        <f t="shared" si="5"/>
        <v>425614.2956</v>
      </c>
      <c r="AU231" s="755">
        <f t="shared" si="5"/>
        <v>415977.6509</v>
      </c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</row>
    <row r="232" ht="6.0" customHeight="1">
      <c r="A232" s="1"/>
      <c r="B232" s="247"/>
      <c r="C232" s="247"/>
      <c r="D232" s="39"/>
      <c r="E232" s="994"/>
      <c r="F232" s="994"/>
      <c r="G232" s="994"/>
      <c r="H232" s="994"/>
      <c r="I232" s="39"/>
      <c r="J232" s="39"/>
      <c r="K232" s="39"/>
      <c r="L232" s="438"/>
      <c r="M232" s="438"/>
      <c r="N232" s="39"/>
      <c r="O232" s="39"/>
      <c r="P232" s="438"/>
      <c r="Q232" s="438"/>
      <c r="R232" s="39"/>
      <c r="S232" s="437"/>
      <c r="T232" s="438"/>
      <c r="U232" s="438"/>
      <c r="V232" s="39"/>
      <c r="W232" s="437"/>
      <c r="X232" s="438"/>
      <c r="Y232" s="438"/>
      <c r="Z232" s="39"/>
      <c r="AA232" s="940"/>
      <c r="AB232" s="438"/>
      <c r="AC232" s="438"/>
      <c r="AD232" s="39"/>
      <c r="AE232" s="940"/>
      <c r="AF232" s="438"/>
      <c r="AG232" s="438"/>
      <c r="AH232" s="39"/>
      <c r="AI232" s="437"/>
      <c r="AJ232" s="438"/>
      <c r="AK232" s="438"/>
      <c r="AL232" s="39"/>
      <c r="AM232" s="940"/>
      <c r="AN232" s="747"/>
      <c r="AO232" s="1253"/>
      <c r="AP232" s="115"/>
      <c r="AQ232" s="115"/>
      <c r="AR232" s="115"/>
      <c r="AS232" s="115"/>
      <c r="AT232" s="115"/>
      <c r="AU232" s="656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</row>
    <row r="233" ht="14.25" customHeight="1">
      <c r="A233" s="1"/>
      <c r="B233" s="284" t="str">
        <f>B38</f>
        <v/>
      </c>
      <c r="C233" s="89"/>
      <c r="D233" s="39"/>
      <c r="E233" s="994"/>
      <c r="F233" s="994"/>
      <c r="G233" s="994"/>
      <c r="H233" s="994"/>
      <c r="I233" s="39"/>
      <c r="J233" s="39"/>
      <c r="K233" s="926"/>
      <c r="L233" s="1245" t="str">
        <f>IF($D38&lt;=L$5,IF($D38=L$5,SUM($J38:L38),L38),0)</f>
        <v/>
      </c>
      <c r="M233" s="35"/>
      <c r="N233" s="21"/>
      <c r="O233" s="39"/>
      <c r="P233" s="1245" t="str">
        <f>IF($D38&lt;=P$5,IF($D38=P$5,SUM($J38:P38),P38),0)</f>
        <v/>
      </c>
      <c r="Q233" s="35"/>
      <c r="R233" s="21"/>
      <c r="S233" s="437"/>
      <c r="T233" s="1245" t="str">
        <f>IF($D38&lt;=T$5,IF($D38=T$5,SUM($J38:T38),T38),0)</f>
        <v/>
      </c>
      <c r="U233" s="35"/>
      <c r="V233" s="21"/>
      <c r="W233" s="437"/>
      <c r="X233" s="1245" t="str">
        <f>IF($D38&lt;=X$5,IF($D38=X$5,SUM($J38:X38),X38),0)</f>
        <v/>
      </c>
      <c r="Y233" s="35"/>
      <c r="Z233" s="21"/>
      <c r="AA233" s="940"/>
      <c r="AB233" s="1245" t="str">
        <f>IF($D38&lt;=AB$5,IF($D38=AB$5,SUM($J38:AB38),AB38),0)</f>
        <v/>
      </c>
      <c r="AC233" s="35"/>
      <c r="AD233" s="21"/>
      <c r="AE233" s="940"/>
      <c r="AF233" s="1245" t="str">
        <f>IF($D38&lt;=AF$5,IF($D38=AF$5,SUM($J38:AF38),AF38),0)</f>
        <v/>
      </c>
      <c r="AG233" s="35"/>
      <c r="AH233" s="21"/>
      <c r="AI233" s="437"/>
      <c r="AJ233" s="1245">
        <f>SUM(L233:AF233)</f>
        <v>0</v>
      </c>
      <c r="AK233" s="35"/>
      <c r="AL233" s="21"/>
      <c r="AM233" s="940"/>
      <c r="AN233" s="747"/>
      <c r="AO233" s="115" t="s">
        <v>758</v>
      </c>
      <c r="AP233" s="762">
        <f>IF($M$150&gt;0,IF($M$150&lt;=12,AP227-(AP229*$L$146*AP235/12),AP227-AP229*$L$146),AP227-AP229*$L$146)</f>
        <v>59435.18379</v>
      </c>
      <c r="AQ233" s="762">
        <f>AQ227-(AQ229*$L$146*AQ235/12)</f>
        <v>122733.6545</v>
      </c>
      <c r="AR233" s="762">
        <f t="shared" ref="AR233:AU233" si="6">AR227-(AR229*$L146*AR235/12)</f>
        <v>130711.3421</v>
      </c>
      <c r="AS233" s="762">
        <f t="shared" si="6"/>
        <v>139207.5793</v>
      </c>
      <c r="AT233" s="762">
        <f t="shared" si="6"/>
        <v>148256.072</v>
      </c>
      <c r="AU233" s="755">
        <f t="shared" si="6"/>
        <v>157892.7166</v>
      </c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</row>
    <row r="234" ht="6.0" customHeight="1">
      <c r="A234" s="1"/>
      <c r="B234" s="89"/>
      <c r="C234" s="89"/>
      <c r="D234" s="39"/>
      <c r="E234" s="994"/>
      <c r="F234" s="994"/>
      <c r="G234" s="994"/>
      <c r="H234" s="994"/>
      <c r="I234" s="39"/>
      <c r="J234" s="39"/>
      <c r="K234" s="39"/>
      <c r="L234" s="438"/>
      <c r="M234" s="438"/>
      <c r="N234" s="39"/>
      <c r="O234" s="39"/>
      <c r="P234" s="438"/>
      <c r="Q234" s="438"/>
      <c r="R234" s="39"/>
      <c r="S234" s="437"/>
      <c r="T234" s="438"/>
      <c r="U234" s="438"/>
      <c r="V234" s="39"/>
      <c r="W234" s="437"/>
      <c r="X234" s="438"/>
      <c r="Y234" s="438"/>
      <c r="Z234" s="39"/>
      <c r="AA234" s="940"/>
      <c r="AB234" s="438"/>
      <c r="AC234" s="438"/>
      <c r="AD234" s="39"/>
      <c r="AE234" s="940"/>
      <c r="AF234" s="438"/>
      <c r="AG234" s="438"/>
      <c r="AH234" s="39"/>
      <c r="AI234" s="437"/>
      <c r="AJ234" s="438"/>
      <c r="AK234" s="438"/>
      <c r="AL234" s="39"/>
      <c r="AM234" s="940"/>
      <c r="AN234" s="747"/>
      <c r="AO234" s="1253"/>
      <c r="AP234" s="115"/>
      <c r="AQ234" s="115"/>
      <c r="AR234" s="115"/>
      <c r="AS234" s="115"/>
      <c r="AT234" s="115"/>
      <c r="AU234" s="656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</row>
    <row r="235" ht="14.25" customHeight="1">
      <c r="A235" s="1"/>
      <c r="B235" s="284" t="str">
        <f>B40</f>
        <v/>
      </c>
      <c r="C235" s="89"/>
      <c r="D235" s="39"/>
      <c r="E235" s="994"/>
      <c r="F235" s="994"/>
      <c r="G235" s="994"/>
      <c r="H235" s="994"/>
      <c r="I235" s="39"/>
      <c r="J235" s="39"/>
      <c r="K235" s="926"/>
      <c r="L235" s="1245" t="str">
        <f>IF($D40&lt;=L$5,IF($D40=L$5,SUM($J40:L40),L40),0)</f>
        <v/>
      </c>
      <c r="M235" s="35"/>
      <c r="N235" s="21"/>
      <c r="O235" s="39"/>
      <c r="P235" s="1245" t="str">
        <f>IF($D40&lt;=P$5,IF($D40=P$5,SUM($J40:P40),P40),0)</f>
        <v/>
      </c>
      <c r="Q235" s="35"/>
      <c r="R235" s="21"/>
      <c r="S235" s="437"/>
      <c r="T235" s="1245" t="str">
        <f>IF($D40&lt;=T$5,IF($D40=T$5,SUM($J40:T40),T40),0)</f>
        <v/>
      </c>
      <c r="U235" s="35"/>
      <c r="V235" s="21"/>
      <c r="W235" s="437"/>
      <c r="X235" s="1245" t="str">
        <f>IF($D40&lt;=X$5,IF($D40=X$5,SUM($J40:X40),X40),0)</f>
        <v/>
      </c>
      <c r="Y235" s="35"/>
      <c r="Z235" s="21"/>
      <c r="AA235" s="940"/>
      <c r="AB235" s="1245" t="str">
        <f>IF($D40&lt;=AB$5,IF($D40=AB$5,SUM($J40:AB40),AB40),0)</f>
        <v/>
      </c>
      <c r="AC235" s="35"/>
      <c r="AD235" s="21"/>
      <c r="AE235" s="940"/>
      <c r="AF235" s="1245" t="str">
        <f>IF($D40&lt;=AF$5,IF($D40=AF$5,SUM($J40:AF40),AF40),0)</f>
        <v/>
      </c>
      <c r="AG235" s="35"/>
      <c r="AH235" s="21"/>
      <c r="AI235" s="437"/>
      <c r="AJ235" s="1245">
        <f>SUM(L235:AF235)</f>
        <v>0</v>
      </c>
      <c r="AK235" s="35"/>
      <c r="AL235" s="21"/>
      <c r="AM235" s="940"/>
      <c r="AN235" s="747"/>
      <c r="AO235" s="115" t="s">
        <v>759</v>
      </c>
      <c r="AP235" s="762">
        <f>IF(M150&gt;0,IF(M150&lt;=12,$M$150-AP237,12-AP237),12-AP23)</f>
        <v>6</v>
      </c>
      <c r="AQ235" s="762">
        <f t="shared" ref="AQ235:AU235" si="7">12-AQ237</f>
        <v>12</v>
      </c>
      <c r="AR235" s="762">
        <f t="shared" si="7"/>
        <v>12</v>
      </c>
      <c r="AS235" s="762">
        <f t="shared" si="7"/>
        <v>12</v>
      </c>
      <c r="AT235" s="762">
        <f t="shared" si="7"/>
        <v>12</v>
      </c>
      <c r="AU235" s="755">
        <f t="shared" si="7"/>
        <v>12</v>
      </c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</row>
    <row r="236" ht="6.0" customHeight="1">
      <c r="A236" s="1"/>
      <c r="B236" s="82"/>
      <c r="C236" s="82"/>
      <c r="D236" s="39"/>
      <c r="E236" s="994"/>
      <c r="F236" s="994"/>
      <c r="G236" s="994"/>
      <c r="H236" s="994"/>
      <c r="I236" s="39"/>
      <c r="J236" s="39"/>
      <c r="K236" s="39"/>
      <c r="L236" s="438"/>
      <c r="M236" s="438"/>
      <c r="N236" s="39"/>
      <c r="O236" s="39"/>
      <c r="P236" s="438"/>
      <c r="Q236" s="438"/>
      <c r="R236" s="39"/>
      <c r="S236" s="437"/>
      <c r="T236" s="438"/>
      <c r="U236" s="438"/>
      <c r="V236" s="39"/>
      <c r="W236" s="437"/>
      <c r="X236" s="438"/>
      <c r="Y236" s="438"/>
      <c r="Z236" s="39"/>
      <c r="AA236" s="940"/>
      <c r="AB236" s="438"/>
      <c r="AC236" s="438"/>
      <c r="AD236" s="39"/>
      <c r="AE236" s="940"/>
      <c r="AF236" s="438"/>
      <c r="AG236" s="438"/>
      <c r="AH236" s="39"/>
      <c r="AI236" s="437"/>
      <c r="AJ236" s="438"/>
      <c r="AK236" s="438"/>
      <c r="AL236" s="39"/>
      <c r="AM236" s="940"/>
      <c r="AN236" s="747"/>
      <c r="AO236" s="1253"/>
      <c r="AP236" s="115"/>
      <c r="AQ236" s="115"/>
      <c r="AR236" s="115"/>
      <c r="AS236" s="115"/>
      <c r="AT236" s="115"/>
      <c r="AU236" s="656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</row>
    <row r="237" ht="14.25" customHeight="1">
      <c r="A237" s="1"/>
      <c r="B237" s="284" t="str">
        <f>B42</f>
        <v/>
      </c>
      <c r="C237" s="89"/>
      <c r="D237" s="39"/>
      <c r="E237" s="994"/>
      <c r="F237" s="994"/>
      <c r="G237" s="994"/>
      <c r="H237" s="994"/>
      <c r="I237" s="39"/>
      <c r="J237" s="39"/>
      <c r="K237" s="926"/>
      <c r="L237" s="1245" t="str">
        <f>IF($D42&lt;=L$5,IF($D42=L$5,SUM($J42:L42),L42),0)</f>
        <v/>
      </c>
      <c r="M237" s="35"/>
      <c r="N237" s="21"/>
      <c r="O237" s="39"/>
      <c r="P237" s="1245" t="str">
        <f>IF($D42&lt;=P$5,IF($D42=P$5,SUM($J42:P42),P42),0)</f>
        <v/>
      </c>
      <c r="Q237" s="35"/>
      <c r="R237" s="21"/>
      <c r="S237" s="437"/>
      <c r="T237" s="1245" t="str">
        <f>IF($D42&lt;=T$5,IF($D42=T$5,SUM($J42:T42),T42),0)</f>
        <v/>
      </c>
      <c r="U237" s="35"/>
      <c r="V237" s="21"/>
      <c r="W237" s="437"/>
      <c r="X237" s="1245" t="str">
        <f>IF($D42&lt;=X$5,IF($D42=X$5,SUM($J42:X42),X42),0)</f>
        <v/>
      </c>
      <c r="Y237" s="35"/>
      <c r="Z237" s="21"/>
      <c r="AA237" s="940"/>
      <c r="AB237" s="1245" t="str">
        <f>IF($D42&lt;=AB$5,IF($D42=AB$5,SUM($J42:AB42),AB42),0)</f>
        <v/>
      </c>
      <c r="AC237" s="35"/>
      <c r="AD237" s="21"/>
      <c r="AE237" s="940"/>
      <c r="AF237" s="1245" t="str">
        <f>IF($D42&lt;=AF$5,IF($D42=AF$5,SUM($J42:AF42),AF42),0)</f>
        <v/>
      </c>
      <c r="AG237" s="35"/>
      <c r="AH237" s="21"/>
      <c r="AI237" s="437"/>
      <c r="AJ237" s="1245">
        <f>SUM(L237:AF237)</f>
        <v>0</v>
      </c>
      <c r="AK237" s="35"/>
      <c r="AL237" s="21"/>
      <c r="AM237" s="940"/>
      <c r="AN237" s="747"/>
      <c r="AO237" s="115" t="s">
        <v>762</v>
      </c>
      <c r="AP237" s="762" t="str">
        <f>IF($M$150&lt;=12,IF($M$152-$M$150&gt;0,$M$150,$M$152),12)</f>
        <v/>
      </c>
      <c r="AQ237" s="762">
        <f t="shared" ref="AQ237:AU237" si="8">IF(($M$152-SUM($AP237:AP237))&gt;0,IF(($M$152-SUM($AP237:AP237))&gt;12,12,$M$152-SUM($AP237:AP237)),0)</f>
        <v>0</v>
      </c>
      <c r="AR237" s="762">
        <f t="shared" si="8"/>
        <v>0</v>
      </c>
      <c r="AS237" s="762">
        <f t="shared" si="8"/>
        <v>0</v>
      </c>
      <c r="AT237" s="762">
        <f t="shared" si="8"/>
        <v>0</v>
      </c>
      <c r="AU237" s="755">
        <f t="shared" si="8"/>
        <v>0</v>
      </c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</row>
    <row r="238" ht="6.0" customHeight="1">
      <c r="A238" s="1"/>
      <c r="B238" s="89"/>
      <c r="C238" s="89"/>
      <c r="D238" s="39"/>
      <c r="E238" s="994"/>
      <c r="F238" s="994"/>
      <c r="G238" s="994"/>
      <c r="H238" s="994"/>
      <c r="I238" s="39"/>
      <c r="J238" s="39"/>
      <c r="K238" s="39"/>
      <c r="L238" s="438"/>
      <c r="M238" s="438"/>
      <c r="N238" s="39"/>
      <c r="O238" s="39"/>
      <c r="P238" s="438"/>
      <c r="Q238" s="438"/>
      <c r="R238" s="39"/>
      <c r="S238" s="437"/>
      <c r="T238" s="438"/>
      <c r="U238" s="438"/>
      <c r="V238" s="39"/>
      <c r="W238" s="437"/>
      <c r="X238" s="438"/>
      <c r="Y238" s="438"/>
      <c r="Z238" s="39"/>
      <c r="AA238" s="940"/>
      <c r="AB238" s="438"/>
      <c r="AC238" s="438"/>
      <c r="AD238" s="39"/>
      <c r="AE238" s="940"/>
      <c r="AF238" s="438"/>
      <c r="AG238" s="438"/>
      <c r="AH238" s="39"/>
      <c r="AI238" s="437"/>
      <c r="AJ238" s="438"/>
      <c r="AK238" s="438"/>
      <c r="AL238" s="39"/>
      <c r="AM238" s="940"/>
      <c r="AN238" s="791"/>
      <c r="AO238" s="115"/>
      <c r="AP238" s="762"/>
      <c r="AQ238" s="762"/>
      <c r="AR238" s="762"/>
      <c r="AS238" s="762"/>
      <c r="AT238" s="762"/>
      <c r="AU238" s="755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</row>
    <row r="239" ht="14.25" customHeight="1">
      <c r="A239" s="1"/>
      <c r="B239" s="284" t="str">
        <f>B44</f>
        <v/>
      </c>
      <c r="C239" s="89"/>
      <c r="D239" s="39"/>
      <c r="E239" s="994"/>
      <c r="F239" s="994"/>
      <c r="G239" s="994"/>
      <c r="H239" s="994"/>
      <c r="I239" s="39"/>
      <c r="J239" s="39"/>
      <c r="K239" s="926"/>
      <c r="L239" s="1245" t="str">
        <f>IF($D44&lt;=L$5,IF($D44=L$5,SUM($J44:L44),L44),0)</f>
        <v/>
      </c>
      <c r="M239" s="35"/>
      <c r="N239" s="21"/>
      <c r="O239" s="39"/>
      <c r="P239" s="1245" t="str">
        <f>IF($D44&lt;=P$5,IF($D44=P$5,SUM($J44:P44),P44),0)</f>
        <v/>
      </c>
      <c r="Q239" s="35"/>
      <c r="R239" s="21"/>
      <c r="S239" s="437"/>
      <c r="T239" s="1245" t="str">
        <f>IF($D44&lt;=T$5,IF($D44=T$5,SUM($J44:T44),T44),0)</f>
        <v/>
      </c>
      <c r="U239" s="35"/>
      <c r="V239" s="21"/>
      <c r="W239" s="437"/>
      <c r="X239" s="1245" t="str">
        <f>IF($D44&lt;=X$5,IF($D44=X$5,SUM($J44:X44),X44),0)</f>
        <v/>
      </c>
      <c r="Y239" s="35"/>
      <c r="Z239" s="21"/>
      <c r="AA239" s="940"/>
      <c r="AB239" s="1245" t="str">
        <f>IF($D44&lt;=AB$5,IF($D44=AB$5,SUM($J44:AB44),AB44),0)</f>
        <v/>
      </c>
      <c r="AC239" s="35"/>
      <c r="AD239" s="21"/>
      <c r="AE239" s="940"/>
      <c r="AF239" s="1245" t="str">
        <f>IF($D44&lt;=AF$5,IF($D44=AF$5,SUM($J44:AF44),AF44),0)</f>
        <v/>
      </c>
      <c r="AG239" s="35"/>
      <c r="AH239" s="21"/>
      <c r="AI239" s="437"/>
      <c r="AJ239" s="1245">
        <f t="shared" ref="AJ239:AJ241" si="10">SUM(L239:AF239)</f>
        <v>0</v>
      </c>
      <c r="AK239" s="35"/>
      <c r="AL239" s="21"/>
      <c r="AM239" s="940"/>
      <c r="AN239" s="1249" t="str">
        <f>P5</f>
        <v>2027 - 28</v>
      </c>
      <c r="AO239" s="1250" t="s">
        <v>750</v>
      </c>
      <c r="AP239" s="1251"/>
      <c r="AQ239" s="1251">
        <f>IF(AQ243&gt;0,IF(AQ240&gt;0,P$154*AQ243/12,0),0)</f>
        <v>0</v>
      </c>
      <c r="AR239" s="1251">
        <f t="shared" ref="AR239:AU239" si="9">IF(AR243&gt;0,IF(AR240&gt;0,$P$154*AR243/12,0),0)</f>
        <v>0</v>
      </c>
      <c r="AS239" s="1251">
        <f t="shared" si="9"/>
        <v>0</v>
      </c>
      <c r="AT239" s="1251">
        <f t="shared" si="9"/>
        <v>0</v>
      </c>
      <c r="AU239" s="1252">
        <f t="shared" si="9"/>
        <v>0</v>
      </c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</row>
    <row r="240" ht="21.75" customHeight="1">
      <c r="A240" s="1"/>
      <c r="B240" s="284" t="str">
        <f>B46</f>
        <v>Annual capital spending, funded by operations</v>
      </c>
      <c r="C240" s="89"/>
      <c r="D240" s="39"/>
      <c r="E240" s="994"/>
      <c r="F240" s="994"/>
      <c r="G240" s="994"/>
      <c r="H240" s="994"/>
      <c r="I240" s="39"/>
      <c r="J240" s="39"/>
      <c r="K240" s="926"/>
      <c r="L240" s="1245">
        <f>IF($D46&lt;=L$5,IF($D46=L$5,SUM($J46:L46),L46),0)</f>
        <v>1000000</v>
      </c>
      <c r="M240" s="35"/>
      <c r="N240" s="21"/>
      <c r="O240" s="39"/>
      <c r="P240" s="1245">
        <f>IF($D46&lt;=P$5,IF($D46=P$5,SUM($J46:P46),P46),0)</f>
        <v>1000000</v>
      </c>
      <c r="Q240" s="35"/>
      <c r="R240" s="21"/>
      <c r="S240" s="437"/>
      <c r="T240" s="1245">
        <f>IF($D46&lt;=T$5,IF($D46=T$5,SUM($J46:T46),T46),0)</f>
        <v>1000000</v>
      </c>
      <c r="U240" s="35"/>
      <c r="V240" s="21"/>
      <c r="W240" s="437"/>
      <c r="X240" s="1245">
        <f>IF($D46&lt;=X$5,IF($D46=X$5,SUM($J46:X46),X46),0)</f>
        <v>1000000</v>
      </c>
      <c r="Y240" s="35"/>
      <c r="Z240" s="21"/>
      <c r="AA240" s="940"/>
      <c r="AB240" s="1245">
        <f>IF($D46&lt;=AB$5,IF($D46=AB$5,SUM($J46:AB46),AB46),0)</f>
        <v>1000000</v>
      </c>
      <c r="AC240" s="35"/>
      <c r="AD240" s="21"/>
      <c r="AE240" s="940"/>
      <c r="AF240" s="1245">
        <f>IF($D46&lt;=AF$5,IF($D46=AF$5,SUM($J46:AF46),AF46),0)</f>
        <v>1000000</v>
      </c>
      <c r="AG240" s="35"/>
      <c r="AH240" s="21"/>
      <c r="AI240" s="437"/>
      <c r="AJ240" s="1245">
        <f t="shared" si="10"/>
        <v>6000000</v>
      </c>
      <c r="AK240" s="35"/>
      <c r="AL240" s="21"/>
      <c r="AM240" s="940"/>
      <c r="AN240" s="747"/>
      <c r="AO240" s="115" t="s">
        <v>751</v>
      </c>
      <c r="AP240" s="762"/>
      <c r="AQ240" s="762">
        <f>P144</f>
        <v>0</v>
      </c>
      <c r="AR240" s="762">
        <f t="shared" ref="AR240:AU240" si="11">IF((AQ240-AQ242)&gt;0,AQ240-AQ242,0)</f>
        <v>0</v>
      </c>
      <c r="AS240" s="762">
        <f t="shared" si="11"/>
        <v>0</v>
      </c>
      <c r="AT240" s="762">
        <f t="shared" si="11"/>
        <v>0</v>
      </c>
      <c r="AU240" s="755">
        <f t="shared" si="11"/>
        <v>0</v>
      </c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</row>
    <row r="241" ht="18.75" customHeight="1">
      <c r="A241" s="1"/>
      <c r="B241" s="446" t="s">
        <v>766</v>
      </c>
      <c r="C241" s="1"/>
      <c r="D241" s="1"/>
      <c r="E241" s="994"/>
      <c r="F241" s="994"/>
      <c r="G241" s="994"/>
      <c r="H241" s="994"/>
      <c r="I241" s="39"/>
      <c r="J241" s="1"/>
      <c r="K241" s="39"/>
      <c r="L241" s="1266">
        <f>-L58</f>
        <v>-1470000</v>
      </c>
      <c r="M241" s="35"/>
      <c r="N241" s="21"/>
      <c r="O241" s="493"/>
      <c r="P241" s="1266">
        <f>-P58</f>
        <v>-3240000</v>
      </c>
      <c r="Q241" s="35"/>
      <c r="R241" s="21"/>
      <c r="S241" s="972"/>
      <c r="T241" s="1266">
        <f>-T58</f>
        <v>0</v>
      </c>
      <c r="U241" s="35"/>
      <c r="V241" s="21"/>
      <c r="W241" s="972"/>
      <c r="X241" s="1266">
        <f>-X58</f>
        <v>0</v>
      </c>
      <c r="Y241" s="35"/>
      <c r="Z241" s="21"/>
      <c r="AA241" s="1267"/>
      <c r="AB241" s="1266">
        <f>-AB58</f>
        <v>0</v>
      </c>
      <c r="AC241" s="35"/>
      <c r="AD241" s="21"/>
      <c r="AE241" s="1267"/>
      <c r="AF241" s="1266">
        <f>-AF58</f>
        <v>0</v>
      </c>
      <c r="AG241" s="35"/>
      <c r="AH241" s="21"/>
      <c r="AI241" s="972"/>
      <c r="AJ241" s="1266">
        <f t="shared" si="10"/>
        <v>-4710000</v>
      </c>
      <c r="AK241" s="35"/>
      <c r="AL241" s="21"/>
      <c r="AM241" s="940"/>
      <c r="AN241" s="747"/>
      <c r="AO241" s="115" t="s">
        <v>756</v>
      </c>
      <c r="AP241" s="762"/>
      <c r="AQ241" s="762">
        <f>'T Scenarios'!AI184</f>
        <v>0</v>
      </c>
      <c r="AR241" s="762">
        <f>IF($P$144&gt;0,IF((AR243+AR244)&gt;0,AR240*$P$146*(AR243+AR244)/12,AR240*$P$146),0)</f>
        <v>0</v>
      </c>
      <c r="AS241" s="762">
        <f t="shared" ref="AS241:AU241" si="12">AS240*$P146</f>
        <v>0</v>
      </c>
      <c r="AT241" s="762">
        <f t="shared" si="12"/>
        <v>0</v>
      </c>
      <c r="AU241" s="755">
        <f t="shared" si="12"/>
        <v>0</v>
      </c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</row>
    <row r="242" ht="20.25" customHeight="1">
      <c r="A242" s="151"/>
      <c r="B242" s="1022" t="s">
        <v>767</v>
      </c>
      <c r="C242" s="151"/>
      <c r="D242" s="816"/>
      <c r="E242" s="994"/>
      <c r="F242" s="994"/>
      <c r="G242" s="994"/>
      <c r="H242" s="994"/>
      <c r="I242" s="39"/>
      <c r="J242" s="816"/>
      <c r="K242" s="816"/>
      <c r="L242" s="1268">
        <f>SUM(L205:L240)</f>
        <v>12100437</v>
      </c>
      <c r="M242" s="35"/>
      <c r="N242" s="21"/>
      <c r="O242" s="816"/>
      <c r="P242" s="1268">
        <f>SUM(P205:P240)</f>
        <v>9500000</v>
      </c>
      <c r="Q242" s="35"/>
      <c r="R242" s="21"/>
      <c r="S242" s="1269"/>
      <c r="T242" s="1268">
        <f>SUM(T205:T240)</f>
        <v>1860000</v>
      </c>
      <c r="U242" s="35"/>
      <c r="V242" s="21"/>
      <c r="W242" s="1269"/>
      <c r="X242" s="1268">
        <f>SUM(X205:X240)</f>
        <v>1000000</v>
      </c>
      <c r="Y242" s="35"/>
      <c r="Z242" s="21"/>
      <c r="AA242" s="1270"/>
      <c r="AB242" s="1268">
        <f>SUM(AB205:AB240)</f>
        <v>1000000</v>
      </c>
      <c r="AC242" s="35"/>
      <c r="AD242" s="21"/>
      <c r="AE242" s="1270"/>
      <c r="AF242" s="1268">
        <f>SUM(AF205:AF240)</f>
        <v>1000000</v>
      </c>
      <c r="AG242" s="35"/>
      <c r="AH242" s="21"/>
      <c r="AI242" s="1269"/>
      <c r="AJ242" s="1268">
        <f>SUM(AJ205:AJ240)</f>
        <v>26460437</v>
      </c>
      <c r="AK242" s="35"/>
      <c r="AL242" s="21"/>
      <c r="AM242" s="940"/>
      <c r="AN242" s="747"/>
      <c r="AO242" s="115" t="s">
        <v>758</v>
      </c>
      <c r="AP242" s="762"/>
      <c r="AQ242" s="762">
        <f>'T Scenarios'!AI186</f>
        <v>0</v>
      </c>
      <c r="AR242" s="762">
        <f t="shared" ref="AR242:AU242" si="13">AR239-(AR240*$P$146*AR243/12)</f>
        <v>0</v>
      </c>
      <c r="AS242" s="762">
        <f t="shared" si="13"/>
        <v>0</v>
      </c>
      <c r="AT242" s="762">
        <f t="shared" si="13"/>
        <v>0</v>
      </c>
      <c r="AU242" s="755">
        <f t="shared" si="13"/>
        <v>0</v>
      </c>
      <c r="AV242" s="151"/>
      <c r="AW242" s="151"/>
      <c r="AX242" s="151"/>
      <c r="AY242" s="151"/>
      <c r="AZ242" s="151"/>
      <c r="BA242" s="151"/>
      <c r="BB242" s="151"/>
      <c r="BC242" s="151"/>
      <c r="BD242" s="151"/>
      <c r="BE242" s="151"/>
      <c r="BF242" s="151"/>
    </row>
    <row r="243" ht="20.25" customHeight="1">
      <c r="A243" s="1"/>
      <c r="B243" s="446" t="s">
        <v>768</v>
      </c>
      <c r="C243" s="446"/>
      <c r="D243" s="39"/>
      <c r="E243" s="994"/>
      <c r="F243" s="994"/>
      <c r="G243" s="994"/>
      <c r="H243" s="994"/>
      <c r="I243" s="39"/>
      <c r="J243" s="39"/>
      <c r="K243" s="39"/>
      <c r="L243" s="1245">
        <f>IF($F10&gt;0,L205/$F10,0)+IF($F12&gt;0,L207/$F12,0)+IF($F14&gt;0,L209/$F14,0)+IF($F16&gt;0,L211/$F16,0)+IF($F18&gt;0,L213/$F18,0)+IF($F20&gt;0,L215/$F20,0)+IF($F22&gt;0,L217/$F22,0)+IF($F24&gt;0,L219/$F24,0)+IF($F26&gt;0,L221/$F26,0)+IF($F28&gt;0,L223/$F28,0)+IF($F30&gt;0,L225/$F30,0)+IF($F32&gt;0,L227/$F32,0)+IF($F34&gt;0,L229/$F34,0)+IF($F36&gt;0,L231/$F36,0)+IF($F38&gt;0,L233/$F38,0)+IF($F40&gt;0,L235/$F40,0)+IF($F42&gt;0,L237/$F42,0)+IF($F44&gt;0,L239/$F44,0)+IF($F46&gt;0,L240/$F46,0)+IF(L241&lt;&gt;0,IF(N60&lt;&gt;0,L241/N60,L241),0)</f>
        <v>336378.203</v>
      </c>
      <c r="M243" s="35"/>
      <c r="N243" s="21"/>
      <c r="O243" s="446"/>
      <c r="P243" s="1245">
        <f>IF($F10&gt;0,P205/$F10,0)+IF($F12&gt;0,P207/$F12,0)+IF($F14&gt;0,P209/$F14,0)+IF($F16&gt;0,P211/$F16,0)+IF($F18&gt;0,P213/$F18,0)+IF($F20&gt;0,P215/$F20,0)+IF($F22&gt;0,P217/$F22,0)+IF($F24&gt;0,P219/$F24,0)+IF($F26&gt;0,P221/$F26,0)+IF($F28&gt;0,P223/$F28,0)+IF($F30&gt;0,P225/$F30,0)+IF($F32&gt;0,P227/$F32,0)+IF($F34&gt;0,P229/$F34,0)+IF($F36&gt;0,P231/$F36,0)+IF($F38&gt;0,P233/$F38,0)+IF($F40&gt;0,P235/$F40,0)+IF($F42&gt;0,P237/$F42,0)+IF($F44&gt;0,P239/$F44,0)+IF($F46&gt;0,P240/$F46,0)+IF(P241&lt;&gt;0,IF(R60&lt;&gt;0,P241/R60,P241),0)</f>
        <v>59333.33333</v>
      </c>
      <c r="Q243" s="35"/>
      <c r="R243" s="21"/>
      <c r="S243" s="446"/>
      <c r="T243" s="1245">
        <f>IF($F10&gt;0,T205/$F10,0)+IF($F12&gt;0,T207/$F12,0)+IF($F14&gt;0,T209/$F14,0)+IF($F16&gt;0,T211/$F16,0)+IF($F18&gt;0,T213/$F18,0)+IF($F20&gt;0,T215/$F20,0)+IF($F22&gt;0,T217/$F22,0)+IF($F24&gt;0,T219/$F24,0)+IF($F26&gt;0,T221/$F26,0)+IF($F28&gt;0,T223/$F28,0)+IF($F30&gt;0,T225/$F30,0)+IF($F32&gt;0,T227/$F32,0)+IF($F34&gt;0,T229/$F34,0)+IF($F36&gt;0,T231/$F36,0)+IF($F38&gt;0,T233/$F38,0)+IF($F40&gt;0,T235/$F40,0)+IF($F42&gt;0,T237/$F42,0)+IF($F44&gt;0,T239/$F44,0)+IF($F46&gt;0,T240/$F46,0)+IF(T241&lt;&gt;0,IF(V60&lt;&gt;0,T241/V60,T241),0)</f>
        <v>128666.6667</v>
      </c>
      <c r="U243" s="35"/>
      <c r="V243" s="21"/>
      <c r="W243" s="446"/>
      <c r="X243" s="1245">
        <f>IF($F10&gt;0,X205/$F10,0)+IF($F12&gt;0,X207/$F12,0)+IF($F14&gt;0,X209/$F14,0)+IF($F16&gt;0,X211/$F16,0)+IF($F18&gt;0,X213/$F18,0)+IF($F20&gt;0,X215/$F20,0)+IF($F22&gt;0,X217/$F22,0)+IF($F24&gt;0,X219/$F24,0)+IF($F26&gt;0,X221/$F26,0)+IF($F28&gt;0,X223/$F28,0)+IF($F30&gt;0,X225/$F30,0)+IF($F32&gt;0,X227/$F32,0)+IF($F34&gt;0,X229/$F34,0)+IF($F36&gt;0,X231/$F36,0)+IF($F38&gt;0,X233/$F38,0)+IF($F40&gt;0,X235/$F40,0)+IF($F42&gt;0,X237/$F42,0)+IF($F44&gt;0,X239/$F44,0)+IF($F46&gt;0,X240/$F46,0)+IF(X241&lt;&gt;0,IF(Z60&lt;&gt;0,X241/Z60,X241),0)</f>
        <v>100000</v>
      </c>
      <c r="Y243" s="35"/>
      <c r="Z243" s="21"/>
      <c r="AA243" s="446"/>
      <c r="AB243" s="1245">
        <f>IF($F10&gt;0,AB205/$F10,0)+IF($F12&gt;0,AB207/$F12,0)+IF($F14&gt;0,AB209/$F14,0)+IF($F16&gt;0,AB211/$F16,0)+IF($F18&gt;0,AB213/$F18,0)+IF($F20&gt;0,AB215/$F20,0)+IF($F22&gt;0,AB217/$F22,0)+IF($F24&gt;0,AB219/$F24,0)+IF($F26&gt;0,AB221/$F26,0)+IF($F28&gt;0,AB223/$F28,0)+IF($F30&gt;0,AB225/$F30,0)+IF($F32&gt;0,AB227/$F32,0)+IF($F34&gt;0,AB229/$F34,0)+IF($F36&gt;0,AB231/$F36,0)+IF($F38&gt;0,AB233/$F38,0)+IF($F40&gt;0,AB235/$F40,0)+IF($F42&gt;0,AB237/$F42,0)+IF($F44&gt;0,AB239/$F44,0)+IF($F46&gt;0,AB240/$F46,0)+IF(AB241&lt;&gt;0,IF(AD60&lt;&gt;0,AB241/AD60,AB241),0)</f>
        <v>100000</v>
      </c>
      <c r="AC243" s="35"/>
      <c r="AD243" s="21"/>
      <c r="AE243" s="446"/>
      <c r="AF243" s="1245">
        <f>IF($F10&gt;0,AF205/$F10,0)+IF($F12&gt;0,AF207/$F12,0)+IF($F14&gt;0,AF209/$F14,0)+IF($F16&gt;0,AF211/$F16,0)+IF($F18&gt;0,AF213/$F18,0)+IF($F20&gt;0,AF215/$F20,0)+IF($F22&gt;0,AF217/$F22,0)+IF($F24&gt;0,AF219/$F24,0)+IF($F26&gt;0,AF221/$F26,0)+IF($F28&gt;0,AF223/$F28,0)+IF($F30&gt;0,AF225/$F30,0)+IF($F32&gt;0,AF227/$F32,0)+IF($F34&gt;0,AF229/$F34,0)+IF($F36&gt;0,AF231/$F36,0)+IF($F38&gt;0,AF233/$F38,0)+IF($F40&gt;0,AF235/$F40,0)+IF($F42&gt;0,AF237/$F42,0)+IF($F44&gt;0,AF239/$F44,0)+IF($F46&gt;0,AF240/$F46,0)+IF(AF241&lt;&gt;0,IF(AH60&lt;&gt;0,AF241/AH60,AF241),0)</f>
        <v>100000</v>
      </c>
      <c r="AG243" s="35"/>
      <c r="AH243" s="21"/>
      <c r="AI243" s="437"/>
      <c r="AJ243" s="1245"/>
      <c r="AK243" s="35"/>
      <c r="AL243" s="21"/>
      <c r="AM243" s="940"/>
      <c r="AN243" s="747"/>
      <c r="AO243" s="115" t="s">
        <v>759</v>
      </c>
      <c r="AP243" s="115"/>
      <c r="AQ243" s="762">
        <f>IF(Q150&gt;0,IF(Q150&lt;=12,$Q$150-AQ244,12-AQ244),12-AQ244)</f>
        <v>12</v>
      </c>
      <c r="AR243" s="762">
        <f t="shared" ref="AR243:AU243" si="14">12-AR244</f>
        <v>12</v>
      </c>
      <c r="AS243" s="762">
        <f t="shared" si="14"/>
        <v>12</v>
      </c>
      <c r="AT243" s="762">
        <f t="shared" si="14"/>
        <v>12</v>
      </c>
      <c r="AU243" s="755">
        <f t="shared" si="14"/>
        <v>12</v>
      </c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</row>
    <row r="244" ht="24.0" customHeight="1">
      <c r="A244" s="1"/>
      <c r="B244" s="151" t="s">
        <v>798</v>
      </c>
      <c r="C244" s="180"/>
      <c r="D244" s="39"/>
      <c r="E244" s="994"/>
      <c r="F244" s="994"/>
      <c r="G244" s="994"/>
      <c r="H244" s="994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981"/>
      <c r="T244" s="438"/>
      <c r="U244" s="39"/>
      <c r="V244" s="39"/>
      <c r="W244" s="981"/>
      <c r="X244" s="438"/>
      <c r="Y244" s="39"/>
      <c r="Z244" s="39"/>
      <c r="AA244" s="982"/>
      <c r="AB244" s="438"/>
      <c r="AC244" s="39"/>
      <c r="AD244" s="39"/>
      <c r="AE244" s="1245"/>
      <c r="AF244" s="35"/>
      <c r="AG244" s="21"/>
      <c r="AH244" s="39"/>
      <c r="AI244" s="1245"/>
      <c r="AJ244" s="35"/>
      <c r="AK244" s="21"/>
      <c r="AL244" s="972"/>
      <c r="AM244" s="940"/>
      <c r="AN244" s="1322"/>
      <c r="AO244" s="1324" t="s">
        <v>762</v>
      </c>
      <c r="AP244" s="1324"/>
      <c r="AQ244" s="750" t="str">
        <f>IF($Q$150&lt;=12,IF($Q$152-$Q$150&gt;0,$Q$150,$Q$152),12)</f>
        <v/>
      </c>
      <c r="AR244" s="750">
        <f t="shared" ref="AR244:AU244" si="15">IF(($Q$152-SUM($AQ244:AQ244))&gt;0,IF(($Q$152-SUM($AQ244:AQ244))&gt;12,12,$Q$152-SUM($AQ244:AQ244)),0)</f>
        <v>0</v>
      </c>
      <c r="AS244" s="750">
        <f t="shared" si="15"/>
        <v>0</v>
      </c>
      <c r="AT244" s="750">
        <f t="shared" si="15"/>
        <v>0</v>
      </c>
      <c r="AU244" s="1328">
        <f t="shared" si="15"/>
        <v>0</v>
      </c>
      <c r="AV244" s="1245"/>
      <c r="AW244" s="35"/>
      <c r="AX244" s="21"/>
      <c r="AY244" s="1267"/>
      <c r="AZ244" s="1245"/>
      <c r="BA244" s="35"/>
      <c r="BB244" s="21"/>
      <c r="BC244" s="972"/>
      <c r="BD244" s="1245"/>
      <c r="BE244" s="35"/>
      <c r="BF244" s="21"/>
    </row>
    <row r="245" ht="14.25" customHeight="1">
      <c r="A245" s="1"/>
      <c r="B245" s="438" t="str">
        <f>B10</f>
        <v>New Student Center</v>
      </c>
      <c r="C245" s="438"/>
      <c r="D245" s="39"/>
      <c r="E245" s="994"/>
      <c r="F245" s="994"/>
      <c r="G245" s="994"/>
      <c r="H245" s="39"/>
      <c r="I245" s="39"/>
      <c r="J245" s="1"/>
      <c r="K245" s="39"/>
      <c r="L245" s="1245">
        <f>IF($BD10&lt;=AR$63,IF($BD10=AR$63,IF(SUM($J10:L10)&gt;=SUM($AP65:AR65),SUM($AP65:AR65),SUM($J10:L10)),AP65),0)</f>
        <v>1067445</v>
      </c>
      <c r="M245" s="35"/>
      <c r="N245" s="21"/>
      <c r="O245" s="39"/>
      <c r="P245" s="1245">
        <f>IF($BD10&lt;=AT$63,IF($BD10=AT$63,IF(SUM($J10:P10)&gt;=SUM($AP65:AT65),SUM($AP65:AT65),SUM($J10:P10)),AT65),0)</f>
        <v>2200000</v>
      </c>
      <c r="Q245" s="35"/>
      <c r="R245" s="21"/>
      <c r="S245" s="437"/>
      <c r="T245" s="1245">
        <f>IF($BD10&lt;=AV$63,IF($BD10=AV$63,IF(SUM($J10:T10)&gt;=SUM($AP65:AV65),SUM($AP65:AV65),SUM($J10:T10)),AV65),0)</f>
        <v>800000</v>
      </c>
      <c r="U245" s="35"/>
      <c r="V245" s="21"/>
      <c r="W245" s="437"/>
      <c r="X245" s="1245">
        <f>IF($BD10&lt;=AX$63,IF($BD10=AX$63,IF(SUM($J10:X10)&gt;=SUM($AP65:AX65),SUM($AP65:AX65),SUM($J10:X10)),AX65),0)</f>
        <v>0</v>
      </c>
      <c r="Y245" s="35"/>
      <c r="Z245" s="21"/>
      <c r="AA245" s="940"/>
      <c r="AB245" s="1245">
        <f>IF($BD10&lt;=AZ$63,IF($BD10=AZ$63,IF(SUM($J10:AB10)&gt;=SUM($AP65:AZ65),SUM($AP65:AZ65),SUM($J10:AB10)),AZ65),0)</f>
        <v>0</v>
      </c>
      <c r="AC245" s="35"/>
      <c r="AD245" s="21"/>
      <c r="AE245" s="940"/>
      <c r="AF245" s="1245">
        <f>IF($BD10&lt;=BB$63,IF($BD10=BB$63,IF(SUM($J10:AF10)&gt;=SUM($AP65:BB65),SUM($AP65:BB65),SUM($J10:AF10)),BB65),0)</f>
        <v>0</v>
      </c>
      <c r="AG245" s="35"/>
      <c r="AH245" s="21"/>
      <c r="AI245" s="437"/>
      <c r="AJ245" s="1245">
        <f>SUM(K245:AF245)</f>
        <v>4067445</v>
      </c>
      <c r="AK245" s="35"/>
      <c r="AL245" s="21"/>
      <c r="AM245" s="940"/>
      <c r="AN245" s="1340" t="str">
        <f>T5</f>
        <v>2028 - 29</v>
      </c>
      <c r="AO245" s="115" t="s">
        <v>750</v>
      </c>
      <c r="AP245" s="115"/>
      <c r="AQ245" s="115"/>
      <c r="AR245" s="762">
        <f t="shared" ref="AR245:AU245" si="16">IF(AR253&gt;0,IF(AR247&gt;0,$T$154*AR253/12,0),0)</f>
        <v>0</v>
      </c>
      <c r="AS245" s="762">
        <f t="shared" si="16"/>
        <v>0</v>
      </c>
      <c r="AT245" s="762">
        <f t="shared" si="16"/>
        <v>0</v>
      </c>
      <c r="AU245" s="755">
        <f t="shared" si="16"/>
        <v>0</v>
      </c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</row>
    <row r="246" ht="6.0" customHeight="1">
      <c r="A246" s="1"/>
      <c r="B246" s="446"/>
      <c r="C246" s="446"/>
      <c r="D246" s="39"/>
      <c r="E246" s="994"/>
      <c r="F246" s="994"/>
      <c r="G246" s="994"/>
      <c r="H246" s="994"/>
      <c r="I246" s="39"/>
      <c r="J246" s="1"/>
      <c r="K246" s="39"/>
      <c r="L246" s="1245"/>
      <c r="M246" s="35"/>
      <c r="N246" s="21"/>
      <c r="O246" s="39"/>
      <c r="P246" s="1245"/>
      <c r="Q246" s="35"/>
      <c r="R246" s="21"/>
      <c r="S246" s="437"/>
      <c r="T246" s="1245"/>
      <c r="U246" s="35"/>
      <c r="V246" s="21"/>
      <c r="W246" s="437"/>
      <c r="X246" s="1245"/>
      <c r="Y246" s="35"/>
      <c r="Z246" s="21"/>
      <c r="AA246" s="940"/>
      <c r="AB246" s="1245"/>
      <c r="AC246" s="35"/>
      <c r="AD246" s="21"/>
      <c r="AE246" s="940"/>
      <c r="AF246" s="1245"/>
      <c r="AG246" s="35"/>
      <c r="AH246" s="21"/>
      <c r="AI246" s="437"/>
      <c r="AJ246" s="1245"/>
      <c r="AK246" s="35"/>
      <c r="AL246" s="21"/>
      <c r="AM246" s="940"/>
      <c r="AN246" s="747"/>
      <c r="AO246" s="115"/>
      <c r="AP246" s="115"/>
      <c r="AQ246" s="115"/>
      <c r="AR246" s="762"/>
      <c r="AS246" s="762"/>
      <c r="AT246" s="762"/>
      <c r="AU246" s="755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</row>
    <row r="247" ht="14.25" customHeight="1">
      <c r="A247" s="1"/>
      <c r="B247" s="438" t="str">
        <f>B12</f>
        <v>Field House</v>
      </c>
      <c r="C247" s="438"/>
      <c r="D247" s="39"/>
      <c r="E247" s="994"/>
      <c r="F247" s="994"/>
      <c r="G247" s="994"/>
      <c r="H247" s="39"/>
      <c r="I247" s="39"/>
      <c r="J247" s="1"/>
      <c r="K247" s="39"/>
      <c r="L247" s="1245">
        <f>IF($BD12&lt;=AR$63,IF($BD12=AR$63,IF(SUM($J12:L12)&gt;=SUM($AP67:AR67),SUM($AP67:AR67),SUM($J12:L12)),AP67),0)</f>
        <v>1867327</v>
      </c>
      <c r="M247" s="35"/>
      <c r="N247" s="21"/>
      <c r="O247" s="39"/>
      <c r="P247" s="1245">
        <f>IF($BD12&lt;=AT$63,IF($BD12=AT$63,IF(SUM($J12:P12)&gt;=SUM($AP67:AT67),SUM($AP67:AT67),SUM($J12:P12)),AT67),0)</f>
        <v>1000000</v>
      </c>
      <c r="Q247" s="35"/>
      <c r="R247" s="21"/>
      <c r="S247" s="437"/>
      <c r="T247" s="1245">
        <f>IF($BD12&lt;=AV$63,IF($BD12=AV$63,IF(SUM($J12:T12)&gt;=SUM($AP67:AV67),SUM($AP67:AV67),SUM($J12:T12)),AV67),0)</f>
        <v>500000</v>
      </c>
      <c r="U247" s="35"/>
      <c r="V247" s="21"/>
      <c r="W247" s="437"/>
      <c r="X247" s="1245">
        <f>IF($BD12&lt;=AX$63,IF($BD12=AX$63,IF(SUM($J12:X12)&gt;=SUM($AP67:AX67),SUM($AP67:AX67),SUM($J12:X12)),AX67),0)</f>
        <v>0</v>
      </c>
      <c r="Y247" s="35"/>
      <c r="Z247" s="21"/>
      <c r="AA247" s="940"/>
      <c r="AB247" s="1245">
        <f>IF($BD12&lt;=AZ$63,IF($BD12=AZ$63,IF(SUM($J12:AB12)&gt;=SUM($AP67:AZ67),SUM($AP67:AZ67),SUM($J12:AB12)),AZ67),0)</f>
        <v>0</v>
      </c>
      <c r="AC247" s="35"/>
      <c r="AD247" s="21"/>
      <c r="AE247" s="940"/>
      <c r="AF247" s="1245">
        <f>IF($BD12&lt;=BB$63,IF($BD12=BB$63,IF(SUM($J12:AF12)&gt;=SUM($AP67:BB67),SUM($AP67:BB67),SUM($J12:AF12)),BB67),0)</f>
        <v>0</v>
      </c>
      <c r="AG247" s="35"/>
      <c r="AH247" s="21"/>
      <c r="AI247" s="437"/>
      <c r="AJ247" s="1245">
        <f>SUM(K247:AF247)</f>
        <v>3367327</v>
      </c>
      <c r="AK247" s="35"/>
      <c r="AL247" s="21"/>
      <c r="AM247" s="940"/>
      <c r="AN247" s="747"/>
      <c r="AO247" s="115" t="s">
        <v>751</v>
      </c>
      <c r="AP247" s="115"/>
      <c r="AQ247" s="115"/>
      <c r="AR247" s="762">
        <f>$T$144</f>
        <v>0</v>
      </c>
      <c r="AS247" s="762">
        <f t="shared" ref="AS247:AU247" si="17">IF((AR247-AR251)&gt;0,AR247-AR251,0)</f>
        <v>0</v>
      </c>
      <c r="AT247" s="762">
        <f t="shared" si="17"/>
        <v>0</v>
      </c>
      <c r="AU247" s="755">
        <f t="shared" si="17"/>
        <v>0</v>
      </c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</row>
    <row r="248" ht="6.0" customHeight="1">
      <c r="A248" s="1"/>
      <c r="B248" s="446"/>
      <c r="C248" s="446"/>
      <c r="D248" s="39"/>
      <c r="E248" s="994"/>
      <c r="F248" s="994"/>
      <c r="G248" s="994"/>
      <c r="H248" s="994"/>
      <c r="I248" s="39"/>
      <c r="J248" s="1"/>
      <c r="K248" s="39"/>
      <c r="L248" s="1245"/>
      <c r="M248" s="35"/>
      <c r="N248" s="21"/>
      <c r="O248" s="39"/>
      <c r="P248" s="1245"/>
      <c r="Q248" s="35"/>
      <c r="R248" s="21"/>
      <c r="S248" s="437"/>
      <c r="T248" s="1245"/>
      <c r="U248" s="35"/>
      <c r="V248" s="21"/>
      <c r="W248" s="437"/>
      <c r="X248" s="1245"/>
      <c r="Y248" s="35"/>
      <c r="Z248" s="21"/>
      <c r="AA248" s="940"/>
      <c r="AB248" s="1245"/>
      <c r="AC248" s="35"/>
      <c r="AD248" s="21"/>
      <c r="AE248" s="940"/>
      <c r="AF248" s="1245"/>
      <c r="AG248" s="35"/>
      <c r="AH248" s="21"/>
      <c r="AI248" s="437"/>
      <c r="AJ248" s="1245"/>
      <c r="AK248" s="35"/>
      <c r="AL248" s="21"/>
      <c r="AM248" s="940"/>
      <c r="AN248" s="747"/>
      <c r="AO248" s="115"/>
      <c r="AP248" s="115"/>
      <c r="AQ248" s="115"/>
      <c r="AR248" s="762"/>
      <c r="AS248" s="762"/>
      <c r="AT248" s="762"/>
      <c r="AU248" s="755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</row>
    <row r="249" ht="14.25" customHeight="1">
      <c r="A249" s="1"/>
      <c r="B249" s="438" t="str">
        <f>B14</f>
        <v/>
      </c>
      <c r="C249" s="438"/>
      <c r="D249" s="39"/>
      <c r="E249" s="994"/>
      <c r="F249" s="994"/>
      <c r="G249" s="994"/>
      <c r="H249" s="39"/>
      <c r="I249" s="39"/>
      <c r="J249" s="1"/>
      <c r="K249" s="39"/>
      <c r="L249" s="1245">
        <f>IF($BD14&lt;=AR$63,IF($BD14=AR$63,IF(SUM($J14:L14)&gt;=SUM($AP69:AR69),SUM($AP69:AR69),SUM($J14:L14)),AP69),0)</f>
        <v>0</v>
      </c>
      <c r="M249" s="35"/>
      <c r="N249" s="21"/>
      <c r="O249" s="39"/>
      <c r="P249" s="1245">
        <f>IF($BD14&lt;=AT$63,IF($BD14=AT$63,IF(SUM($J14:P14)&gt;=SUM($AP69:AT69),SUM($AP69:AT69),SUM($J14:P14)),AT69),0)</f>
        <v>0</v>
      </c>
      <c r="Q249" s="35"/>
      <c r="R249" s="21"/>
      <c r="S249" s="437"/>
      <c r="T249" s="1245">
        <f>IF($BD14&lt;=AV$63,IF($BD14=AV$63,IF(SUM($J14:T14)&gt;=SUM($AP69:AV69),SUM($AP69:AV69),SUM($J14:T14)),AV69),0)</f>
        <v>0</v>
      </c>
      <c r="U249" s="35"/>
      <c r="V249" s="21"/>
      <c r="W249" s="437"/>
      <c r="X249" s="1245">
        <f>IF($BD14&lt;=AX$63,IF($BD14=AX$63,IF(SUM($J14:X14)&gt;=SUM($AP69:AX69),SUM($AP69:AX69),SUM($J14:X14)),AX69),0)</f>
        <v>0</v>
      </c>
      <c r="Y249" s="35"/>
      <c r="Z249" s="21"/>
      <c r="AA249" s="940"/>
      <c r="AB249" s="1245">
        <f>IF($BD14&lt;=AZ$63,IF($BD14=AZ$63,IF(SUM($J14:AB14)&gt;=SUM($AP69:AZ69),SUM($AP69:AZ69),SUM($J14:AB14)),AZ69),0)</f>
        <v>0</v>
      </c>
      <c r="AC249" s="35"/>
      <c r="AD249" s="21"/>
      <c r="AE249" s="940"/>
      <c r="AF249" s="1245">
        <f>IF($BD14&lt;=BB$63,IF($BD14=BB$63,IF(SUM($J14:AF14)&gt;=SUM($AP69:BB69),SUM($AP69:BB69),SUM($J14:AF14)),BB69),0)</f>
        <v>0</v>
      </c>
      <c r="AG249" s="35"/>
      <c r="AH249" s="21"/>
      <c r="AI249" s="437"/>
      <c r="AJ249" s="1245">
        <f>SUM(K249:AF249)</f>
        <v>0</v>
      </c>
      <c r="AK249" s="35"/>
      <c r="AL249" s="21"/>
      <c r="AM249" s="940"/>
      <c r="AN249" s="747"/>
      <c r="AO249" s="115" t="s">
        <v>756</v>
      </c>
      <c r="AP249" s="115"/>
      <c r="AQ249" s="115"/>
      <c r="AR249" s="762">
        <f t="shared" ref="AR249:AU249" si="18">IF($T$144&gt;0,IF((AR253+AR255)&gt;0,AR247*$T$146*(AR253+AR255)/12,AR247*$T$146),0)</f>
        <v>0</v>
      </c>
      <c r="AS249" s="762">
        <f t="shared" si="18"/>
        <v>0</v>
      </c>
      <c r="AT249" s="762">
        <f t="shared" si="18"/>
        <v>0</v>
      </c>
      <c r="AU249" s="755">
        <f t="shared" si="18"/>
        <v>0</v>
      </c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</row>
    <row r="250" ht="6.0" customHeight="1">
      <c r="A250" s="1"/>
      <c r="B250" s="446"/>
      <c r="C250" s="446"/>
      <c r="D250" s="39"/>
      <c r="E250" s="994"/>
      <c r="F250" s="994"/>
      <c r="G250" s="994"/>
      <c r="H250" s="994"/>
      <c r="I250" s="39"/>
      <c r="J250" s="1"/>
      <c r="K250" s="39"/>
      <c r="L250" s="1245"/>
      <c r="M250" s="35"/>
      <c r="N250" s="21"/>
      <c r="O250" s="39"/>
      <c r="P250" s="1245"/>
      <c r="Q250" s="35"/>
      <c r="R250" s="21"/>
      <c r="S250" s="437"/>
      <c r="T250" s="1245"/>
      <c r="U250" s="35"/>
      <c r="V250" s="21"/>
      <c r="W250" s="437"/>
      <c r="X250" s="1245"/>
      <c r="Y250" s="35"/>
      <c r="Z250" s="21"/>
      <c r="AA250" s="940"/>
      <c r="AB250" s="1245"/>
      <c r="AC250" s="35"/>
      <c r="AD250" s="21"/>
      <c r="AE250" s="940"/>
      <c r="AF250" s="1245"/>
      <c r="AG250" s="35"/>
      <c r="AH250" s="21"/>
      <c r="AI250" s="437"/>
      <c r="AJ250" s="1245"/>
      <c r="AK250" s="35"/>
      <c r="AL250" s="21"/>
      <c r="AM250" s="940"/>
      <c r="AN250" s="747"/>
      <c r="AO250" s="115"/>
      <c r="AP250" s="115"/>
      <c r="AQ250" s="115"/>
      <c r="AR250" s="762"/>
      <c r="AS250" s="762"/>
      <c r="AT250" s="762"/>
      <c r="AU250" s="755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</row>
    <row r="251" ht="14.25" customHeight="1">
      <c r="A251" s="1"/>
      <c r="B251" s="438" t="str">
        <f>B16</f>
        <v/>
      </c>
      <c r="C251" s="438"/>
      <c r="D251" s="39"/>
      <c r="E251" s="994"/>
      <c r="F251" s="994"/>
      <c r="G251" s="994"/>
      <c r="H251" s="39"/>
      <c r="I251" s="39"/>
      <c r="J251" s="1"/>
      <c r="K251" s="39"/>
      <c r="L251" s="1245">
        <f>IF($BD16&lt;=AR$63,IF($BD16=AR$63,IF(SUM($J16:L16)&gt;=SUM($AP71:AR71),SUM($AP71:AR71),SUM($J16:L16)),AP71),0)</f>
        <v>0</v>
      </c>
      <c r="M251" s="35"/>
      <c r="N251" s="21"/>
      <c r="O251" s="39"/>
      <c r="P251" s="1245">
        <f>IF($BD16&lt;=AT$63,IF($BD16=AT$63,IF(SUM($J16:P16)&gt;=SUM($AP71:AT71),SUM($AP71:AT71),SUM($J16:P16)),AT71),0)</f>
        <v>0</v>
      </c>
      <c r="Q251" s="35"/>
      <c r="R251" s="21"/>
      <c r="S251" s="437"/>
      <c r="T251" s="1245">
        <f>IF($BD16&lt;=AV$63,IF($BD16=AV$63,IF(SUM($J16:T16)&gt;=SUM($AP71:AV71),SUM($AP71:AV71),SUM($J16:T16)),AV71),0)</f>
        <v>0</v>
      </c>
      <c r="U251" s="35"/>
      <c r="V251" s="21"/>
      <c r="W251" s="437"/>
      <c r="X251" s="1245">
        <f>IF($BD16&lt;=AX$63,IF($BD16=AX$63,IF(SUM($J16:X16)&gt;=SUM($AP71:AX71),SUM($AP71:AX71),SUM($J16:X16)),AX71),0)</f>
        <v>0</v>
      </c>
      <c r="Y251" s="35"/>
      <c r="Z251" s="21"/>
      <c r="AA251" s="940"/>
      <c r="AB251" s="1245">
        <f>IF($BD16&lt;=AZ$63,IF($BD16=AZ$63,IF(SUM($J16:AB16)&gt;=SUM($AP71:AZ71),SUM($AP71:AZ71),SUM($J16:AB16)),AZ71),0)</f>
        <v>0</v>
      </c>
      <c r="AC251" s="35"/>
      <c r="AD251" s="21"/>
      <c r="AE251" s="940"/>
      <c r="AF251" s="1245">
        <f>IF($BD16&lt;=BB$63,IF($BD16=BB$63,IF(SUM($J16:AF16)&gt;=SUM($AP71:BB71),SUM($AP71:BB71),SUM($J16:AF16)),BB71),0)</f>
        <v>0</v>
      </c>
      <c r="AG251" s="35"/>
      <c r="AH251" s="21"/>
      <c r="AI251" s="437"/>
      <c r="AJ251" s="1245">
        <f>SUM(K251:AF251)</f>
        <v>0</v>
      </c>
      <c r="AK251" s="35"/>
      <c r="AL251" s="21"/>
      <c r="AM251" s="940"/>
      <c r="AN251" s="747"/>
      <c r="AO251" s="115" t="s">
        <v>758</v>
      </c>
      <c r="AP251" s="115"/>
      <c r="AQ251" s="115"/>
      <c r="AR251" s="762">
        <f>IF($U$150&gt;0,IF($U$150&lt;=12,AR245-(AR247*$T$146*AR253/12),AR245-AR247*$T$146),AR245-AR247*T$146)</f>
        <v>0</v>
      </c>
      <c r="AS251" s="762">
        <f t="shared" ref="AS251:AU251" si="19">AS245-(AS247*$T$146*AS253/12)</f>
        <v>0</v>
      </c>
      <c r="AT251" s="762">
        <f t="shared" si="19"/>
        <v>0</v>
      </c>
      <c r="AU251" s="755">
        <f t="shared" si="19"/>
        <v>0</v>
      </c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</row>
    <row r="252" ht="6.0" customHeight="1">
      <c r="A252" s="1"/>
      <c r="B252" s="438"/>
      <c r="C252" s="438"/>
      <c r="D252" s="39"/>
      <c r="E252" s="994"/>
      <c r="F252" s="994"/>
      <c r="G252" s="994"/>
      <c r="H252" s="994"/>
      <c r="I252" s="39"/>
      <c r="J252" s="1"/>
      <c r="K252" s="39"/>
      <c r="L252" s="1245"/>
      <c r="M252" s="35"/>
      <c r="N252" s="21"/>
      <c r="O252" s="39"/>
      <c r="P252" s="1245"/>
      <c r="Q252" s="35"/>
      <c r="R252" s="21"/>
      <c r="S252" s="437"/>
      <c r="T252" s="1245"/>
      <c r="U252" s="35"/>
      <c r="V252" s="21"/>
      <c r="W252" s="437"/>
      <c r="X252" s="1245"/>
      <c r="Y252" s="35"/>
      <c r="Z252" s="21"/>
      <c r="AA252" s="940"/>
      <c r="AB252" s="1245"/>
      <c r="AC252" s="35"/>
      <c r="AD252" s="21"/>
      <c r="AE252" s="940"/>
      <c r="AF252" s="1245"/>
      <c r="AG252" s="35"/>
      <c r="AH252" s="21"/>
      <c r="AI252" s="437"/>
      <c r="AJ252" s="1245"/>
      <c r="AK252" s="35"/>
      <c r="AL252" s="21"/>
      <c r="AM252" s="940"/>
      <c r="AN252" s="747"/>
      <c r="AO252" s="115"/>
      <c r="AP252" s="115"/>
      <c r="AQ252" s="115"/>
      <c r="AR252" s="762"/>
      <c r="AS252" s="762"/>
      <c r="AT252" s="762"/>
      <c r="AU252" s="755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</row>
    <row r="253" ht="14.25" customHeight="1">
      <c r="A253" s="1"/>
      <c r="B253" s="438" t="str">
        <f>B18</f>
        <v/>
      </c>
      <c r="C253" s="438"/>
      <c r="D253" s="39"/>
      <c r="E253" s="994"/>
      <c r="F253" s="994"/>
      <c r="G253" s="994"/>
      <c r="H253" s="39" t="str">
        <f>RIGHT(D18,2)</f>
        <v/>
      </c>
      <c r="I253" s="39"/>
      <c r="J253" s="1"/>
      <c r="K253" s="39"/>
      <c r="L253" s="1245">
        <f>IF($BD18&lt;=AR$63,IF($BD18=AR$63,IF(SUM($J18:L18)&gt;=SUM($AP73:AR73),SUM($AP73:AR73),SUM($J18:L18)),AP73),0)</f>
        <v>0</v>
      </c>
      <c r="M253" s="35"/>
      <c r="N253" s="21"/>
      <c r="O253" s="39"/>
      <c r="P253" s="1245">
        <f>IF($BD18&lt;=AT$63,IF($BD18=AT$63,IF(SUM($J18:P18)&gt;=SUM($AP73:AT73),SUM($AP73:AT73),SUM($J18:P18)),AT73),0)</f>
        <v>0</v>
      </c>
      <c r="Q253" s="35"/>
      <c r="R253" s="21"/>
      <c r="S253" s="437"/>
      <c r="T253" s="1245">
        <f>IF($BD18&lt;=AV$63,IF($BD18=AV$63,IF(SUM($J18:T18)&gt;=SUM($AP73:AV73),SUM($AP73:AV73),SUM($J18:T18)),AV73),0)</f>
        <v>0</v>
      </c>
      <c r="U253" s="35"/>
      <c r="V253" s="21"/>
      <c r="W253" s="437"/>
      <c r="X253" s="1245">
        <f>IF($BD18&lt;=AX$63,IF($BD18=AX$63,IF(SUM($J18:X18)&gt;=SUM($AP73:AX73),SUM($AP73:AX73),SUM($J18:X18)),AX73),0)</f>
        <v>0</v>
      </c>
      <c r="Y253" s="35"/>
      <c r="Z253" s="21"/>
      <c r="AA253" s="940"/>
      <c r="AB253" s="1245">
        <f>IF($BD18&lt;=AZ$63,IF($BD18=AZ$63,IF(SUM($J18:AB18)&gt;=SUM($AP73:AZ73),SUM($AP73:AZ73),SUM($J18:AB18)),AZ73),0)</f>
        <v>0</v>
      </c>
      <c r="AC253" s="35"/>
      <c r="AD253" s="21"/>
      <c r="AE253" s="940"/>
      <c r="AF253" s="1245">
        <f>IF($BD18&lt;=BB$63,IF($BD18=BB$63,IF(SUM($J18:AF18)&gt;=SUM($AP73:BB73),SUM($AP73:BB73),SUM($J18:AF18)),BB73),0)</f>
        <v>0</v>
      </c>
      <c r="AG253" s="35"/>
      <c r="AH253" s="21"/>
      <c r="AI253" s="437"/>
      <c r="AJ253" s="1245">
        <f>SUM(K253:AF253)</f>
        <v>0</v>
      </c>
      <c r="AK253" s="35"/>
      <c r="AL253" s="21"/>
      <c r="AM253" s="940"/>
      <c r="AN253" s="747"/>
      <c r="AO253" s="115" t="s">
        <v>759</v>
      </c>
      <c r="AP253" s="115"/>
      <c r="AQ253" s="115"/>
      <c r="AR253" s="762">
        <f>IF(U150&gt;0,IF(U150&lt;=12,$U$150-AR255,12-AR255),12-AR255)</f>
        <v>12</v>
      </c>
      <c r="AS253" s="762">
        <f t="shared" ref="AS253:AU253" si="20">12-AS255</f>
        <v>12</v>
      </c>
      <c r="AT253" s="762">
        <f t="shared" si="20"/>
        <v>12</v>
      </c>
      <c r="AU253" s="755">
        <f t="shared" si="20"/>
        <v>12</v>
      </c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</row>
    <row r="254" ht="6.0" customHeight="1">
      <c r="A254" s="1"/>
      <c r="B254" s="438"/>
      <c r="C254" s="438"/>
      <c r="D254" s="39"/>
      <c r="E254" s="994"/>
      <c r="F254" s="994"/>
      <c r="G254" s="994"/>
      <c r="H254" s="994"/>
      <c r="I254" s="39"/>
      <c r="J254" s="1"/>
      <c r="K254" s="39"/>
      <c r="L254" s="1245"/>
      <c r="M254" s="35"/>
      <c r="N254" s="21"/>
      <c r="O254" s="39"/>
      <c r="P254" s="1245"/>
      <c r="Q254" s="35"/>
      <c r="R254" s="21"/>
      <c r="S254" s="437"/>
      <c r="T254" s="1245"/>
      <c r="U254" s="35"/>
      <c r="V254" s="21"/>
      <c r="W254" s="437"/>
      <c r="X254" s="1245"/>
      <c r="Y254" s="35"/>
      <c r="Z254" s="21"/>
      <c r="AA254" s="940"/>
      <c r="AB254" s="1245"/>
      <c r="AC254" s="35"/>
      <c r="AD254" s="21"/>
      <c r="AE254" s="940"/>
      <c r="AF254" s="1245"/>
      <c r="AG254" s="35"/>
      <c r="AH254" s="21"/>
      <c r="AI254" s="437"/>
      <c r="AJ254" s="1245"/>
      <c r="AK254" s="35"/>
      <c r="AL254" s="21"/>
      <c r="AM254" s="940"/>
      <c r="AN254" s="747"/>
      <c r="AO254" s="115"/>
      <c r="AP254" s="115"/>
      <c r="AQ254" s="115"/>
      <c r="AR254" s="762"/>
      <c r="AS254" s="762"/>
      <c r="AT254" s="762"/>
      <c r="AU254" s="755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</row>
    <row r="255" ht="14.25" customHeight="1">
      <c r="A255" s="1"/>
      <c r="B255" s="438" t="str">
        <f>B20</f>
        <v/>
      </c>
      <c r="C255" s="438"/>
      <c r="D255" s="39"/>
      <c r="E255" s="994"/>
      <c r="F255" s="994"/>
      <c r="G255" s="994"/>
      <c r="H255" s="39" t="str">
        <f>RIGHT(D20,2)</f>
        <v/>
      </c>
      <c r="I255" s="39"/>
      <c r="J255" s="1"/>
      <c r="K255" s="39"/>
      <c r="L255" s="1245">
        <f>IF($BD20&lt;=AR$63,IF($BD20=AR$63,IF(SUM($J20:L20)&gt;=SUM($AP75:AR75),SUM($AP75:AR75),SUM($J20:L20)),AP75),0)</f>
        <v>0</v>
      </c>
      <c r="M255" s="35"/>
      <c r="N255" s="21"/>
      <c r="O255" s="39"/>
      <c r="P255" s="1245">
        <f>IF($BD20&lt;=AT$63,IF($BD20=AT$63,IF(SUM($J20:P20)&gt;=SUM($AP75:AT75),SUM($AP75:AT75),SUM($J20:P20)),AT75),0)</f>
        <v>0</v>
      </c>
      <c r="Q255" s="35"/>
      <c r="R255" s="21"/>
      <c r="S255" s="437"/>
      <c r="T255" s="1245">
        <f>IF($BD20&lt;=AV$63,IF($BD20=AV$63,IF(SUM($J20:T20)&gt;=SUM($AP75:AV75),SUM($AP75:AV75),SUM($J20:T20)),AV75),0)</f>
        <v>0</v>
      </c>
      <c r="U255" s="35"/>
      <c r="V255" s="21"/>
      <c r="W255" s="437"/>
      <c r="X255" s="1245">
        <f>IF($BD20&lt;=AX$63,IF($BD20=AX$63,IF(SUM($J20:X20)&gt;=SUM($AP75:AX75),SUM($AP75:AX75),SUM($J20:X20)),AX75),0)</f>
        <v>0</v>
      </c>
      <c r="Y255" s="35"/>
      <c r="Z255" s="21"/>
      <c r="AA255" s="940"/>
      <c r="AB255" s="1245">
        <f>IF($BD20&lt;=AZ$63,IF($BD20=AZ$63,IF(SUM($J20:AB20)&gt;=SUM($AP75:AZ75),SUM($AP75:AZ75),SUM($J20:AB20)),AZ75),0)</f>
        <v>0</v>
      </c>
      <c r="AC255" s="35"/>
      <c r="AD255" s="21"/>
      <c r="AE255" s="940"/>
      <c r="AF255" s="1245">
        <f>IF($BD20&lt;=BB$63,IF($BD20=BB$63,IF(SUM($J20:AF20)&gt;=SUM($AP75:BB75),SUM($AP75:BB75),SUM($J20:AF20)),BB75),0)</f>
        <v>0</v>
      </c>
      <c r="AG255" s="35"/>
      <c r="AH255" s="21"/>
      <c r="AI255" s="437"/>
      <c r="AJ255" s="1245">
        <f>SUM(K255:AF255)</f>
        <v>0</v>
      </c>
      <c r="AK255" s="35"/>
      <c r="AL255" s="21"/>
      <c r="AM255" s="940"/>
      <c r="AN255" s="747"/>
      <c r="AO255" s="115" t="s">
        <v>762</v>
      </c>
      <c r="AP255" s="115"/>
      <c r="AQ255" s="115"/>
      <c r="AR255" s="762" t="str">
        <f>IF($U$150&lt;=12,IF($U$152-$U$150&gt;0,$U$150,$U$152),12)</f>
        <v/>
      </c>
      <c r="AS255" s="762">
        <f t="shared" ref="AS255:AU255" si="21">IF(($U$152-SUM($AR255:AR255))&gt;0,IF(($U$152-SUM($AR255:AR255))&gt;12,12,$U$152-SUM($AR255:AR255)),0)</f>
        <v>0</v>
      </c>
      <c r="AT255" s="762">
        <f t="shared" si="21"/>
        <v>0</v>
      </c>
      <c r="AU255" s="755">
        <f t="shared" si="21"/>
        <v>0</v>
      </c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</row>
    <row r="256" ht="6.0" customHeight="1">
      <c r="A256" s="1"/>
      <c r="B256" s="438"/>
      <c r="C256" s="438"/>
      <c r="D256" s="39"/>
      <c r="E256" s="994"/>
      <c r="F256" s="994"/>
      <c r="G256" s="994"/>
      <c r="H256" s="994"/>
      <c r="I256" s="39"/>
      <c r="J256" s="1"/>
      <c r="K256" s="39"/>
      <c r="L256" s="1245"/>
      <c r="M256" s="35"/>
      <c r="N256" s="21"/>
      <c r="O256" s="39"/>
      <c r="P256" s="1245"/>
      <c r="Q256" s="35"/>
      <c r="R256" s="21"/>
      <c r="S256" s="437"/>
      <c r="T256" s="1245"/>
      <c r="U256" s="35"/>
      <c r="V256" s="21"/>
      <c r="W256" s="437"/>
      <c r="X256" s="1245"/>
      <c r="Y256" s="35"/>
      <c r="Z256" s="21"/>
      <c r="AA256" s="940"/>
      <c r="AB256" s="1245"/>
      <c r="AC256" s="35"/>
      <c r="AD256" s="21"/>
      <c r="AE256" s="940"/>
      <c r="AF256" s="1245"/>
      <c r="AG256" s="35"/>
      <c r="AH256" s="21"/>
      <c r="AI256" s="437"/>
      <c r="AJ256" s="1245"/>
      <c r="AK256" s="35"/>
      <c r="AL256" s="21"/>
      <c r="AM256" s="940"/>
      <c r="AN256" s="747"/>
      <c r="AO256" s="115"/>
      <c r="AP256" s="115"/>
      <c r="AQ256" s="115"/>
      <c r="AR256" s="762"/>
      <c r="AS256" s="762"/>
      <c r="AT256" s="115"/>
      <c r="AU256" s="656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</row>
    <row r="257" ht="14.25" customHeight="1">
      <c r="A257" s="1"/>
      <c r="B257" s="438" t="str">
        <f>B22</f>
        <v/>
      </c>
      <c r="C257" s="438"/>
      <c r="D257" s="39"/>
      <c r="E257" s="994"/>
      <c r="F257" s="994"/>
      <c r="G257" s="994"/>
      <c r="H257" s="39" t="str">
        <f>RIGHT(D22,2)</f>
        <v/>
      </c>
      <c r="I257" s="39"/>
      <c r="J257" s="1"/>
      <c r="K257" s="39"/>
      <c r="L257" s="1245">
        <f>IF($BD22&lt;=AR$63,IF($BD22=AR$63,IF(SUM($J22:L22)&gt;=SUM($AP77:AR77),SUM($AP77:AR77),SUM($J22:L22)),AP77),0)</f>
        <v>0</v>
      </c>
      <c r="M257" s="35"/>
      <c r="N257" s="21"/>
      <c r="O257" s="39"/>
      <c r="P257" s="1245">
        <f>IF($BD22&lt;=AT$63,IF($BD22=AT$63,IF(SUM($J22:P22)&gt;=SUM($AP77:AT77),SUM($AP77:AT77),SUM($J22:P22)),AT77),0)</f>
        <v>0</v>
      </c>
      <c r="Q257" s="35"/>
      <c r="R257" s="21"/>
      <c r="S257" s="437"/>
      <c r="T257" s="1245">
        <f>IF($BD22&lt;=AV$63,IF($BD22=AV$63,IF(SUM($J22:T22)&gt;=SUM($AP77:AV77),SUM($AP77:AV77),SUM($J22:T22)),AV77),0)</f>
        <v>0</v>
      </c>
      <c r="U257" s="35"/>
      <c r="V257" s="21"/>
      <c r="W257" s="437"/>
      <c r="X257" s="1245">
        <f>IF($BD22&lt;=AX$63,IF($BD22=AX$63,IF(SUM($J22:X22)&gt;=SUM($AP77:AX77),SUM($AP77:AX77),SUM($J22:X22)),AX77),0)</f>
        <v>0</v>
      </c>
      <c r="Y257" s="35"/>
      <c r="Z257" s="21"/>
      <c r="AA257" s="940"/>
      <c r="AB257" s="1245">
        <f>IF($BD22&lt;=AZ$63,IF($BD22=AZ$63,IF(SUM($J22:AB22)&gt;=SUM($AP77:AZ77),SUM($AP77:AZ77),SUM($J22:AB22)),AZ77),0)</f>
        <v>0</v>
      </c>
      <c r="AC257" s="35"/>
      <c r="AD257" s="21"/>
      <c r="AE257" s="940"/>
      <c r="AF257" s="1245">
        <f>IF($BD22&lt;=BB$63,IF($BD22=BB$63,IF(SUM($J22:AF22)&gt;=SUM($AP77:BB77),SUM($AP77:BB77),SUM($J22:AF22)),BB77),0)</f>
        <v>0</v>
      </c>
      <c r="AG257" s="35"/>
      <c r="AH257" s="21"/>
      <c r="AI257" s="437"/>
      <c r="AJ257" s="1245">
        <f>SUM(K257:AF257)</f>
        <v>0</v>
      </c>
      <c r="AK257" s="35"/>
      <c r="AL257" s="21"/>
      <c r="AM257" s="940"/>
      <c r="AN257" s="1249" t="str">
        <f>X5</f>
        <v>2029 - 30</v>
      </c>
      <c r="AO257" s="1250" t="s">
        <v>750</v>
      </c>
      <c r="AP257" s="1250"/>
      <c r="AQ257" s="1250"/>
      <c r="AR257" s="1250"/>
      <c r="AS257" s="1251">
        <f t="shared" ref="AS257:AU257" si="22">IF(AS265&gt;0,IF(AS259&gt;0,$X$154*AS265/12,0),0)</f>
        <v>0</v>
      </c>
      <c r="AT257" s="1251">
        <f t="shared" si="22"/>
        <v>0</v>
      </c>
      <c r="AU257" s="1252">
        <f t="shared" si="22"/>
        <v>0</v>
      </c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</row>
    <row r="258" ht="6.0" customHeight="1">
      <c r="A258" s="1"/>
      <c r="B258" s="438"/>
      <c r="C258" s="438"/>
      <c r="D258" s="39"/>
      <c r="E258" s="994"/>
      <c r="F258" s="994"/>
      <c r="G258" s="994"/>
      <c r="H258" s="994"/>
      <c r="I258" s="39"/>
      <c r="J258" s="1"/>
      <c r="K258" s="39"/>
      <c r="L258" s="1245"/>
      <c r="M258" s="35"/>
      <c r="N258" s="21"/>
      <c r="O258" s="39"/>
      <c r="P258" s="1245"/>
      <c r="Q258" s="35"/>
      <c r="R258" s="21"/>
      <c r="S258" s="437"/>
      <c r="T258" s="1245"/>
      <c r="U258" s="35"/>
      <c r="V258" s="21"/>
      <c r="W258" s="437"/>
      <c r="X258" s="1245"/>
      <c r="Y258" s="35"/>
      <c r="Z258" s="21"/>
      <c r="AA258" s="940"/>
      <c r="AB258" s="1245"/>
      <c r="AC258" s="35"/>
      <c r="AD258" s="21"/>
      <c r="AE258" s="940"/>
      <c r="AF258" s="1245"/>
      <c r="AG258" s="35"/>
      <c r="AH258" s="21"/>
      <c r="AI258" s="437"/>
      <c r="AJ258" s="1245"/>
      <c r="AK258" s="35"/>
      <c r="AL258" s="21"/>
      <c r="AM258" s="940"/>
      <c r="AN258" s="747"/>
      <c r="AO258" s="115"/>
      <c r="AP258" s="115"/>
      <c r="AQ258" s="115"/>
      <c r="AR258" s="115"/>
      <c r="AS258" s="762"/>
      <c r="AT258" s="762"/>
      <c r="AU258" s="755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</row>
    <row r="259" ht="14.25" customHeight="1">
      <c r="A259" s="1"/>
      <c r="B259" s="438" t="str">
        <f>B24</f>
        <v/>
      </c>
      <c r="C259" s="438"/>
      <c r="D259" s="39"/>
      <c r="E259" s="994"/>
      <c r="F259" s="994"/>
      <c r="G259" s="994"/>
      <c r="H259" s="39" t="str">
        <f>RIGHT(D24,2)</f>
        <v/>
      </c>
      <c r="I259" s="39"/>
      <c r="J259" s="1"/>
      <c r="K259" s="39"/>
      <c r="L259" s="1245">
        <f>IF($BD24&lt;=AR$63,IF($BD24=AR$63,IF(SUM($J24:L24)&gt;=SUM($AP79:AR79),SUM($AP79:AR79),SUM($J24:L24)),AP79),0)</f>
        <v>0</v>
      </c>
      <c r="M259" s="35"/>
      <c r="N259" s="21"/>
      <c r="O259" s="39"/>
      <c r="P259" s="1245">
        <f>IF($BD24&lt;=AT$63,IF($BD24=AT$63,IF(SUM($J24:P24)&gt;=SUM($AP79:AT79),SUM($AP79:AT79),SUM($J24:P24)),AT79),0)</f>
        <v>0</v>
      </c>
      <c r="Q259" s="35"/>
      <c r="R259" s="21"/>
      <c r="S259" s="437"/>
      <c r="T259" s="1245">
        <f>IF($BD24&lt;=AV$63,IF($BD24=AV$63,IF(SUM($J24:T24)&gt;=SUM($AP79:AV79),SUM($AP79:AV79),SUM($J24:T24)),AV79),0)</f>
        <v>0</v>
      </c>
      <c r="U259" s="35"/>
      <c r="V259" s="21"/>
      <c r="W259" s="437"/>
      <c r="X259" s="1245">
        <f>IF($BD24&lt;=AX$63,IF($BD24=AX$63,IF(SUM($J24:X24)&gt;=SUM($AP79:AX79),SUM($AP79:AX79),SUM($J24:X24)),AX79),0)</f>
        <v>0</v>
      </c>
      <c r="Y259" s="35"/>
      <c r="Z259" s="21"/>
      <c r="AA259" s="940"/>
      <c r="AB259" s="1245">
        <f>IF($BD24&lt;=AZ$63,IF($BD24=AZ$63,IF(SUM($J24:AB24)&gt;=SUM($AP79:AZ79),SUM($AP79:AZ79),SUM($J24:AB24)),AZ79),0)</f>
        <v>0</v>
      </c>
      <c r="AC259" s="35"/>
      <c r="AD259" s="21"/>
      <c r="AE259" s="940"/>
      <c r="AF259" s="1245">
        <f>IF($BD24&lt;=BB$63,IF($BD24=BB$63,IF(SUM($J24:AF24)&gt;=SUM($AP79:BB79),SUM($AP79:BB79),SUM($J24:AF24)),BB79),0)</f>
        <v>0</v>
      </c>
      <c r="AG259" s="35"/>
      <c r="AH259" s="21"/>
      <c r="AI259" s="437"/>
      <c r="AJ259" s="1245">
        <f>SUM(K259:AF259)</f>
        <v>0</v>
      </c>
      <c r="AK259" s="35"/>
      <c r="AL259" s="21"/>
      <c r="AM259" s="940"/>
      <c r="AN259" s="747"/>
      <c r="AO259" s="115" t="s">
        <v>751</v>
      </c>
      <c r="AP259" s="115"/>
      <c r="AQ259" s="115"/>
      <c r="AR259" s="115"/>
      <c r="AS259" s="762">
        <f>$X$144</f>
        <v>0</v>
      </c>
      <c r="AT259" s="762">
        <f t="shared" ref="AT259:AU259" si="23">IF((AS259-AS263)&gt;0,AS259-AS263,0)</f>
        <v>0</v>
      </c>
      <c r="AU259" s="755">
        <f t="shared" si="23"/>
        <v>0</v>
      </c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</row>
    <row r="260" ht="6.0" customHeight="1">
      <c r="A260" s="1"/>
      <c r="B260" s="438"/>
      <c r="C260" s="438"/>
      <c r="D260" s="39"/>
      <c r="E260" s="994"/>
      <c r="F260" s="994"/>
      <c r="G260" s="994"/>
      <c r="H260" s="994"/>
      <c r="I260" s="39"/>
      <c r="J260" s="1"/>
      <c r="K260" s="39"/>
      <c r="L260" s="1245"/>
      <c r="M260" s="35"/>
      <c r="N260" s="21"/>
      <c r="O260" s="39"/>
      <c r="P260" s="1245"/>
      <c r="Q260" s="35"/>
      <c r="R260" s="21"/>
      <c r="S260" s="437"/>
      <c r="T260" s="1245"/>
      <c r="U260" s="35"/>
      <c r="V260" s="21"/>
      <c r="W260" s="437"/>
      <c r="X260" s="1245"/>
      <c r="Y260" s="35"/>
      <c r="Z260" s="21"/>
      <c r="AA260" s="940"/>
      <c r="AB260" s="1245"/>
      <c r="AC260" s="35"/>
      <c r="AD260" s="21"/>
      <c r="AE260" s="940"/>
      <c r="AF260" s="1245"/>
      <c r="AG260" s="35"/>
      <c r="AH260" s="21"/>
      <c r="AI260" s="437"/>
      <c r="AJ260" s="1245"/>
      <c r="AK260" s="35"/>
      <c r="AL260" s="21"/>
      <c r="AM260" s="940"/>
      <c r="AN260" s="747"/>
      <c r="AO260" s="115"/>
      <c r="AP260" s="115"/>
      <c r="AQ260" s="115"/>
      <c r="AR260" s="115"/>
      <c r="AS260" s="762"/>
      <c r="AT260" s="762"/>
      <c r="AU260" s="755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</row>
    <row r="261" ht="14.25" customHeight="1">
      <c r="A261" s="1"/>
      <c r="B261" s="438" t="str">
        <f>B26</f>
        <v/>
      </c>
      <c r="C261" s="438"/>
      <c r="D261" s="39"/>
      <c r="E261" s="994"/>
      <c r="F261" s="994"/>
      <c r="G261" s="994"/>
      <c r="H261" s="39" t="str">
        <f>RIGHT(D26,2)</f>
        <v/>
      </c>
      <c r="I261" s="39"/>
      <c r="J261" s="1"/>
      <c r="K261" s="39"/>
      <c r="L261" s="1245">
        <f>IF($BD26&lt;=AR$63,IF($BD26=AR$63,IF(SUM($J26:L26)&gt;=SUM($AP81:AR81),SUM($AP81:AR81),SUM($J26:L26)),AP81),0)</f>
        <v>0</v>
      </c>
      <c r="M261" s="35"/>
      <c r="N261" s="21"/>
      <c r="O261" s="39"/>
      <c r="P261" s="1245">
        <f>IF($BD26&lt;=AT$63,IF($BD26=AT$63,IF(SUM($J26:P26)&gt;=SUM($AP81:AT81),SUM($AP81:AT81),SUM($J26:P26)),AT81),0)</f>
        <v>0</v>
      </c>
      <c r="Q261" s="35"/>
      <c r="R261" s="21"/>
      <c r="S261" s="437"/>
      <c r="T261" s="1245">
        <f>IF($BD26&lt;=AV$63,IF($BD26=AV$63,IF(SUM($J26:T26)&gt;=SUM($AP81:AV81),SUM($AP81:AV81),SUM($J26:T26)),AV81),0)</f>
        <v>0</v>
      </c>
      <c r="U261" s="35"/>
      <c r="V261" s="21"/>
      <c r="W261" s="437"/>
      <c r="X261" s="1245">
        <f>IF($BD26&lt;=AX$63,IF($BD26=AX$63,IF(SUM($J26:X26)&gt;=SUM($AP81:AX81),SUM($AP81:AX81),SUM($J26:X26)),AX81),0)</f>
        <v>0</v>
      </c>
      <c r="Y261" s="35"/>
      <c r="Z261" s="21"/>
      <c r="AA261" s="940"/>
      <c r="AB261" s="1245">
        <f>IF($BD26&lt;=AZ$63,IF($BD26=AZ$63,IF(SUM($J26:AB26)&gt;=SUM($AP81:AZ81),SUM($AP81:AZ81),SUM($J26:AB26)),AZ81),0)</f>
        <v>0</v>
      </c>
      <c r="AC261" s="35"/>
      <c r="AD261" s="21"/>
      <c r="AE261" s="940"/>
      <c r="AF261" s="1245">
        <f>IF($BD26&lt;=BB$63,IF($BD26=BB$63,IF(SUM($J26:AF26)&gt;=SUM($AP81:BB81),SUM($AP81:BB81),SUM($J26:AF26)),BB81),0)</f>
        <v>0</v>
      </c>
      <c r="AG261" s="35"/>
      <c r="AH261" s="21"/>
      <c r="AI261" s="437"/>
      <c r="AJ261" s="1245">
        <f>SUM(K261:AF261)</f>
        <v>0</v>
      </c>
      <c r="AK261" s="35"/>
      <c r="AL261" s="21"/>
      <c r="AM261" s="940"/>
      <c r="AN261" s="747"/>
      <c r="AO261" s="115" t="s">
        <v>756</v>
      </c>
      <c r="AP261" s="115"/>
      <c r="AQ261" s="115"/>
      <c r="AR261" s="115"/>
      <c r="AS261" s="762">
        <f t="shared" ref="AS261:AU261" si="24">IF($X$144&gt;0,IF((AS265+AS267)&gt;0,AS259*$X$146*(AS265+AS267)/12,AS259*$X$146),0)</f>
        <v>0</v>
      </c>
      <c r="AT261" s="762">
        <f t="shared" si="24"/>
        <v>0</v>
      </c>
      <c r="AU261" s="755">
        <f t="shared" si="24"/>
        <v>0</v>
      </c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</row>
    <row r="262" ht="6.0" customHeight="1">
      <c r="A262" s="1"/>
      <c r="B262" s="438"/>
      <c r="C262" s="438"/>
      <c r="D262" s="39"/>
      <c r="E262" s="994"/>
      <c r="F262" s="994"/>
      <c r="G262" s="994"/>
      <c r="H262" s="994"/>
      <c r="I262" s="39"/>
      <c r="J262" s="1"/>
      <c r="K262" s="39"/>
      <c r="L262" s="1245"/>
      <c r="M262" s="35"/>
      <c r="N262" s="21"/>
      <c r="O262" s="39"/>
      <c r="P262" s="1245"/>
      <c r="Q262" s="35"/>
      <c r="R262" s="21"/>
      <c r="S262" s="437"/>
      <c r="T262" s="1245"/>
      <c r="U262" s="35"/>
      <c r="V262" s="21"/>
      <c r="W262" s="437"/>
      <c r="X262" s="1245"/>
      <c r="Y262" s="35"/>
      <c r="Z262" s="21"/>
      <c r="AA262" s="940"/>
      <c r="AB262" s="1245"/>
      <c r="AC262" s="35"/>
      <c r="AD262" s="21"/>
      <c r="AE262" s="940"/>
      <c r="AF262" s="1245"/>
      <c r="AG262" s="35"/>
      <c r="AH262" s="21"/>
      <c r="AI262" s="437"/>
      <c r="AJ262" s="1245"/>
      <c r="AK262" s="35"/>
      <c r="AL262" s="21"/>
      <c r="AM262" s="940"/>
      <c r="AN262" s="747"/>
      <c r="AO262" s="115"/>
      <c r="AP262" s="115"/>
      <c r="AQ262" s="115"/>
      <c r="AR262" s="115"/>
      <c r="AS262" s="762"/>
      <c r="AT262" s="762"/>
      <c r="AU262" s="755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</row>
    <row r="263" ht="14.25" customHeight="1">
      <c r="A263" s="1"/>
      <c r="B263" s="438" t="str">
        <f>B28</f>
        <v/>
      </c>
      <c r="C263" s="438"/>
      <c r="D263" s="39"/>
      <c r="E263" s="994"/>
      <c r="F263" s="994"/>
      <c r="G263" s="994"/>
      <c r="H263" s="39" t="str">
        <f>RIGHT(D28,2)</f>
        <v/>
      </c>
      <c r="I263" s="39"/>
      <c r="J263" s="1"/>
      <c r="K263" s="39"/>
      <c r="L263" s="1245">
        <f>IF($BD28&lt;=AR$63,IF($BD28=AR$63,IF(SUM($J28:L28)&gt;=SUM($AP83:AR83),SUM($AP83:AR83),SUM($J28:L28)),AP83),0)</f>
        <v>0</v>
      </c>
      <c r="M263" s="35"/>
      <c r="N263" s="21"/>
      <c r="O263" s="39"/>
      <c r="P263" s="1245">
        <f>IF($BD28&lt;=AT$63,IF($BD28=AT$63,IF(SUM($J28:P28)&gt;=SUM($AP83:AT83),SUM($AP83:AT83),SUM($J28:P28)),AT83),0)</f>
        <v>0</v>
      </c>
      <c r="Q263" s="35"/>
      <c r="R263" s="21"/>
      <c r="S263" s="437"/>
      <c r="T263" s="1245">
        <f>IF($BD28&lt;=AV$63,IF($BD28=AV$63,IF(SUM($J28:T28)&gt;=SUM($AP83:AV83),SUM($AP83:AV83),SUM($J28:T28)),AV83),0)</f>
        <v>0</v>
      </c>
      <c r="U263" s="35"/>
      <c r="V263" s="21"/>
      <c r="W263" s="437"/>
      <c r="X263" s="1245">
        <f>IF($BD28&lt;=AX$63,IF($BD28=AX$63,IF(SUM($J28:X28)&gt;=SUM($AP83:AX83),SUM($AP83:AX83),SUM($J28:X28)),AX83),0)</f>
        <v>0</v>
      </c>
      <c r="Y263" s="35"/>
      <c r="Z263" s="21"/>
      <c r="AA263" s="940"/>
      <c r="AB263" s="1245">
        <f>IF($BD28&lt;=AZ$63,IF($BD28=AZ$63,IF(SUM($J28:AB28)&gt;=SUM($AP83:AZ83),SUM($AP83:AZ83),SUM($J28:AB28)),AZ83),0)</f>
        <v>0</v>
      </c>
      <c r="AC263" s="35"/>
      <c r="AD263" s="21"/>
      <c r="AE263" s="940"/>
      <c r="AF263" s="1245">
        <f>IF($BD28&lt;=BB$63,IF($BD28=BB$63,IF(SUM($J28:AF28)&gt;=SUM($AP83:BB83),SUM($AP83:BB83),SUM($J28:AF28)),BB83),0)</f>
        <v>0</v>
      </c>
      <c r="AG263" s="35"/>
      <c r="AH263" s="21"/>
      <c r="AI263" s="437"/>
      <c r="AJ263" s="1245">
        <f>SUM(K263:AF263)</f>
        <v>0</v>
      </c>
      <c r="AK263" s="35"/>
      <c r="AL263" s="21"/>
      <c r="AM263" s="940"/>
      <c r="AN263" s="747"/>
      <c r="AO263" s="115" t="s">
        <v>758</v>
      </c>
      <c r="AP263" s="115"/>
      <c r="AQ263" s="115"/>
      <c r="AR263" s="115"/>
      <c r="AS263" s="762">
        <f>IF($Y$150&gt;0,IF($Y$150&lt;=12,AS257-(AS259*$X$146*AS265/12),AS257-AS259*$X$146),AS257-AS259*X$146)</f>
        <v>0</v>
      </c>
      <c r="AT263" s="762">
        <f t="shared" ref="AT263:AU263" si="25">AT257-(AT259*$X$146*AT265/12)</f>
        <v>0</v>
      </c>
      <c r="AU263" s="755">
        <f t="shared" si="25"/>
        <v>0</v>
      </c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</row>
    <row r="264" ht="6.0" customHeight="1">
      <c r="A264" s="1"/>
      <c r="B264" s="438"/>
      <c r="C264" s="438"/>
      <c r="D264" s="39"/>
      <c r="E264" s="994"/>
      <c r="F264" s="994"/>
      <c r="G264" s="994"/>
      <c r="H264" s="994"/>
      <c r="I264" s="39"/>
      <c r="J264" s="1"/>
      <c r="K264" s="39"/>
      <c r="L264" s="1245"/>
      <c r="M264" s="35"/>
      <c r="N264" s="21"/>
      <c r="O264" s="39"/>
      <c r="P264" s="1245"/>
      <c r="Q264" s="35"/>
      <c r="R264" s="21"/>
      <c r="S264" s="437"/>
      <c r="T264" s="1245"/>
      <c r="U264" s="35"/>
      <c r="V264" s="21"/>
      <c r="W264" s="437"/>
      <c r="X264" s="1245"/>
      <c r="Y264" s="35"/>
      <c r="Z264" s="21"/>
      <c r="AA264" s="940"/>
      <c r="AB264" s="1245"/>
      <c r="AC264" s="35"/>
      <c r="AD264" s="21"/>
      <c r="AE264" s="940"/>
      <c r="AF264" s="1245"/>
      <c r="AG264" s="35"/>
      <c r="AH264" s="21"/>
      <c r="AI264" s="437"/>
      <c r="AJ264" s="1245"/>
      <c r="AK264" s="35"/>
      <c r="AL264" s="21"/>
      <c r="AM264" s="940"/>
      <c r="AN264" s="747"/>
      <c r="AO264" s="115"/>
      <c r="AP264" s="115"/>
      <c r="AQ264" s="115"/>
      <c r="AR264" s="115"/>
      <c r="AS264" s="762"/>
      <c r="AT264" s="762"/>
      <c r="AU264" s="755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</row>
    <row r="265" ht="14.25" customHeight="1">
      <c r="A265" s="1"/>
      <c r="B265" s="438" t="str">
        <f>B30</f>
        <v/>
      </c>
      <c r="C265" s="438"/>
      <c r="D265" s="39"/>
      <c r="E265" s="994"/>
      <c r="F265" s="994"/>
      <c r="G265" s="994"/>
      <c r="H265" s="39" t="str">
        <f>RIGHT(D30,2)</f>
        <v/>
      </c>
      <c r="I265" s="39"/>
      <c r="J265" s="1"/>
      <c r="K265" s="39"/>
      <c r="L265" s="1245">
        <f>IF($BD30&lt;=AR$63,IF($BD30=AR$63,IF(SUM($J30:L30)&gt;=SUM($AP85:AR85),SUM($AP85:AR85),SUM($J30:L30)),AP85),0)</f>
        <v>0</v>
      </c>
      <c r="M265" s="35"/>
      <c r="N265" s="21"/>
      <c r="O265" s="39"/>
      <c r="P265" s="1245">
        <f>IF($BD30&lt;=AT$63,IF($BD30=AT$63,IF(SUM($J30:P30)&gt;=SUM($AP85:AT85),SUM($AP85:AT85),SUM($J30:P30)),AT85),0)</f>
        <v>0</v>
      </c>
      <c r="Q265" s="35"/>
      <c r="R265" s="21"/>
      <c r="S265" s="437"/>
      <c r="T265" s="1245">
        <f>IF($BD30&lt;=AV$63,IF($BD30=AV$63,IF(SUM($J30:T30)&gt;=SUM($AP85:AV85),SUM($AP85:AV85),SUM($J30:T30)),AV85),0)</f>
        <v>0</v>
      </c>
      <c r="U265" s="35"/>
      <c r="V265" s="21"/>
      <c r="W265" s="437"/>
      <c r="X265" s="1245">
        <f>IF($BD30&lt;=AX$63,IF($BD30=AX$63,IF(SUM($J30:X30)&gt;=SUM($AP85:AX85),SUM($AP85:AX85),SUM($J30:X30)),AX85),0)</f>
        <v>0</v>
      </c>
      <c r="Y265" s="35"/>
      <c r="Z265" s="21"/>
      <c r="AA265" s="940"/>
      <c r="AB265" s="1245">
        <f>IF($BD30&lt;=AZ$63,IF($BD30=AZ$63,IF(SUM($J30:AB30)&gt;=SUM($AP85:AZ85),SUM($AP85:AZ85),SUM($J30:AB30)),AZ85),0)</f>
        <v>0</v>
      </c>
      <c r="AC265" s="35"/>
      <c r="AD265" s="21"/>
      <c r="AE265" s="940"/>
      <c r="AF265" s="1245">
        <f>IF($BD30&lt;=BB$63,IF($BD30=BB$63,IF(SUM($J30:AF30)&gt;=SUM($AP85:BB85),SUM($AP85:BB85),SUM($J30:AF30)),BB85),0)</f>
        <v>0</v>
      </c>
      <c r="AG265" s="35"/>
      <c r="AH265" s="21"/>
      <c r="AI265" s="437"/>
      <c r="AJ265" s="1245">
        <f>SUM(K265:AF265)</f>
        <v>0</v>
      </c>
      <c r="AK265" s="35"/>
      <c r="AL265" s="21"/>
      <c r="AM265" s="940"/>
      <c r="AN265" s="747"/>
      <c r="AO265" s="115" t="s">
        <v>759</v>
      </c>
      <c r="AP265" s="115"/>
      <c r="AQ265" s="115"/>
      <c r="AR265" s="115"/>
      <c r="AS265" s="762">
        <f>IF(Y150&gt;0,IF(Y150&lt;=12,$Y$150-AS267,12-AS267),12-AS267)</f>
        <v>12</v>
      </c>
      <c r="AT265" s="762">
        <f t="shared" ref="AT265:AU265" si="26">12-AT267</f>
        <v>12</v>
      </c>
      <c r="AU265" s="755">
        <f t="shared" si="26"/>
        <v>12</v>
      </c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</row>
    <row r="266" ht="6.0" customHeight="1">
      <c r="A266" s="1"/>
      <c r="B266" s="438"/>
      <c r="C266" s="438"/>
      <c r="D266" s="39"/>
      <c r="E266" s="994"/>
      <c r="F266" s="994"/>
      <c r="G266" s="994"/>
      <c r="H266" s="994"/>
      <c r="I266" s="39"/>
      <c r="J266" s="1"/>
      <c r="K266" s="39"/>
      <c r="L266" s="1245"/>
      <c r="M266" s="35"/>
      <c r="N266" s="21"/>
      <c r="O266" s="39"/>
      <c r="P266" s="1245"/>
      <c r="Q266" s="35"/>
      <c r="R266" s="21"/>
      <c r="S266" s="437"/>
      <c r="T266" s="1245"/>
      <c r="U266" s="35"/>
      <c r="V266" s="21"/>
      <c r="W266" s="437"/>
      <c r="X266" s="1245"/>
      <c r="Y266" s="35"/>
      <c r="Z266" s="21"/>
      <c r="AA266" s="940"/>
      <c r="AB266" s="1245"/>
      <c r="AC266" s="35"/>
      <c r="AD266" s="21"/>
      <c r="AE266" s="940"/>
      <c r="AF266" s="1245"/>
      <c r="AG266" s="35"/>
      <c r="AH266" s="21"/>
      <c r="AI266" s="437"/>
      <c r="AJ266" s="1245"/>
      <c r="AK266" s="35"/>
      <c r="AL266" s="21"/>
      <c r="AM266" s="940"/>
      <c r="AN266" s="747"/>
      <c r="AO266" s="115"/>
      <c r="AP266" s="115"/>
      <c r="AQ266" s="115"/>
      <c r="AR266" s="115"/>
      <c r="AS266" s="762"/>
      <c r="AT266" s="762"/>
      <c r="AU266" s="755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</row>
    <row r="267" ht="14.25" customHeight="1">
      <c r="A267" s="1"/>
      <c r="B267" s="438" t="str">
        <f>B32</f>
        <v/>
      </c>
      <c r="C267" s="438"/>
      <c r="D267" s="39"/>
      <c r="E267" s="994"/>
      <c r="F267" s="994"/>
      <c r="G267" s="994"/>
      <c r="H267" s="39" t="str">
        <f>RIGHT(D32,2)</f>
        <v/>
      </c>
      <c r="I267" s="39"/>
      <c r="J267" s="1"/>
      <c r="K267" s="39"/>
      <c r="L267" s="1245">
        <f>IF($BD32&lt;=AR$63,IF($BD32=AR$63,IF(SUM($J32:L32)&gt;=SUM($AP95:AR95),SUM($AP95:AR95),SUM($J32:L32)),AP95),0)</f>
        <v>0</v>
      </c>
      <c r="M267" s="35"/>
      <c r="N267" s="21"/>
      <c r="O267" s="39"/>
      <c r="P267" s="1245">
        <f>IF($BD32&lt;=AT$63,IF($BD32=AT$63,IF(SUM($J32:P32)&gt;=SUM($AP95:AT95),SUM($AP95:AT95),SUM($J32:P32)),AT95),0)</f>
        <v>0</v>
      </c>
      <c r="Q267" s="35"/>
      <c r="R267" s="21"/>
      <c r="S267" s="437"/>
      <c r="T267" s="1245">
        <f>IF($BD32&lt;=AV$63,IF($BD32=AV$63,IF(SUM($J32:T32)&gt;=SUM($AP95:AV95),SUM($AP95:AV95),SUM($J32:T32)),AV95),0)</f>
        <v>0</v>
      </c>
      <c r="U267" s="35"/>
      <c r="V267" s="21"/>
      <c r="W267" s="437"/>
      <c r="X267" s="1245">
        <f>IF($BD32&lt;=AX$63,IF($BD32=AX$63,IF(SUM($J32:X32)&gt;=SUM($AP95:AX95),SUM($AP95:AX95),SUM($J32:X32)),AX95),0)</f>
        <v>0</v>
      </c>
      <c r="Y267" s="35"/>
      <c r="Z267" s="21"/>
      <c r="AA267" s="940"/>
      <c r="AB267" s="1245">
        <f>IF($BD32&lt;=AZ$63,IF($BD32=AZ$63,IF(SUM($J32:AB32)&gt;=SUM($AP95:AZ95),SUM($AP95:AZ95),SUM($J32:AB32)),AZ95),0)</f>
        <v>0</v>
      </c>
      <c r="AC267" s="35"/>
      <c r="AD267" s="21"/>
      <c r="AE267" s="940"/>
      <c r="AF267" s="1245">
        <f>IF($BD32&lt;=BB$63,IF($BD32=BB$63,IF(SUM($J32:AF32)&gt;=SUM($AP95:BB95),SUM($AP95:BB95),SUM($J32:AF32)),BB95),0)</f>
        <v>0</v>
      </c>
      <c r="AG267" s="35"/>
      <c r="AH267" s="21"/>
      <c r="AI267" s="437"/>
      <c r="AJ267" s="1245">
        <f>SUM(K267:AF267)</f>
        <v>0</v>
      </c>
      <c r="AK267" s="35"/>
      <c r="AL267" s="21"/>
      <c r="AM267" s="940"/>
      <c r="AN267" s="791"/>
      <c r="AO267" s="794" t="s">
        <v>762</v>
      </c>
      <c r="AP267" s="794"/>
      <c r="AQ267" s="794"/>
      <c r="AR267" s="794"/>
      <c r="AS267" s="1454" t="str">
        <f>IF($Y$150&lt;=12,IF(($Y$152-$Y$150)&gt;0,$Y$150,$Y$152),12)</f>
        <v/>
      </c>
      <c r="AT267" s="1454">
        <f t="shared" ref="AT267:AU267" si="27">IF(($Y$152-SUM($AS267:AS267))&gt;0,IF(($Y$152-SUM($AS267:AS267))&gt;12,12,$Y$152-SUM($AS267:AS267)),0)</f>
        <v>0</v>
      </c>
      <c r="AU267" s="1455">
        <f t="shared" si="27"/>
        <v>0</v>
      </c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</row>
    <row r="268" ht="6.0" customHeight="1">
      <c r="A268" s="1"/>
      <c r="B268" s="438"/>
      <c r="C268" s="438"/>
      <c r="D268" s="39"/>
      <c r="E268" s="994"/>
      <c r="F268" s="994"/>
      <c r="G268" s="994"/>
      <c r="H268" s="994"/>
      <c r="I268" s="39"/>
      <c r="J268" s="1"/>
      <c r="K268" s="39"/>
      <c r="L268" s="1245"/>
      <c r="M268" s="35"/>
      <c r="N268" s="21"/>
      <c r="O268" s="39"/>
      <c r="P268" s="1245"/>
      <c r="Q268" s="35"/>
      <c r="R268" s="21"/>
      <c r="S268" s="437"/>
      <c r="T268" s="1245"/>
      <c r="U268" s="35"/>
      <c r="V268" s="21"/>
      <c r="W268" s="437"/>
      <c r="X268" s="1245"/>
      <c r="Y268" s="35"/>
      <c r="Z268" s="21"/>
      <c r="AA268" s="940"/>
      <c r="AB268" s="1245"/>
      <c r="AC268" s="35"/>
      <c r="AD268" s="21"/>
      <c r="AE268" s="940"/>
      <c r="AF268" s="1245"/>
      <c r="AG268" s="35"/>
      <c r="AH268" s="21"/>
      <c r="AI268" s="437"/>
      <c r="AJ268" s="1245"/>
      <c r="AK268" s="35"/>
      <c r="AL268" s="21"/>
      <c r="AM268" s="940"/>
      <c r="AN268" s="1456"/>
      <c r="AO268" s="1250"/>
      <c r="AP268" s="1250"/>
      <c r="AQ268" s="1250"/>
      <c r="AR268" s="1250"/>
      <c r="AS268" s="1250"/>
      <c r="AT268" s="1250"/>
      <c r="AU268" s="647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</row>
    <row r="269" ht="14.25" customHeight="1">
      <c r="A269" s="1"/>
      <c r="B269" s="438" t="str">
        <f>B34</f>
        <v/>
      </c>
      <c r="C269" s="438"/>
      <c r="D269" s="39"/>
      <c r="E269" s="994"/>
      <c r="F269" s="994"/>
      <c r="G269" s="994"/>
      <c r="H269" s="39" t="str">
        <f>RIGHT(D34,2)</f>
        <v/>
      </c>
      <c r="I269" s="39"/>
      <c r="J269" s="1"/>
      <c r="K269" s="39"/>
      <c r="L269" s="1245">
        <f>IF($BD34&lt;=AR$63,IF($BD34=AR$63,IF(SUM($J34:L34)&gt;=SUM($AP97:AR97),SUM($AP97:AR97),SUM($J34:L34)),AP97),0)</f>
        <v>0</v>
      </c>
      <c r="M269" s="35"/>
      <c r="N269" s="21"/>
      <c r="O269" s="39"/>
      <c r="P269" s="1245">
        <f>IF($BD34&lt;=AT$63,IF($BD34=AT$63,IF(SUM($J34:P34)&gt;=SUM($AP97:AT97),SUM($AP97:AT97),SUM($J34:P34)),AT97),0)</f>
        <v>0</v>
      </c>
      <c r="Q269" s="35"/>
      <c r="R269" s="21"/>
      <c r="S269" s="437"/>
      <c r="T269" s="1245">
        <f>IF($BD34&lt;=AV$63,IF($BD34=AV$63,IF(SUM($J34:T34)&gt;=SUM($AP97:AV97),SUM($AP97:AV97),SUM($J34:T34)),AV97),0)</f>
        <v>0</v>
      </c>
      <c r="U269" s="35"/>
      <c r="V269" s="21"/>
      <c r="W269" s="437"/>
      <c r="X269" s="1245">
        <f>IF($BD34&lt;=AX$63,IF($BD34=AX$63,IF(SUM($J34:X34)&gt;=SUM($AP97:AX97),SUM($AP97:AX97),SUM($J34:X34)),AX97),0)</f>
        <v>0</v>
      </c>
      <c r="Y269" s="35"/>
      <c r="Z269" s="21"/>
      <c r="AA269" s="940"/>
      <c r="AB269" s="1245">
        <f>IF($BD34&lt;=AZ$63,IF($BD34=AZ$63,IF(SUM($J34:AB34)&gt;=SUM($AP97:AZ97),SUM($AP97:AZ97),SUM($J34:AB34)),AZ97),0)</f>
        <v>0</v>
      </c>
      <c r="AC269" s="35"/>
      <c r="AD269" s="21"/>
      <c r="AE269" s="940"/>
      <c r="AF269" s="1245">
        <f>IF($BD34&lt;=BB$63,IF($BD34=BB$63,IF(SUM($J34:AF34)&gt;=SUM($AP97:BB97),SUM($AP97:BB97),SUM($J34:AF34)),BB97),0)</f>
        <v>0</v>
      </c>
      <c r="AG269" s="35"/>
      <c r="AH269" s="21"/>
      <c r="AI269" s="437"/>
      <c r="AJ269" s="1245">
        <f>SUM(K269:AF269)</f>
        <v>0</v>
      </c>
      <c r="AK269" s="35"/>
      <c r="AL269" s="21"/>
      <c r="AM269" s="940"/>
      <c r="AN269" s="1340" t="str">
        <f>AB5</f>
        <v>2030 - 31</v>
      </c>
      <c r="AO269" s="115" t="s">
        <v>750</v>
      </c>
      <c r="AP269" s="115"/>
      <c r="AQ269" s="115"/>
      <c r="AR269" s="115"/>
      <c r="AS269" s="115"/>
      <c r="AT269" s="762">
        <f t="shared" ref="AT269:AU269" si="28">IF(AT279&gt;0,IF(AT271&gt;0,$AB$154*AT279/12,0),0)</f>
        <v>0</v>
      </c>
      <c r="AU269" s="755">
        <f t="shared" si="28"/>
        <v>0</v>
      </c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</row>
    <row r="270" ht="6.0" customHeight="1">
      <c r="A270" s="1"/>
      <c r="B270" s="438"/>
      <c r="C270" s="438"/>
      <c r="D270" s="39"/>
      <c r="E270" s="994"/>
      <c r="F270" s="994"/>
      <c r="G270" s="994"/>
      <c r="H270" s="994"/>
      <c r="I270" s="39"/>
      <c r="J270" s="1"/>
      <c r="K270" s="39"/>
      <c r="L270" s="1245"/>
      <c r="M270" s="35"/>
      <c r="N270" s="21"/>
      <c r="O270" s="39"/>
      <c r="P270" s="1245"/>
      <c r="Q270" s="35"/>
      <c r="R270" s="21"/>
      <c r="S270" s="437"/>
      <c r="T270" s="1245"/>
      <c r="U270" s="35"/>
      <c r="V270" s="21"/>
      <c r="W270" s="437"/>
      <c r="X270" s="1245"/>
      <c r="Y270" s="35"/>
      <c r="Z270" s="21"/>
      <c r="AA270" s="940"/>
      <c r="AB270" s="1245"/>
      <c r="AC270" s="35"/>
      <c r="AD270" s="21"/>
      <c r="AE270" s="940"/>
      <c r="AF270" s="1245"/>
      <c r="AG270" s="35"/>
      <c r="AH270" s="21"/>
      <c r="AI270" s="437"/>
      <c r="AJ270" s="1245"/>
      <c r="AK270" s="35"/>
      <c r="AL270" s="21"/>
      <c r="AM270" s="940"/>
      <c r="AN270" s="747"/>
      <c r="AO270" s="115"/>
      <c r="AP270" s="115"/>
      <c r="AQ270" s="115"/>
      <c r="AR270" s="115"/>
      <c r="AS270" s="115"/>
      <c r="AT270" s="762"/>
      <c r="AU270" s="755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</row>
    <row r="271" ht="14.25" customHeight="1">
      <c r="A271" s="1"/>
      <c r="B271" s="438" t="str">
        <f>B36</f>
        <v/>
      </c>
      <c r="C271" s="438"/>
      <c r="D271" s="39"/>
      <c r="E271" s="994"/>
      <c r="F271" s="994"/>
      <c r="G271" s="994"/>
      <c r="H271" s="39" t="str">
        <f>RIGHT(D36,2)</f>
        <v/>
      </c>
      <c r="I271" s="39"/>
      <c r="J271" s="1"/>
      <c r="K271" s="39"/>
      <c r="L271" s="1245">
        <f>IF($BD36&lt;=AR$63,IF($BD36=AR$63,IF(SUM($J36:L36)&gt;=SUM($AP91:AR91),SUM($AP91:AR91),SUM($J36:L36)),AP91),0)</f>
        <v>0</v>
      </c>
      <c r="M271" s="35"/>
      <c r="N271" s="21"/>
      <c r="O271" s="39"/>
      <c r="P271" s="1245">
        <f>IF($BD36&lt;=AT$63,IF($BD36=AT$63,IF(SUM($J36:P36)&gt;=SUM($AP91:AT91),SUM($AP91:AT91),SUM($J36:P36)),AT91),0)</f>
        <v>0</v>
      </c>
      <c r="Q271" s="35"/>
      <c r="R271" s="21"/>
      <c r="S271" s="437"/>
      <c r="T271" s="1245">
        <f>IF($BD36&lt;=AV$63,IF($BD36=AV$63,IF(SUM($J36:T36)&gt;=SUM($AP91:AV91),SUM($AP91:AV91),SUM($J36:T36)),AV91),0)</f>
        <v>0</v>
      </c>
      <c r="U271" s="35"/>
      <c r="V271" s="21"/>
      <c r="W271" s="437"/>
      <c r="X271" s="1245">
        <f>IF($BD36&lt;=AX$63,IF($BD36=AX$63,IF(SUM($J36:X36)&gt;=SUM($AP91:AX91),SUM($AP91:AX91),SUM($J36:X36)),AX91),0)</f>
        <v>0</v>
      </c>
      <c r="Y271" s="35"/>
      <c r="Z271" s="21"/>
      <c r="AA271" s="940"/>
      <c r="AB271" s="1245">
        <f>IF($BD36&lt;=AZ$63,IF($BD36=AZ$63,IF(SUM($J36:AB36)&gt;=SUM($AP91:AZ91),SUM($AP91:AZ91),SUM($J36:AB36)),AZ91),0)</f>
        <v>0</v>
      </c>
      <c r="AC271" s="35"/>
      <c r="AD271" s="21"/>
      <c r="AE271" s="940"/>
      <c r="AF271" s="1245">
        <f>IF($BD36&lt;=BB$63,IF($BD36=BB$63,IF(SUM($J36:AF36)&gt;=SUM($AP91:BB91),SUM($AP91:BB91),SUM($J36:AF36)),BB91),0)</f>
        <v>0</v>
      </c>
      <c r="AG271" s="35"/>
      <c r="AH271" s="21"/>
      <c r="AI271" s="437"/>
      <c r="AJ271" s="1245">
        <f>SUM(K271:AF271)</f>
        <v>0</v>
      </c>
      <c r="AK271" s="35"/>
      <c r="AL271" s="21"/>
      <c r="AM271" s="940"/>
      <c r="AN271" s="747"/>
      <c r="AO271" s="115" t="s">
        <v>751</v>
      </c>
      <c r="AP271" s="115"/>
      <c r="AQ271" s="115"/>
      <c r="AR271" s="115"/>
      <c r="AS271" s="115"/>
      <c r="AT271" s="762">
        <f>$AB$144</f>
        <v>0</v>
      </c>
      <c r="AU271" s="755">
        <f>IF((AT271-AT277)&gt;0,AT271-AT277,0)</f>
        <v>0</v>
      </c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</row>
    <row r="272" ht="5.25" customHeight="1">
      <c r="A272" s="1"/>
      <c r="B272" s="438"/>
      <c r="C272" s="438"/>
      <c r="D272" s="39"/>
      <c r="E272" s="994"/>
      <c r="F272" s="994"/>
      <c r="G272" s="994"/>
      <c r="H272" s="994"/>
      <c r="I272" s="39"/>
      <c r="J272" s="1"/>
      <c r="K272" s="39"/>
      <c r="L272" s="1245"/>
      <c r="M272" s="35"/>
      <c r="N272" s="21"/>
      <c r="O272" s="39"/>
      <c r="P272" s="1245"/>
      <c r="Q272" s="35"/>
      <c r="R272" s="21"/>
      <c r="S272" s="437"/>
      <c r="T272" s="1245"/>
      <c r="U272" s="35"/>
      <c r="V272" s="21"/>
      <c r="W272" s="437"/>
      <c r="X272" s="1245"/>
      <c r="Y272" s="35"/>
      <c r="Z272" s="21"/>
      <c r="AA272" s="940"/>
      <c r="AB272" s="1245"/>
      <c r="AC272" s="35"/>
      <c r="AD272" s="21"/>
      <c r="AE272" s="940"/>
      <c r="AF272" s="1245"/>
      <c r="AG272" s="35"/>
      <c r="AH272" s="21"/>
      <c r="AI272" s="437"/>
      <c r="AJ272" s="1245"/>
      <c r="AK272" s="35"/>
      <c r="AL272" s="21"/>
      <c r="AM272" s="940"/>
      <c r="AN272" s="747"/>
      <c r="AO272" s="115"/>
      <c r="AP272" s="115"/>
      <c r="AQ272" s="115"/>
      <c r="AR272" s="115"/>
      <c r="AS272" s="115"/>
      <c r="AT272" s="762"/>
      <c r="AU272" s="755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</row>
    <row r="273" ht="14.25" customHeight="1">
      <c r="A273" s="1"/>
      <c r="B273" s="438" t="str">
        <f>B38</f>
        <v/>
      </c>
      <c r="C273" s="438"/>
      <c r="D273" s="39"/>
      <c r="E273" s="994"/>
      <c r="F273" s="994"/>
      <c r="G273" s="994"/>
      <c r="H273" s="39" t="str">
        <f>RIGHT(D38,2)</f>
        <v/>
      </c>
      <c r="I273" s="39"/>
      <c r="J273" s="1"/>
      <c r="K273" s="39"/>
      <c r="L273" s="1245">
        <f>IF($BD38&lt;=AR$63,IF($BD38=AR$63,IF(SUM($J38:L38)&gt;=SUM($AP93:AR93),SUM($AP93:AR93),SUM($J38:L38)),AP93),0)</f>
        <v>0</v>
      </c>
      <c r="M273" s="35"/>
      <c r="N273" s="21"/>
      <c r="O273" s="39"/>
      <c r="P273" s="1245">
        <f>IF($BD38&lt;=AT$63,IF($BD38=AT$63,IF(SUM($J38:P38)&gt;=SUM($AP93:AT93),SUM($AP93:AT93),SUM($J38:P38)),AT93),0)</f>
        <v>0</v>
      </c>
      <c r="Q273" s="35"/>
      <c r="R273" s="21"/>
      <c r="S273" s="437"/>
      <c r="T273" s="1245">
        <f>IF($BD38&lt;=AV$63,IF($BD38=AV$63,IF(SUM($J38:T38)&gt;=SUM($AP93:AV93),SUM($AP93:AV93),SUM($J38:T38)),AV93),0)</f>
        <v>0</v>
      </c>
      <c r="U273" s="35"/>
      <c r="V273" s="21"/>
      <c r="W273" s="437"/>
      <c r="X273" s="1245">
        <f>IF($BD38&lt;=AX$63,IF($BD38=AX$63,IF(SUM($J38:X38)&gt;=SUM($AP93:AX93),SUM($AP93:AX93),SUM($J38:X38)),AX93),0)</f>
        <v>0</v>
      </c>
      <c r="Y273" s="35"/>
      <c r="Z273" s="21"/>
      <c r="AA273" s="940"/>
      <c r="AB273" s="1245">
        <f>IF($BD38&lt;=AZ$63,IF($BD38=AZ$63,IF(SUM($J38:AB38)&gt;=SUM($AP93:AZ93),SUM($AP93:AZ93),SUM($J38:AB38)),AZ93),0)</f>
        <v>0</v>
      </c>
      <c r="AC273" s="35"/>
      <c r="AD273" s="21"/>
      <c r="AE273" s="940"/>
      <c r="AF273" s="1245">
        <f>IF($BD38&lt;=BB$63,IF($BD38=BB$63,IF(SUM($J38:AF38)&gt;=SUM($AP93:BB93),SUM($AP93:BB93),SUM($J38:AF38)),BB93),0)</f>
        <v>0</v>
      </c>
      <c r="AG273" s="35"/>
      <c r="AH273" s="21"/>
      <c r="AI273" s="437"/>
      <c r="AJ273" s="1245">
        <f>SUM(K273:AF273)</f>
        <v>0</v>
      </c>
      <c r="AK273" s="35"/>
      <c r="AL273" s="21"/>
      <c r="AM273" s="940"/>
      <c r="AN273" s="747"/>
      <c r="AO273" s="115"/>
      <c r="AP273" s="115"/>
      <c r="AQ273" s="115"/>
      <c r="AR273" s="115"/>
      <c r="AS273" s="115"/>
      <c r="AT273" s="762"/>
      <c r="AU273" s="755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</row>
    <row r="274" ht="6.0" customHeight="1">
      <c r="A274" s="1"/>
      <c r="B274" s="438"/>
      <c r="C274" s="438"/>
      <c r="D274" s="39"/>
      <c r="E274" s="994"/>
      <c r="F274" s="994"/>
      <c r="G274" s="994"/>
      <c r="H274" s="994"/>
      <c r="I274" s="39"/>
      <c r="J274" s="1"/>
      <c r="K274" s="39"/>
      <c r="L274" s="1245"/>
      <c r="M274" s="35"/>
      <c r="N274" s="21"/>
      <c r="O274" s="39"/>
      <c r="P274" s="1245"/>
      <c r="Q274" s="35"/>
      <c r="R274" s="21"/>
      <c r="S274" s="437"/>
      <c r="T274" s="1245"/>
      <c r="U274" s="35"/>
      <c r="V274" s="21"/>
      <c r="W274" s="437"/>
      <c r="X274" s="1245"/>
      <c r="Y274" s="35"/>
      <c r="Z274" s="21"/>
      <c r="AA274" s="940"/>
      <c r="AB274" s="1245"/>
      <c r="AC274" s="35"/>
      <c r="AD274" s="21"/>
      <c r="AE274" s="940"/>
      <c r="AF274" s="1245"/>
      <c r="AG274" s="35"/>
      <c r="AH274" s="21"/>
      <c r="AI274" s="437"/>
      <c r="AJ274" s="1245"/>
      <c r="AK274" s="35"/>
      <c r="AL274" s="21"/>
      <c r="AM274" s="940"/>
      <c r="AN274" s="747"/>
      <c r="AO274" s="115"/>
      <c r="AP274" s="115"/>
      <c r="AQ274" s="115"/>
      <c r="AR274" s="115"/>
      <c r="AS274" s="115"/>
      <c r="AT274" s="762"/>
      <c r="AU274" s="755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</row>
    <row r="275" ht="14.25" customHeight="1">
      <c r="A275" s="151"/>
      <c r="B275" s="438" t="str">
        <f>B40</f>
        <v/>
      </c>
      <c r="C275" s="438"/>
      <c r="D275" s="39"/>
      <c r="E275" s="994"/>
      <c r="F275" s="994"/>
      <c r="G275" s="994"/>
      <c r="H275" s="39" t="str">
        <f>RIGHT(D40,2)</f>
        <v/>
      </c>
      <c r="I275" s="39"/>
      <c r="J275" s="1"/>
      <c r="K275" s="39"/>
      <c r="L275" s="1245">
        <f>IF($BD40&lt;=AR$63,IF($BD40=AR$63,IF(SUM($J40:L40)&gt;=SUM($AP95:AR95),SUM($AP95:AR95),SUM($J40:L40)),AP95),0)</f>
        <v>0</v>
      </c>
      <c r="M275" s="35"/>
      <c r="N275" s="21"/>
      <c r="O275" s="39"/>
      <c r="P275" s="1245">
        <f>IF($BD40&lt;=AT$63,IF($BD40=AT$63,IF(SUM($J40:P40)&gt;=SUM($AP95:AT95),SUM($AP95:AT95),SUM($J40:P40)),AT95),0)</f>
        <v>0</v>
      </c>
      <c r="Q275" s="35"/>
      <c r="R275" s="21"/>
      <c r="S275" s="437"/>
      <c r="T275" s="1245">
        <f>IF($BD40&lt;=AV$63,IF($BD40=AV$63,IF(SUM($J40:T40)&gt;=SUM($AP95:AV95),SUM($AP95:AV95),SUM($J40:T40)),AV95),0)</f>
        <v>0</v>
      </c>
      <c r="U275" s="35"/>
      <c r="V275" s="21"/>
      <c r="W275" s="437"/>
      <c r="X275" s="1245">
        <f>IF($BD40&lt;=AX$63,IF($BD40=AX$63,IF(SUM($J40:X40)&gt;=SUM($AP95:AX95),SUM($AP95:AX95),SUM($J40:X40)),AX95),0)</f>
        <v>0</v>
      </c>
      <c r="Y275" s="35"/>
      <c r="Z275" s="21"/>
      <c r="AA275" s="940"/>
      <c r="AB275" s="1245">
        <f>IF($BD40&lt;=AZ$63,IF($BD40=AZ$63,IF(SUM($J40:AB40)&gt;=SUM($AP95:AZ95),SUM($AP95:AZ95),SUM($J40:AB40)),AZ95),0)</f>
        <v>0</v>
      </c>
      <c r="AC275" s="35"/>
      <c r="AD275" s="21"/>
      <c r="AE275" s="940"/>
      <c r="AF275" s="1245">
        <f>IF($BD40&lt;=BB$63,IF($BD40=BB$63,IF(SUM($J40:AF40)&gt;=SUM($AP95:BB95),SUM($AP95:BB95),SUM($J40:AF40)),BB95),0)</f>
        <v>0</v>
      </c>
      <c r="AG275" s="35"/>
      <c r="AH275" s="21"/>
      <c r="AI275" s="437"/>
      <c r="AJ275" s="1245">
        <f>SUM(K275:AF275)</f>
        <v>0</v>
      </c>
      <c r="AK275" s="35"/>
      <c r="AL275" s="21"/>
      <c r="AM275" s="940"/>
      <c r="AN275" s="747"/>
      <c r="AO275" s="115" t="s">
        <v>756</v>
      </c>
      <c r="AP275" s="115"/>
      <c r="AQ275" s="115"/>
      <c r="AR275" s="115"/>
      <c r="AS275" s="762"/>
      <c r="AT275" s="762">
        <f t="shared" ref="AT275:AU275" si="29">IF($AB$144&gt;0,IF((AT279+AT281)&gt;0,AT271*$AB$146*(AT279+AT281)/12,AT271*$AB$146),0)</f>
        <v>0</v>
      </c>
      <c r="AU275" s="755">
        <f t="shared" si="29"/>
        <v>0</v>
      </c>
      <c r="AV275" s="151"/>
      <c r="AW275" s="151"/>
      <c r="AX275" s="151"/>
      <c r="AY275" s="151"/>
      <c r="AZ275" s="151"/>
      <c r="BA275" s="151"/>
      <c r="BB275" s="151"/>
      <c r="BC275" s="151"/>
      <c r="BD275" s="151"/>
      <c r="BE275" s="151"/>
      <c r="BF275" s="151"/>
    </row>
    <row r="276" ht="6.0" customHeight="1">
      <c r="A276" s="1"/>
      <c r="B276" s="438"/>
      <c r="C276" s="438"/>
      <c r="D276" s="39"/>
      <c r="E276" s="994"/>
      <c r="F276" s="994"/>
      <c r="G276" s="994"/>
      <c r="H276" s="994"/>
      <c r="I276" s="39"/>
      <c r="J276" s="1"/>
      <c r="K276" s="39"/>
      <c r="L276" s="1245"/>
      <c r="M276" s="35"/>
      <c r="N276" s="21"/>
      <c r="O276" s="39"/>
      <c r="P276" s="1245"/>
      <c r="Q276" s="35"/>
      <c r="R276" s="21"/>
      <c r="S276" s="437"/>
      <c r="T276" s="1245"/>
      <c r="U276" s="35"/>
      <c r="V276" s="21"/>
      <c r="W276" s="437"/>
      <c r="X276" s="1245"/>
      <c r="Y276" s="35"/>
      <c r="Z276" s="21"/>
      <c r="AA276" s="940"/>
      <c r="AB276" s="1245"/>
      <c r="AC276" s="35"/>
      <c r="AD276" s="21"/>
      <c r="AE276" s="940"/>
      <c r="AF276" s="1245"/>
      <c r="AG276" s="35"/>
      <c r="AH276" s="21"/>
      <c r="AI276" s="437"/>
      <c r="AJ276" s="1245"/>
      <c r="AK276" s="35"/>
      <c r="AL276" s="21"/>
      <c r="AM276" s="940"/>
      <c r="AN276" s="747"/>
      <c r="AO276" s="115"/>
      <c r="AP276" s="115"/>
      <c r="AQ276" s="115"/>
      <c r="AR276" s="115"/>
      <c r="AS276" s="115"/>
      <c r="AT276" s="115"/>
      <c r="AU276" s="656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</row>
    <row r="277" ht="14.25" customHeight="1">
      <c r="A277" s="1"/>
      <c r="B277" s="438" t="str">
        <f>B42</f>
        <v/>
      </c>
      <c r="C277" s="438"/>
      <c r="D277" s="39"/>
      <c r="E277" s="994"/>
      <c r="F277" s="994"/>
      <c r="G277" s="994"/>
      <c r="H277" s="39" t="str">
        <f>RIGHT(D42,2)</f>
        <v/>
      </c>
      <c r="I277" s="39"/>
      <c r="J277" s="1"/>
      <c r="K277" s="39"/>
      <c r="L277" s="1245">
        <f>IF($BD42&lt;=AR$63,IF($BD42=AR$63,IF(SUM($J42:L42)&gt;=SUM($AP97:AR97),SUM($AP97:AR97),SUM($J42:L42)),AP97),0)</f>
        <v>0</v>
      </c>
      <c r="M277" s="35"/>
      <c r="N277" s="21"/>
      <c r="O277" s="39"/>
      <c r="P277" s="1245">
        <f>IF($BD42&lt;=AT$63,IF($BD42=AT$63,IF(SUM($J42:P42)&gt;=SUM($AP97:AT97),SUM($AP97:AT97),SUM($J42:P42)),AT97),0)</f>
        <v>0</v>
      </c>
      <c r="Q277" s="35"/>
      <c r="R277" s="21"/>
      <c r="S277" s="437"/>
      <c r="T277" s="1245">
        <f>IF($BD42&lt;=AV$63,IF($BD42=AV$63,IF(SUM($J42:T42)&gt;=SUM($AP97:AV97),SUM($AP97:AV97),SUM($J42:T42)),AV97),0)</f>
        <v>0</v>
      </c>
      <c r="U277" s="35"/>
      <c r="V277" s="21"/>
      <c r="W277" s="437"/>
      <c r="X277" s="1245">
        <f>IF($BD42&lt;=AX$63,IF($BD42=AX$63,IF(SUM($J42:X42)&gt;=SUM($AP97:AX97),SUM($AP97:AX97),SUM($J42:X42)),AX97),0)</f>
        <v>0</v>
      </c>
      <c r="Y277" s="35"/>
      <c r="Z277" s="21"/>
      <c r="AA277" s="940"/>
      <c r="AB277" s="1245">
        <f>IF($BD42&lt;=AZ$63,IF($BD42=AZ$63,IF(SUM($J42:AB42)&gt;=SUM($AP97:AZ97),SUM($AP97:AZ97),SUM($J42:AB42)),AZ97),0)</f>
        <v>0</v>
      </c>
      <c r="AC277" s="35"/>
      <c r="AD277" s="21"/>
      <c r="AE277" s="940"/>
      <c r="AF277" s="1245">
        <f>IF($BD42&lt;=BB$63,IF($BD42=BB$63,IF(SUM($J42:AF42)&gt;=SUM($AP97:BB97),SUM($AP97:BB97),SUM($J42:AF42)),BB97),0)</f>
        <v>0</v>
      </c>
      <c r="AG277" s="35"/>
      <c r="AH277" s="21"/>
      <c r="AI277" s="437"/>
      <c r="AJ277" s="1245">
        <f>SUM(K277:AF277)</f>
        <v>0</v>
      </c>
      <c r="AK277" s="35"/>
      <c r="AL277" s="21"/>
      <c r="AM277" s="940"/>
      <c r="AN277" s="747"/>
      <c r="AO277" s="115" t="s">
        <v>758</v>
      </c>
      <c r="AP277" s="115"/>
      <c r="AQ277" s="115"/>
      <c r="AR277" s="115"/>
      <c r="AS277" s="115"/>
      <c r="AT277" s="762">
        <f t="shared" ref="AT277:AU277" si="30">AT269-(AT271*$X$146*AT279/12)</f>
        <v>0</v>
      </c>
      <c r="AU277" s="755">
        <f t="shared" si="30"/>
        <v>0</v>
      </c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</row>
    <row r="278" ht="5.25" customHeight="1">
      <c r="A278" s="1"/>
      <c r="B278" s="1"/>
      <c r="C278" s="1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438"/>
      <c r="Q278" s="438"/>
      <c r="R278" s="437"/>
      <c r="S278" s="437"/>
      <c r="T278" s="438"/>
      <c r="U278" s="438"/>
      <c r="V278" s="437"/>
      <c r="W278" s="437"/>
      <c r="X278" s="438"/>
      <c r="Y278" s="438"/>
      <c r="Z278" s="940"/>
      <c r="AA278" s="940"/>
      <c r="AB278" s="438"/>
      <c r="AC278" s="438"/>
      <c r="AD278" s="940"/>
      <c r="AE278" s="940"/>
      <c r="AF278" s="1245"/>
      <c r="AG278" s="35"/>
      <c r="AH278" s="21"/>
      <c r="AI278" s="437"/>
      <c r="AJ278" s="1"/>
      <c r="AK278" s="1"/>
      <c r="AL278" s="1"/>
      <c r="AM278" s="940"/>
      <c r="AN278" s="747"/>
      <c r="AO278" s="115"/>
      <c r="AP278" s="115"/>
      <c r="AQ278" s="115"/>
      <c r="AR278" s="115"/>
      <c r="AS278" s="115"/>
      <c r="AT278" s="115"/>
      <c r="AU278" s="656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</row>
    <row r="279" ht="14.25" customHeight="1">
      <c r="A279" s="1"/>
      <c r="B279" s="438" t="str">
        <f>B44</f>
        <v/>
      </c>
      <c r="C279" s="438"/>
      <c r="D279" s="39"/>
      <c r="E279" s="994"/>
      <c r="F279" s="994"/>
      <c r="G279" s="994"/>
      <c r="H279" s="39" t="str">
        <f>RIGHT(D44,2)</f>
        <v/>
      </c>
      <c r="I279" s="39"/>
      <c r="J279" s="1"/>
      <c r="K279" s="39"/>
      <c r="L279" s="1488">
        <f>IF($BD44&lt;=AR$63,IF($BD44=AR$63,IF(SUM($J44:L44)&gt;=SUM($AP99:AR99),SUM($AP99:AR99),SUM($J44:L44)),AP99),0)</f>
        <v>0</v>
      </c>
      <c r="M279" s="896"/>
      <c r="N279" s="897"/>
      <c r="O279" s="39"/>
      <c r="P279" s="1488">
        <f>IF($BD44&lt;=AT$63,IF($BD44=AT$63,IF(SUM($J44:P44)&gt;=SUM($AP99:AT99),SUM($AP99:AT99),SUM($J44:P44)),AT99),0)</f>
        <v>0</v>
      </c>
      <c r="Q279" s="896"/>
      <c r="R279" s="897"/>
      <c r="S279" s="437"/>
      <c r="T279" s="1488">
        <f>IF($BD44&lt;=AV$63,IF($BD44=AV$63,IF(SUM($J44:T44)&gt;=SUM($AP99:AV99),SUM($AP99:AV99),SUM($J44:T44)),AV99),0)</f>
        <v>0</v>
      </c>
      <c r="U279" s="896"/>
      <c r="V279" s="897"/>
      <c r="W279" s="437"/>
      <c r="X279" s="1488">
        <f>IF($BD44&lt;=AX$63,IF($BD44=AX$63,IF(SUM($J44:X44)&gt;=SUM($AP99:AX99),SUM($AP99:AX99),SUM($J44:X44)),AX99),0)</f>
        <v>0</v>
      </c>
      <c r="Y279" s="896"/>
      <c r="Z279" s="897"/>
      <c r="AA279" s="940"/>
      <c r="AB279" s="1488">
        <f>IF($BD44&lt;=AZ$63,IF($BD44=AZ$63,IF(SUM($J44:AB44)&gt;=SUM($AP99:AZ99),SUM($AP99:AZ99),SUM($J44:AB44)),AZ99),0)</f>
        <v>0</v>
      </c>
      <c r="AC279" s="896"/>
      <c r="AD279" s="897"/>
      <c r="AE279" s="940"/>
      <c r="AF279" s="1488">
        <f>IF($BD44&lt;=BB$63,IF($BD44=BB$63,IF(SUM($J44:AF44)&gt;=SUM($AP99:BB99),SUM($AP99:BB99),SUM($J44:AF44)),BB99),0)</f>
        <v>0</v>
      </c>
      <c r="AG279" s="896"/>
      <c r="AH279" s="897"/>
      <c r="AI279" s="437"/>
      <c r="AJ279" s="1488">
        <f>SUM(K279:AF279)</f>
        <v>0</v>
      </c>
      <c r="AK279" s="896"/>
      <c r="AL279" s="897"/>
      <c r="AM279" s="940"/>
      <c r="AN279" s="747"/>
      <c r="AO279" s="115" t="s">
        <v>759</v>
      </c>
      <c r="AP279" s="115"/>
      <c r="AQ279" s="115"/>
      <c r="AR279" s="115"/>
      <c r="AS279" s="115"/>
      <c r="AT279" s="762">
        <f>IF(AC150&gt;0,IF(AC150&lt;=12,$AC$150-AT281,12-AT281),12-AT281)</f>
        <v>12</v>
      </c>
      <c r="AU279" s="755">
        <f>12-AU281</f>
        <v>12</v>
      </c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</row>
    <row r="280" ht="9.75" customHeight="1">
      <c r="A280" s="1"/>
      <c r="B280" s="1"/>
      <c r="C280" s="1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438"/>
      <c r="Q280" s="438"/>
      <c r="R280" s="437"/>
      <c r="S280" s="437"/>
      <c r="T280" s="438"/>
      <c r="U280" s="438"/>
      <c r="V280" s="437"/>
      <c r="W280" s="437"/>
      <c r="X280" s="438"/>
      <c r="Y280" s="438"/>
      <c r="Z280" s="940"/>
      <c r="AA280" s="940"/>
      <c r="AB280" s="438"/>
      <c r="AC280" s="438"/>
      <c r="AD280" s="940"/>
      <c r="AE280" s="940"/>
      <c r="AF280" s="1245"/>
      <c r="AG280" s="35"/>
      <c r="AH280" s="21"/>
      <c r="AI280" s="437"/>
      <c r="AJ280" s="1"/>
      <c r="AK280" s="1"/>
      <c r="AL280" s="1"/>
      <c r="AM280" s="940"/>
      <c r="AN280" s="747"/>
      <c r="AO280" s="115"/>
      <c r="AP280" s="115"/>
      <c r="AQ280" s="115"/>
      <c r="AR280" s="115"/>
      <c r="AS280" s="115"/>
      <c r="AT280" s="762"/>
      <c r="AU280" s="755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</row>
    <row r="281" ht="12.0" customHeight="1">
      <c r="A281" s="151"/>
      <c r="B281" s="180" t="s">
        <v>899</v>
      </c>
      <c r="C281" s="180"/>
      <c r="D281" s="816"/>
      <c r="E281" s="994"/>
      <c r="F281" s="994"/>
      <c r="G281" s="994"/>
      <c r="H281" s="994"/>
      <c r="I281" s="39"/>
      <c r="J281" s="816"/>
      <c r="K281" s="816"/>
      <c r="L281" s="1245">
        <f>SUM(L245:N279)</f>
        <v>2934772</v>
      </c>
      <c r="M281" s="35"/>
      <c r="N281" s="21"/>
      <c r="O281" s="39"/>
      <c r="P281" s="1245">
        <f>SUM(P245:R279)</f>
        <v>3200000</v>
      </c>
      <c r="Q281" s="35"/>
      <c r="R281" s="21"/>
      <c r="S281" s="437"/>
      <c r="T281" s="1245">
        <f>SUM(T245:V279)</f>
        <v>1300000</v>
      </c>
      <c r="U281" s="35"/>
      <c r="V281" s="21"/>
      <c r="W281" s="437"/>
      <c r="X281" s="1245">
        <f>SUM(X245:Z279)</f>
        <v>0</v>
      </c>
      <c r="Y281" s="35"/>
      <c r="Z281" s="21"/>
      <c r="AA281" s="940"/>
      <c r="AB281" s="1245">
        <f>SUM(AB245:AD279)</f>
        <v>0</v>
      </c>
      <c r="AC281" s="35"/>
      <c r="AD281" s="21"/>
      <c r="AE281" s="940"/>
      <c r="AF281" s="1245">
        <f>SUM(AF245:AH279)</f>
        <v>0</v>
      </c>
      <c r="AG281" s="35"/>
      <c r="AH281" s="21"/>
      <c r="AI281" s="437"/>
      <c r="AJ281" s="1245">
        <f>SUM(K281:AF281)</f>
        <v>7434772</v>
      </c>
      <c r="AK281" s="35"/>
      <c r="AL281" s="21"/>
      <c r="AM281" s="940"/>
      <c r="AN281" s="747"/>
      <c r="AO281" s="115" t="s">
        <v>762</v>
      </c>
      <c r="AP281" s="115"/>
      <c r="AQ281" s="115"/>
      <c r="AR281" s="115"/>
      <c r="AS281" s="115"/>
      <c r="AT281" s="762" t="str">
        <f>IF($AC$150&lt;=12,IF(($AC$152-$AC$150)&gt;0,$AC$150,$AC$152),12)</f>
        <v/>
      </c>
      <c r="AU281" s="755">
        <f>IF(($AC$152-SUM($AT281:AT281))&gt;0,IF(($AC$152-SUM($AT281:AT281))&gt;12,12,$AC$152-SUM($AT281:AT281)),0)</f>
        <v>0</v>
      </c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</row>
    <row r="282" ht="6.0" customHeight="1">
      <c r="A282" s="1"/>
      <c r="B282" s="1"/>
      <c r="C282" s="180"/>
      <c r="D282" s="39"/>
      <c r="E282" s="994"/>
      <c r="F282" s="994"/>
      <c r="G282" s="994"/>
      <c r="H282" s="39"/>
      <c r="I282" s="39"/>
      <c r="J282" s="39"/>
      <c r="K282" s="39"/>
      <c r="L282" s="1502"/>
      <c r="M282" s="1502"/>
      <c r="N282" s="1502"/>
      <c r="O282" s="39"/>
      <c r="P282" s="1502"/>
      <c r="Q282" s="1502"/>
      <c r="R282" s="1502"/>
      <c r="S282" s="39"/>
      <c r="T282" s="1502"/>
      <c r="U282" s="1502"/>
      <c r="V282" s="1502"/>
      <c r="W282" s="39"/>
      <c r="X282" s="1502"/>
      <c r="Y282" s="1502"/>
      <c r="Z282" s="1502"/>
      <c r="AA282" s="39"/>
      <c r="AB282" s="1502"/>
      <c r="AC282" s="1502"/>
      <c r="AD282" s="1502"/>
      <c r="AE282" s="39"/>
      <c r="AF282" s="1502"/>
      <c r="AG282" s="1502"/>
      <c r="AH282" s="1502"/>
      <c r="AI282" s="437"/>
      <c r="AJ282" s="1502"/>
      <c r="AK282" s="1502"/>
      <c r="AL282" s="1502"/>
      <c r="AM282" s="940"/>
      <c r="AN282" s="791"/>
      <c r="AO282" s="794"/>
      <c r="AP282" s="794"/>
      <c r="AQ282" s="794"/>
      <c r="AR282" s="794"/>
      <c r="AS282" s="794"/>
      <c r="AT282" s="794"/>
      <c r="AU282" s="68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</row>
    <row r="283" ht="19.5" customHeight="1">
      <c r="A283" s="1"/>
      <c r="B283" s="1"/>
      <c r="C283" s="1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438"/>
      <c r="Q283" s="438"/>
      <c r="R283" s="437"/>
      <c r="S283" s="437"/>
      <c r="T283" s="438"/>
      <c r="U283" s="438"/>
      <c r="V283" s="437"/>
      <c r="W283" s="437"/>
      <c r="X283" s="438"/>
      <c r="Y283" s="438"/>
      <c r="Z283" s="940"/>
      <c r="AA283" s="940"/>
      <c r="AB283" s="438"/>
      <c r="AC283" s="438"/>
      <c r="AD283" s="940"/>
      <c r="AE283" s="940"/>
      <c r="AF283" s="438"/>
      <c r="AG283" s="1"/>
      <c r="AH283" s="438"/>
      <c r="AI283" s="437"/>
      <c r="AJ283" s="1"/>
      <c r="AK283" s="1"/>
      <c r="AL283" s="1"/>
      <c r="AM283" s="1"/>
      <c r="AN283" s="1249" t="str">
        <f>AF5</f>
        <v>2031 - 32</v>
      </c>
      <c r="AO283" s="1250" t="s">
        <v>750</v>
      </c>
      <c r="AP283" s="1250"/>
      <c r="AQ283" s="1250"/>
      <c r="AR283" s="1250"/>
      <c r="AS283" s="1250"/>
      <c r="AT283" s="1250"/>
      <c r="AU283" s="1252">
        <f>IF(AU291&gt;0,IF(AU286&gt;0,$AF$154*AU291/12,0),0)</f>
        <v>0</v>
      </c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</row>
    <row r="284" ht="14.25" customHeight="1">
      <c r="A284" s="1"/>
      <c r="B284" s="1"/>
      <c r="C284" s="1"/>
      <c r="D284" s="39"/>
      <c r="E284" s="39"/>
      <c r="F284" s="39"/>
      <c r="G284" s="39"/>
      <c r="H284" s="39"/>
      <c r="I284" s="39"/>
      <c r="J284" s="39"/>
      <c r="K284" s="39"/>
      <c r="L284" s="39"/>
      <c r="M284" s="1234"/>
      <c r="N284" s="35"/>
      <c r="O284" s="21"/>
      <c r="P284" s="438"/>
      <c r="Q284" s="438"/>
      <c r="R284" s="437"/>
      <c r="S284" s="437"/>
      <c r="T284" s="438"/>
      <c r="U284" s="438"/>
      <c r="V284" s="437"/>
      <c r="W284" s="437"/>
      <c r="X284" s="438"/>
      <c r="Y284" s="438"/>
      <c r="Z284" s="940"/>
      <c r="AA284" s="940"/>
      <c r="AB284" s="438"/>
      <c r="AC284" s="438"/>
      <c r="AD284" s="940"/>
      <c r="AE284" s="940"/>
      <c r="AF284" s="438"/>
      <c r="AG284" s="1"/>
      <c r="AH284" s="438"/>
      <c r="AI284" s="437"/>
      <c r="AJ284" s="1"/>
      <c r="AK284" s="1"/>
      <c r="AL284" s="1"/>
      <c r="AM284" s="1"/>
      <c r="AN284" s="747"/>
      <c r="AO284" s="115"/>
      <c r="AP284" s="115"/>
      <c r="AQ284" s="115"/>
      <c r="AR284" s="115"/>
      <c r="AS284" s="115"/>
      <c r="AT284" s="115"/>
      <c r="AU284" s="755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</row>
    <row r="285" ht="4.5" customHeight="1">
      <c r="A285" s="1"/>
      <c r="B285" s="1"/>
      <c r="C285" s="1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438"/>
      <c r="Q285" s="438"/>
      <c r="R285" s="437"/>
      <c r="S285" s="437"/>
      <c r="T285" s="438"/>
      <c r="U285" s="438"/>
      <c r="V285" s="437"/>
      <c r="W285" s="437"/>
      <c r="X285" s="438"/>
      <c r="Y285" s="438"/>
      <c r="Z285" s="940"/>
      <c r="AA285" s="940"/>
      <c r="AB285" s="438"/>
      <c r="AC285" s="438"/>
      <c r="AD285" s="940"/>
      <c r="AE285" s="940"/>
      <c r="AF285" s="438"/>
      <c r="AG285" s="16"/>
      <c r="AH285" s="438"/>
      <c r="AI285" s="437"/>
      <c r="AJ285" s="1"/>
      <c r="AK285" s="1"/>
      <c r="AL285" s="1"/>
      <c r="AM285" s="1"/>
      <c r="AN285" s="747"/>
      <c r="AO285" s="115"/>
      <c r="AP285" s="115"/>
      <c r="AQ285" s="115"/>
      <c r="AR285" s="115"/>
      <c r="AS285" s="115"/>
      <c r="AT285" s="115"/>
      <c r="AU285" s="656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</row>
    <row r="286" ht="14.25" customHeight="1">
      <c r="A286" s="1"/>
      <c r="B286" s="1"/>
      <c r="C286" s="1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438"/>
      <c r="Q286" s="438"/>
      <c r="R286" s="437"/>
      <c r="S286" s="437"/>
      <c r="T286" s="438"/>
      <c r="U286" s="438"/>
      <c r="V286" s="437"/>
      <c r="W286" s="437"/>
      <c r="X286" s="438"/>
      <c r="Y286" s="438"/>
      <c r="Z286" s="940"/>
      <c r="AA286" s="940"/>
      <c r="AB286" s="438"/>
      <c r="AC286" s="438"/>
      <c r="AD286" s="940"/>
      <c r="AE286" s="940"/>
      <c r="AF286" s="438"/>
      <c r="AG286" s="16"/>
      <c r="AH286" s="438"/>
      <c r="AI286" s="437"/>
      <c r="AJ286" s="1"/>
      <c r="AK286" s="1"/>
      <c r="AL286" s="1"/>
      <c r="AM286" s="1"/>
      <c r="AN286" s="747"/>
      <c r="AO286" s="115" t="s">
        <v>751</v>
      </c>
      <c r="AP286" s="115"/>
      <c r="AQ286" s="115"/>
      <c r="AR286" s="115"/>
      <c r="AS286" s="115"/>
      <c r="AT286" s="115"/>
      <c r="AU286" s="755">
        <f>$AF$144</f>
        <v>0</v>
      </c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</row>
    <row r="287" ht="6.0" customHeight="1">
      <c r="A287" s="1"/>
      <c r="B287" s="1"/>
      <c r="C287" s="1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438"/>
      <c r="Q287" s="438"/>
      <c r="R287" s="437"/>
      <c r="S287" s="437"/>
      <c r="T287" s="438"/>
      <c r="U287" s="438"/>
      <c r="V287" s="437"/>
      <c r="W287" s="437"/>
      <c r="X287" s="438"/>
      <c r="Y287" s="438"/>
      <c r="Z287" s="940"/>
      <c r="AA287" s="940"/>
      <c r="AB287" s="438"/>
      <c r="AC287" s="438"/>
      <c r="AD287" s="940"/>
      <c r="AE287" s="940"/>
      <c r="AF287" s="438"/>
      <c r="AG287" s="16"/>
      <c r="AH287" s="438"/>
      <c r="AI287" s="437"/>
      <c r="AJ287" s="1"/>
      <c r="AK287" s="1"/>
      <c r="AL287" s="1"/>
      <c r="AM287" s="1"/>
      <c r="AN287" s="747"/>
      <c r="AO287" s="115"/>
      <c r="AP287" s="115"/>
      <c r="AQ287" s="115"/>
      <c r="AR287" s="115"/>
      <c r="AS287" s="115"/>
      <c r="AT287" s="115"/>
      <c r="AU287" s="656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</row>
    <row r="288" ht="14.25" customHeight="1">
      <c r="A288" s="1"/>
      <c r="B288" s="1"/>
      <c r="C288" s="1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438"/>
      <c r="Q288" s="438"/>
      <c r="R288" s="437"/>
      <c r="S288" s="437"/>
      <c r="T288" s="438"/>
      <c r="U288" s="438"/>
      <c r="V288" s="437"/>
      <c r="W288" s="437"/>
      <c r="X288" s="438"/>
      <c r="Y288" s="438"/>
      <c r="Z288" s="940"/>
      <c r="AA288" s="940"/>
      <c r="AB288" s="438"/>
      <c r="AC288" s="438"/>
      <c r="AD288" s="940"/>
      <c r="AE288" s="940"/>
      <c r="AF288" s="438"/>
      <c r="AG288" s="16"/>
      <c r="AH288" s="438"/>
      <c r="AI288" s="437"/>
      <c r="AJ288" s="1"/>
      <c r="AK288" s="1"/>
      <c r="AL288" s="1"/>
      <c r="AM288" s="1"/>
      <c r="AN288" s="747"/>
      <c r="AO288" s="115" t="s">
        <v>756</v>
      </c>
      <c r="AP288" s="115"/>
      <c r="AQ288" s="115"/>
      <c r="AR288" s="115"/>
      <c r="AS288" s="115"/>
      <c r="AT288" s="115"/>
      <c r="AU288" s="755">
        <f>IF($AF$144&gt;0,IF((AU291+AU292)&gt;0,AU286*$AF$146*(AU291+AU292)/12,AU286*$AF$146),0)</f>
        <v>0</v>
      </c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</row>
    <row r="289" ht="6.0" customHeight="1">
      <c r="A289" s="1"/>
      <c r="B289" s="1"/>
      <c r="C289" s="1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438"/>
      <c r="Q289" s="438"/>
      <c r="R289" s="437"/>
      <c r="S289" s="437"/>
      <c r="T289" s="438"/>
      <c r="U289" s="438"/>
      <c r="V289" s="437"/>
      <c r="W289" s="437"/>
      <c r="X289" s="438"/>
      <c r="Y289" s="438"/>
      <c r="Z289" s="940"/>
      <c r="AA289" s="940"/>
      <c r="AB289" s="438"/>
      <c r="AC289" s="438"/>
      <c r="AD289" s="940"/>
      <c r="AE289" s="940"/>
      <c r="AF289" s="438"/>
      <c r="AG289" s="16"/>
      <c r="AH289" s="438"/>
      <c r="AI289" s="437"/>
      <c r="AJ289" s="1"/>
      <c r="AK289" s="1"/>
      <c r="AL289" s="1"/>
      <c r="AM289" s="1"/>
      <c r="AN289" s="747"/>
      <c r="AO289" s="115"/>
      <c r="AP289" s="115"/>
      <c r="AQ289" s="115"/>
      <c r="AR289" s="115"/>
      <c r="AS289" s="115"/>
      <c r="AT289" s="115"/>
      <c r="AU289" s="755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</row>
    <row r="290" ht="14.25" customHeight="1">
      <c r="A290" s="1"/>
      <c r="B290" s="1"/>
      <c r="C290" s="1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438"/>
      <c r="Q290" s="438"/>
      <c r="R290" s="437"/>
      <c r="S290" s="437"/>
      <c r="T290" s="438"/>
      <c r="U290" s="438"/>
      <c r="V290" s="437"/>
      <c r="W290" s="437"/>
      <c r="X290" s="438"/>
      <c r="Y290" s="438"/>
      <c r="Z290" s="940"/>
      <c r="AA290" s="940"/>
      <c r="AB290" s="438"/>
      <c r="AC290" s="438"/>
      <c r="AD290" s="940"/>
      <c r="AE290" s="940"/>
      <c r="AF290" s="438"/>
      <c r="AG290" s="16"/>
      <c r="AH290" s="438"/>
      <c r="AI290" s="437"/>
      <c r="AJ290" s="1"/>
      <c r="AK290" s="1"/>
      <c r="AL290" s="1"/>
      <c r="AM290" s="1"/>
      <c r="AN290" s="747"/>
      <c r="AO290" s="115" t="s">
        <v>758</v>
      </c>
      <c r="AP290" s="115"/>
      <c r="AQ290" s="115"/>
      <c r="AR290" s="115"/>
      <c r="AS290" s="115"/>
      <c r="AT290" s="115"/>
      <c r="AU290" s="755">
        <f>IF($AG$150&gt;0,IF($AG$150&lt;=12,AU283-(AU286*$AF$146*AU291/12),AU283-AU286*$AF$146),AU283-AU286*AF$146)</f>
        <v>0</v>
      </c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</row>
    <row r="291" ht="21.75" customHeight="1">
      <c r="A291" s="1"/>
      <c r="B291" s="1"/>
      <c r="C291" s="1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438"/>
      <c r="Q291" s="438"/>
      <c r="R291" s="437"/>
      <c r="S291" s="437"/>
      <c r="T291" s="438"/>
      <c r="U291" s="438"/>
      <c r="V291" s="437"/>
      <c r="W291" s="437"/>
      <c r="X291" s="438"/>
      <c r="Y291" s="438"/>
      <c r="Z291" s="940"/>
      <c r="AA291" s="940"/>
      <c r="AB291" s="438"/>
      <c r="AC291" s="438"/>
      <c r="AD291" s="940"/>
      <c r="AE291" s="940"/>
      <c r="AF291" s="438"/>
      <c r="AG291" s="16"/>
      <c r="AH291" s="438"/>
      <c r="AI291" s="437"/>
      <c r="AJ291" s="1"/>
      <c r="AK291" s="1"/>
      <c r="AL291" s="1"/>
      <c r="AM291" s="1"/>
      <c r="AN291" s="747"/>
      <c r="AO291" s="115" t="s">
        <v>759</v>
      </c>
      <c r="AP291" s="115"/>
      <c r="AQ291" s="115"/>
      <c r="AR291" s="115"/>
      <c r="AS291" s="115"/>
      <c r="AT291" s="115"/>
      <c r="AU291" s="755">
        <f>IF(AG150&gt;0,IF(AG150&lt;=12,$AG$150-AU292,12-AU292),12-AU292)</f>
        <v>12</v>
      </c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</row>
    <row r="292" ht="21.75" customHeight="1">
      <c r="A292" s="1"/>
      <c r="B292" s="1"/>
      <c r="C292" s="1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438"/>
      <c r="Q292" s="438"/>
      <c r="R292" s="437"/>
      <c r="S292" s="437"/>
      <c r="T292" s="438"/>
      <c r="U292" s="438"/>
      <c r="V292" s="437"/>
      <c r="W292" s="437"/>
      <c r="X292" s="438"/>
      <c r="Y292" s="438"/>
      <c r="Z292" s="940"/>
      <c r="AA292" s="940"/>
      <c r="AB292" s="438"/>
      <c r="AC292" s="438"/>
      <c r="AD292" s="940"/>
      <c r="AE292" s="940"/>
      <c r="AF292" s="438"/>
      <c r="AG292" s="16"/>
      <c r="AH292" s="438"/>
      <c r="AI292" s="437"/>
      <c r="AJ292" s="1"/>
      <c r="AK292" s="1"/>
      <c r="AL292" s="1"/>
      <c r="AM292" s="1"/>
      <c r="AN292" s="791"/>
      <c r="AO292" s="794" t="s">
        <v>762</v>
      </c>
      <c r="AP292" s="794"/>
      <c r="AQ292" s="794"/>
      <c r="AR292" s="794"/>
      <c r="AS292" s="794"/>
      <c r="AT292" s="794"/>
      <c r="AU292" s="1455" t="str">
        <f>IF($AG$150&lt;=12,IF(($AG$152-$AG$150)&gt;0,$AG$150,$AG$152),12)</f>
        <v/>
      </c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</row>
    <row r="293" ht="14.25" customHeight="1">
      <c r="A293" s="1"/>
      <c r="B293" s="1"/>
      <c r="C293" s="1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438"/>
      <c r="Q293" s="438"/>
      <c r="R293" s="437"/>
      <c r="S293" s="437"/>
      <c r="T293" s="438"/>
      <c r="U293" s="438"/>
      <c r="V293" s="437"/>
      <c r="W293" s="437"/>
      <c r="X293" s="438"/>
      <c r="Y293" s="438"/>
      <c r="Z293" s="940"/>
      <c r="AA293" s="940"/>
      <c r="AB293" s="438"/>
      <c r="AC293" s="438"/>
      <c r="AD293" s="940"/>
      <c r="AE293" s="940"/>
      <c r="AF293" s="438"/>
      <c r="AG293" s="16"/>
      <c r="AH293" s="438"/>
      <c r="AI293" s="437"/>
      <c r="AJ293" s="1"/>
      <c r="AK293" s="1"/>
      <c r="AL293" s="1"/>
      <c r="AM293" s="1"/>
      <c r="AN293" s="747" t="s">
        <v>906</v>
      </c>
      <c r="AO293" s="115"/>
      <c r="AP293" s="762">
        <f t="shared" ref="AP293:AU293" si="31">AP233+AP242+AP251+AP263+AP277+AP290</f>
        <v>59435.18379</v>
      </c>
      <c r="AQ293" s="762">
        <f t="shared" si="31"/>
        <v>122733.6545</v>
      </c>
      <c r="AR293" s="762">
        <f t="shared" si="31"/>
        <v>130711.3421</v>
      </c>
      <c r="AS293" s="762">
        <f t="shared" si="31"/>
        <v>139207.5793</v>
      </c>
      <c r="AT293" s="762">
        <f t="shared" si="31"/>
        <v>148256.072</v>
      </c>
      <c r="AU293" s="755">
        <f t="shared" si="31"/>
        <v>157892.7166</v>
      </c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</row>
    <row r="294" ht="14.25" customHeight="1">
      <c r="A294" s="1"/>
      <c r="B294" s="1"/>
      <c r="C294" s="1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438"/>
      <c r="Q294" s="438"/>
      <c r="R294" s="437"/>
      <c r="S294" s="437"/>
      <c r="T294" s="438"/>
      <c r="U294" s="438"/>
      <c r="V294" s="437"/>
      <c r="W294" s="437"/>
      <c r="X294" s="438"/>
      <c r="Y294" s="438"/>
      <c r="Z294" s="940"/>
      <c r="AA294" s="940"/>
      <c r="AB294" s="438"/>
      <c r="AC294" s="438"/>
      <c r="AD294" s="940"/>
      <c r="AE294" s="940"/>
      <c r="AF294" s="438"/>
      <c r="AG294" s="16"/>
      <c r="AH294" s="438"/>
      <c r="AI294" s="437"/>
      <c r="AJ294" s="1"/>
      <c r="AK294" s="1"/>
      <c r="AL294" s="1"/>
      <c r="AM294" s="1"/>
      <c r="AN294" s="791" t="s">
        <v>907</v>
      </c>
      <c r="AO294" s="794"/>
      <c r="AP294" s="1454">
        <f>AP231+AP241+AP249+AP261+AP275+AP286</f>
        <v>227500</v>
      </c>
      <c r="AQ294" s="1454">
        <f t="shared" ref="AQ294:AU294" si="32">AQ231+AQ241+AQ249+AQ261+AQ275+AQ288</f>
        <v>451136.7131</v>
      </c>
      <c r="AR294" s="1454">
        <f t="shared" si="32"/>
        <v>443159.0255</v>
      </c>
      <c r="AS294" s="1454">
        <f t="shared" si="32"/>
        <v>434662.7883</v>
      </c>
      <c r="AT294" s="1454">
        <f t="shared" si="32"/>
        <v>425614.2956</v>
      </c>
      <c r="AU294" s="1455">
        <f t="shared" si="32"/>
        <v>415977.6509</v>
      </c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</row>
    <row r="295" ht="14.25" customHeight="1">
      <c r="A295" s="1"/>
      <c r="B295" s="1"/>
      <c r="C295" s="1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438"/>
      <c r="Q295" s="438"/>
      <c r="R295" s="437"/>
      <c r="S295" s="437"/>
      <c r="T295" s="438"/>
      <c r="U295" s="438"/>
      <c r="V295" s="437"/>
      <c r="W295" s="437"/>
      <c r="X295" s="438"/>
      <c r="Y295" s="438"/>
      <c r="Z295" s="940"/>
      <c r="AA295" s="940"/>
      <c r="AB295" s="438"/>
      <c r="AC295" s="438"/>
      <c r="AD295" s="940"/>
      <c r="AE295" s="940"/>
      <c r="AF295" s="438"/>
      <c r="AG295" s="16"/>
      <c r="AH295" s="438"/>
      <c r="AI295" s="437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</row>
    <row r="296" ht="14.25" customHeight="1">
      <c r="A296" s="1"/>
      <c r="B296" s="1"/>
      <c r="C296" s="1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438"/>
      <c r="Q296" s="438"/>
      <c r="R296" s="437"/>
      <c r="S296" s="437"/>
      <c r="T296" s="438"/>
      <c r="U296" s="438"/>
      <c r="V296" s="437"/>
      <c r="W296" s="437"/>
      <c r="X296" s="438"/>
      <c r="Y296" s="438"/>
      <c r="Z296" s="940"/>
      <c r="AA296" s="940"/>
      <c r="AB296" s="438"/>
      <c r="AC296" s="438"/>
      <c r="AD296" s="1097">
        <v>45980.0</v>
      </c>
      <c r="AE296" s="35"/>
      <c r="AF296" s="21"/>
      <c r="AG296" s="16"/>
      <c r="AH296" s="438"/>
      <c r="AI296" s="437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</row>
    <row r="297" ht="14.25" customHeight="1">
      <c r="A297" s="1"/>
      <c r="B297" s="180" t="s">
        <v>909</v>
      </c>
      <c r="C297" s="180"/>
      <c r="D297" s="39"/>
      <c r="E297" s="994"/>
      <c r="F297" s="994"/>
      <c r="G297" s="994"/>
      <c r="H297" s="994"/>
      <c r="I297" s="39"/>
      <c r="J297" s="398" t="str">
        <f>'F Population'!N$6</f>
        <v>2025 - 26</v>
      </c>
      <c r="K297" s="39"/>
      <c r="L297" s="975" t="str">
        <f>'F Population'!P$6</f>
        <v>2026 - 27</v>
      </c>
      <c r="M297" s="243"/>
      <c r="N297" s="244"/>
      <c r="O297" s="1"/>
      <c r="P297" s="975" t="str">
        <f>'F Population'!U$6</f>
        <v>2027 - 28</v>
      </c>
      <c r="Q297" s="243"/>
      <c r="R297" s="244"/>
      <c r="S297" s="1"/>
      <c r="T297" s="975" t="str">
        <f>'F Population'!W$6</f>
        <v>2028 - 29</v>
      </c>
      <c r="U297" s="243"/>
      <c r="V297" s="244"/>
      <c r="W297" s="1"/>
      <c r="X297" s="975" t="str">
        <f>'F Population'!Y$6</f>
        <v>2029 - 30</v>
      </c>
      <c r="Y297" s="243"/>
      <c r="Z297" s="244"/>
      <c r="AA297" s="1"/>
      <c r="AB297" s="975" t="str">
        <f>'F Population'!AA$6</f>
        <v>2030 - 31</v>
      </c>
      <c r="AC297" s="243"/>
      <c r="AD297" s="244"/>
      <c r="AE297" s="1"/>
      <c r="AF297" s="975" t="str">
        <f>'F Population'!AC$6</f>
        <v>2031 - 32</v>
      </c>
      <c r="AG297" s="243"/>
      <c r="AH297" s="244"/>
      <c r="AI297" s="1"/>
      <c r="AJ297" s="976" t="s">
        <v>126</v>
      </c>
      <c r="AK297" s="35"/>
      <c r="AL297" s="2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</row>
    <row r="298" ht="14.25" customHeight="1">
      <c r="A298" s="1"/>
      <c r="B298" s="1"/>
      <c r="C298" s="1"/>
      <c r="D298" s="39"/>
      <c r="E298" s="994"/>
      <c r="F298" s="994"/>
      <c r="G298" s="994"/>
      <c r="H298" s="994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437"/>
      <c r="T298" s="39"/>
      <c r="U298" s="39"/>
      <c r="V298" s="39"/>
      <c r="W298" s="437"/>
      <c r="X298" s="39"/>
      <c r="Y298" s="39"/>
      <c r="Z298" s="39"/>
      <c r="AA298" s="940"/>
      <c r="AB298" s="39"/>
      <c r="AC298" s="39"/>
      <c r="AD298" s="39"/>
      <c r="AE298" s="940"/>
      <c r="AF298" s="39"/>
      <c r="AG298" s="39"/>
      <c r="AH298" s="39"/>
      <c r="AI298" s="437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</row>
    <row r="299" ht="14.25" customHeight="1">
      <c r="A299" s="1"/>
      <c r="B299" s="438" t="str">
        <f>B$10</f>
        <v>New Student Center</v>
      </c>
      <c r="C299" s="438"/>
      <c r="D299" s="39"/>
      <c r="E299" s="994"/>
      <c r="F299" s="994"/>
      <c r="G299" s="994"/>
      <c r="H299" s="39"/>
      <c r="I299" s="39"/>
      <c r="J299" s="1"/>
      <c r="K299" s="39"/>
      <c r="L299" s="1245">
        <f>IF(L205&lt;&gt;0,L205/$F10*$H10/12,0)</f>
        <v>238888.8889</v>
      </c>
      <c r="M299" s="35"/>
      <c r="N299" s="21"/>
      <c r="O299" s="39"/>
      <c r="P299" s="1245">
        <f>IF(P205&lt;&gt;0,P205/$F10*$H10/12,0)</f>
        <v>61111.11111</v>
      </c>
      <c r="Q299" s="35"/>
      <c r="R299" s="21"/>
      <c r="S299" s="437"/>
      <c r="T299" s="1245">
        <f>IF(T205&lt;&gt;0,T205/$F10*$H10/12,0)</f>
        <v>0</v>
      </c>
      <c r="U299" s="35"/>
      <c r="V299" s="21"/>
      <c r="W299" s="437"/>
      <c r="X299" s="1245">
        <f>IF(X205&lt;&gt;0,X205/$F10*$H10/12,0)</f>
        <v>0</v>
      </c>
      <c r="Y299" s="35"/>
      <c r="Z299" s="21"/>
      <c r="AA299" s="940"/>
      <c r="AB299" s="1245">
        <f>IF(AB205&lt;&gt;0,AB205/$F10*$H10/12,0)</f>
        <v>0</v>
      </c>
      <c r="AC299" s="35"/>
      <c r="AD299" s="21"/>
      <c r="AE299" s="940"/>
      <c r="AF299" s="1245">
        <f>IF(AF205&lt;&gt;0,AF205/$F10*$H10/12,0)</f>
        <v>0</v>
      </c>
      <c r="AG299" s="35"/>
      <c r="AH299" s="21"/>
      <c r="AI299" s="437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</row>
    <row r="300" ht="14.25" customHeight="1">
      <c r="A300" s="1"/>
      <c r="B300" s="446"/>
      <c r="C300" s="446"/>
      <c r="D300" s="39"/>
      <c r="E300" s="994"/>
      <c r="F300" s="994"/>
      <c r="G300" s="994"/>
      <c r="H300" s="994"/>
      <c r="I300" s="39"/>
      <c r="J300" s="1"/>
      <c r="K300" s="39"/>
      <c r="L300" s="1247"/>
      <c r="M300" s="1247"/>
      <c r="N300" s="1247"/>
      <c r="O300" s="39"/>
      <c r="P300" s="1247"/>
      <c r="Q300" s="1247"/>
      <c r="R300" s="1247"/>
      <c r="S300" s="437"/>
      <c r="T300" s="1247"/>
      <c r="U300" s="1247"/>
      <c r="V300" s="1247"/>
      <c r="W300" s="437"/>
      <c r="X300" s="1247"/>
      <c r="Y300" s="1247"/>
      <c r="Z300" s="1247"/>
      <c r="AA300" s="940"/>
      <c r="AB300" s="1247"/>
      <c r="AC300" s="1247"/>
      <c r="AD300" s="1247"/>
      <c r="AE300" s="940"/>
      <c r="AF300" s="1247"/>
      <c r="AG300" s="1247"/>
      <c r="AH300" s="1247"/>
      <c r="AI300" s="437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</row>
    <row r="301" ht="14.25" customHeight="1">
      <c r="A301" s="1"/>
      <c r="B301" s="438" t="str">
        <f>B$12</f>
        <v>Field House</v>
      </c>
      <c r="C301" s="438"/>
      <c r="D301" s="39"/>
      <c r="E301" s="994"/>
      <c r="F301" s="994"/>
      <c r="G301" s="994"/>
      <c r="H301" s="39"/>
      <c r="I301" s="39"/>
      <c r="J301" s="1"/>
      <c r="K301" s="39"/>
      <c r="L301" s="1245">
        <f>IF(L207&lt;&gt;0,L207/$F12*$H12/12,0)</f>
        <v>69456.58333</v>
      </c>
      <c r="M301" s="35"/>
      <c r="N301" s="21"/>
      <c r="O301" s="39"/>
      <c r="P301" s="1245">
        <f>IF(P207&lt;&gt;0,P207/$F12*$H12/12,0)</f>
        <v>175000</v>
      </c>
      <c r="Q301" s="35"/>
      <c r="R301" s="21"/>
      <c r="S301" s="437"/>
      <c r="T301" s="1245">
        <f>IF(T207&lt;&gt;0,T207/$F12*$H12/12,0)</f>
        <v>23888.88889</v>
      </c>
      <c r="U301" s="35"/>
      <c r="V301" s="21"/>
      <c r="W301" s="437"/>
      <c r="X301" s="1245">
        <f>IF(X207&lt;&gt;0,X207/$F12*$H12/12,0)</f>
        <v>0</v>
      </c>
      <c r="Y301" s="35"/>
      <c r="Z301" s="21"/>
      <c r="AA301" s="940"/>
      <c r="AB301" s="1245">
        <f>IF(AB207&lt;&gt;0,AB207/$F12*$H12/12,0)</f>
        <v>0</v>
      </c>
      <c r="AC301" s="35"/>
      <c r="AD301" s="21"/>
      <c r="AE301" s="940"/>
      <c r="AF301" s="1245">
        <f>IF(AF207&lt;&gt;0,AF207/$F12*$H12/12,0)</f>
        <v>0</v>
      </c>
      <c r="AG301" s="35"/>
      <c r="AH301" s="21"/>
      <c r="AI301" s="437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</row>
    <row r="302" ht="14.25" customHeight="1">
      <c r="A302" s="1"/>
      <c r="B302" s="446"/>
      <c r="C302" s="446"/>
      <c r="D302" s="39"/>
      <c r="E302" s="994"/>
      <c r="F302" s="994"/>
      <c r="G302" s="994"/>
      <c r="H302" s="994"/>
      <c r="I302" s="39"/>
      <c r="J302" s="1"/>
      <c r="K302" s="39"/>
      <c r="L302" s="1247"/>
      <c r="M302" s="1247"/>
      <c r="N302" s="1247"/>
      <c r="O302" s="39"/>
      <c r="P302" s="1247"/>
      <c r="Q302" s="1247"/>
      <c r="R302" s="1247"/>
      <c r="S302" s="437"/>
      <c r="T302" s="1247"/>
      <c r="U302" s="1247"/>
      <c r="V302" s="1247"/>
      <c r="W302" s="437"/>
      <c r="X302" s="1247"/>
      <c r="Y302" s="1247"/>
      <c r="Z302" s="1247"/>
      <c r="AA302" s="940"/>
      <c r="AB302" s="1247"/>
      <c r="AC302" s="1247"/>
      <c r="AD302" s="1247"/>
      <c r="AE302" s="940"/>
      <c r="AF302" s="1247"/>
      <c r="AG302" s="1247"/>
      <c r="AH302" s="1247"/>
      <c r="AI302" s="437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</row>
    <row r="303" ht="14.25" customHeight="1">
      <c r="A303" s="1"/>
      <c r="B303" s="438" t="str">
        <f>B$14</f>
        <v/>
      </c>
      <c r="C303" s="438"/>
      <c r="D303" s="39"/>
      <c r="E303" s="994"/>
      <c r="F303" s="994"/>
      <c r="G303" s="994"/>
      <c r="H303" s="39"/>
      <c r="I303" s="39"/>
      <c r="J303" s="1"/>
      <c r="K303" s="39"/>
      <c r="L303" s="1245">
        <f>IF(L209&lt;&gt;0,L209/$F14*$H14/12,0)</f>
        <v>0</v>
      </c>
      <c r="M303" s="35"/>
      <c r="N303" s="21"/>
      <c r="O303" s="39"/>
      <c r="P303" s="1245">
        <f>IF(P209&lt;&gt;0,P209/$F14*$H14/12,0)</f>
        <v>0</v>
      </c>
      <c r="Q303" s="35"/>
      <c r="R303" s="21"/>
      <c r="S303" s="437"/>
      <c r="T303" s="1245">
        <f>IF(T209&lt;&gt;0,T209/$F14*$H14/12,0)</f>
        <v>0</v>
      </c>
      <c r="U303" s="35"/>
      <c r="V303" s="21"/>
      <c r="W303" s="437"/>
      <c r="X303" s="1245">
        <f>IF(X209&lt;&gt;0,X209/$F14*$H14/12,0)</f>
        <v>0</v>
      </c>
      <c r="Y303" s="35"/>
      <c r="Z303" s="21"/>
      <c r="AA303" s="940"/>
      <c r="AB303" s="1245">
        <f>IF(AB209&lt;&gt;0,AB209/$F14*$H14/12,0)</f>
        <v>0</v>
      </c>
      <c r="AC303" s="35"/>
      <c r="AD303" s="21"/>
      <c r="AE303" s="940"/>
      <c r="AF303" s="1245">
        <f>IF(AF209&lt;&gt;0,AF209/$F14*$H14/12,0)</f>
        <v>0</v>
      </c>
      <c r="AG303" s="35"/>
      <c r="AH303" s="21"/>
      <c r="AI303" s="1245"/>
      <c r="AJ303" s="35"/>
      <c r="AK303" s="21"/>
      <c r="AL303" s="972"/>
      <c r="AM303" s="940"/>
      <c r="AN303" s="438"/>
      <c r="AO303" s="438"/>
      <c r="AP303" s="438"/>
      <c r="AQ303" s="438"/>
      <c r="AR303" s="438"/>
      <c r="AS303" s="438"/>
      <c r="AT303" s="438"/>
      <c r="AU303" s="438"/>
      <c r="AV303" s="1245"/>
      <c r="AW303" s="35"/>
      <c r="AX303" s="21"/>
      <c r="AY303" s="1267"/>
      <c r="AZ303" s="1245"/>
      <c r="BA303" s="35"/>
      <c r="BB303" s="21"/>
      <c r="BC303" s="972"/>
      <c r="BD303" s="1245"/>
      <c r="BE303" s="35"/>
      <c r="BF303" s="21"/>
    </row>
    <row r="304" ht="6.0" customHeight="1">
      <c r="A304" s="1"/>
      <c r="B304" s="446"/>
      <c r="C304" s="446"/>
      <c r="D304" s="39"/>
      <c r="E304" s="994"/>
      <c r="F304" s="994"/>
      <c r="G304" s="994"/>
      <c r="H304" s="994"/>
      <c r="I304" s="39"/>
      <c r="J304" s="1"/>
      <c r="K304" s="39"/>
      <c r="L304" s="1247"/>
      <c r="M304" s="1247"/>
      <c r="N304" s="1247"/>
      <c r="O304" s="39"/>
      <c r="P304" s="1247"/>
      <c r="Q304" s="1247"/>
      <c r="R304" s="1247"/>
      <c r="S304" s="437"/>
      <c r="T304" s="1247"/>
      <c r="U304" s="1247"/>
      <c r="V304" s="1247"/>
      <c r="W304" s="437"/>
      <c r="X304" s="1247"/>
      <c r="Y304" s="1247"/>
      <c r="Z304" s="1247"/>
      <c r="AA304" s="940"/>
      <c r="AB304" s="1247"/>
      <c r="AC304" s="1247"/>
      <c r="AD304" s="1247"/>
      <c r="AE304" s="940"/>
      <c r="AF304" s="1247"/>
      <c r="AG304" s="1247"/>
      <c r="AH304" s="1247"/>
      <c r="AI304" s="437"/>
      <c r="AJ304" s="39"/>
      <c r="AK304" s="39"/>
      <c r="AL304" s="39"/>
      <c r="AM304" s="940"/>
      <c r="AN304" s="438"/>
      <c r="AO304" s="438"/>
      <c r="AP304" s="438"/>
      <c r="AQ304" s="438"/>
      <c r="AR304" s="438"/>
      <c r="AS304" s="438"/>
      <c r="AT304" s="438"/>
      <c r="AU304" s="438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</row>
    <row r="305" ht="14.25" customHeight="1">
      <c r="A305" s="1"/>
      <c r="B305" s="438" t="str">
        <f>B$16</f>
        <v/>
      </c>
      <c r="C305" s="438"/>
      <c r="D305" s="39"/>
      <c r="E305" s="994"/>
      <c r="F305" s="994"/>
      <c r="G305" s="994"/>
      <c r="H305" s="39"/>
      <c r="I305" s="39"/>
      <c r="J305" s="1"/>
      <c r="K305" s="39"/>
      <c r="L305" s="1245">
        <f>IF(L211&lt;&gt;0,L211/$F16*$H16/12,0)</f>
        <v>0</v>
      </c>
      <c r="M305" s="35"/>
      <c r="N305" s="21"/>
      <c r="O305" s="39"/>
      <c r="P305" s="1245">
        <f>IF(P211&lt;&gt;0,P211/$F16*$H16/12,0)</f>
        <v>0</v>
      </c>
      <c r="Q305" s="35"/>
      <c r="R305" s="21"/>
      <c r="S305" s="437"/>
      <c r="T305" s="1245">
        <f>IF(T211&lt;&gt;0,T211/$F16*$H16/12,0)</f>
        <v>0</v>
      </c>
      <c r="U305" s="35"/>
      <c r="V305" s="21"/>
      <c r="W305" s="437"/>
      <c r="X305" s="1245">
        <f>IF(X211&lt;&gt;0,X211/$F16*$H16/12,0)</f>
        <v>0</v>
      </c>
      <c r="Y305" s="35"/>
      <c r="Z305" s="21"/>
      <c r="AA305" s="940"/>
      <c r="AB305" s="1245">
        <f>IF(AB211&lt;&gt;0,AB211/$F16*$H16/12,0)</f>
        <v>0</v>
      </c>
      <c r="AC305" s="35"/>
      <c r="AD305" s="21"/>
      <c r="AE305" s="940"/>
      <c r="AF305" s="1245">
        <f>IF(AF211&lt;&gt;0,AF211/$F16*$H16/12,0)</f>
        <v>0</v>
      </c>
      <c r="AG305" s="35"/>
      <c r="AH305" s="21"/>
      <c r="AI305" s="437"/>
      <c r="AJ305" s="1245"/>
      <c r="AK305" s="35"/>
      <c r="AL305" s="21"/>
      <c r="AM305" s="940"/>
      <c r="AN305" s="438"/>
      <c r="AO305" s="438"/>
      <c r="AP305" s="438"/>
      <c r="AQ305" s="438"/>
      <c r="AR305" s="438"/>
      <c r="AS305" s="438"/>
      <c r="AT305" s="438"/>
      <c r="AU305" s="438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</row>
    <row r="306" ht="6.0" customHeight="1">
      <c r="A306" s="1"/>
      <c r="B306" s="438"/>
      <c r="C306" s="438"/>
      <c r="D306" s="39"/>
      <c r="E306" s="994"/>
      <c r="F306" s="994"/>
      <c r="G306" s="994"/>
      <c r="H306" s="994"/>
      <c r="I306" s="39"/>
      <c r="J306" s="1"/>
      <c r="K306" s="39"/>
      <c r="L306" s="1247"/>
      <c r="M306" s="1247"/>
      <c r="N306" s="1247"/>
      <c r="O306" s="39"/>
      <c r="P306" s="1247"/>
      <c r="Q306" s="1247"/>
      <c r="R306" s="1247"/>
      <c r="S306" s="437"/>
      <c r="T306" s="1247"/>
      <c r="U306" s="1247"/>
      <c r="V306" s="1247"/>
      <c r="W306" s="437"/>
      <c r="X306" s="1247"/>
      <c r="Y306" s="1247"/>
      <c r="Z306" s="1247"/>
      <c r="AA306" s="940"/>
      <c r="AB306" s="1247"/>
      <c r="AC306" s="1247"/>
      <c r="AD306" s="1247"/>
      <c r="AE306" s="940"/>
      <c r="AF306" s="1247"/>
      <c r="AG306" s="1247"/>
      <c r="AH306" s="1247"/>
      <c r="AI306" s="437"/>
      <c r="AJ306" s="1245"/>
      <c r="AK306" s="35"/>
      <c r="AL306" s="21"/>
      <c r="AM306" s="940"/>
      <c r="AN306" s="438"/>
      <c r="AO306" s="438"/>
      <c r="AP306" s="438"/>
      <c r="AQ306" s="438"/>
      <c r="AR306" s="438"/>
      <c r="AS306" s="438"/>
      <c r="AT306" s="438"/>
      <c r="AU306" s="438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</row>
    <row r="307" ht="14.25" customHeight="1">
      <c r="A307" s="1"/>
      <c r="B307" s="438" t="str">
        <f>B$18</f>
        <v/>
      </c>
      <c r="C307" s="438"/>
      <c r="D307" s="39"/>
      <c r="E307" s="994"/>
      <c r="F307" s="994"/>
      <c r="G307" s="994"/>
      <c r="H307" s="39"/>
      <c r="I307" s="39"/>
      <c r="J307" s="1"/>
      <c r="K307" s="39"/>
      <c r="L307" s="1245">
        <f>IF(L213&lt;&gt;0,L213/$F18*$H18/12,0)</f>
        <v>0</v>
      </c>
      <c r="M307" s="35"/>
      <c r="N307" s="21"/>
      <c r="O307" s="39"/>
      <c r="P307" s="1245">
        <f>IF(P213&lt;&gt;0,P213/$F18*$H18/12,0)</f>
        <v>0</v>
      </c>
      <c r="Q307" s="35"/>
      <c r="R307" s="21"/>
      <c r="S307" s="437"/>
      <c r="T307" s="1245">
        <f>IF(T213&lt;&gt;0,T213/$F18*$H18/12,0)</f>
        <v>0</v>
      </c>
      <c r="U307" s="35"/>
      <c r="V307" s="21"/>
      <c r="W307" s="437"/>
      <c r="X307" s="1245">
        <f>IF(X213&lt;&gt;0,X213/$F18*$H18/12,0)</f>
        <v>0</v>
      </c>
      <c r="Y307" s="35"/>
      <c r="Z307" s="21"/>
      <c r="AA307" s="940"/>
      <c r="AB307" s="1245">
        <f>IF(AB213&lt;&gt;0,AB213/$F18*$H18/12,0)</f>
        <v>0</v>
      </c>
      <c r="AC307" s="35"/>
      <c r="AD307" s="21"/>
      <c r="AE307" s="940"/>
      <c r="AF307" s="1245">
        <f>IF(AF213&lt;&gt;0,AF213/$F18*$H18/12,0)</f>
        <v>0</v>
      </c>
      <c r="AG307" s="35"/>
      <c r="AH307" s="21"/>
      <c r="AI307" s="437"/>
      <c r="AJ307" s="1245"/>
      <c r="AK307" s="35"/>
      <c r="AL307" s="21"/>
      <c r="AM307" s="940"/>
      <c r="AN307" s="438"/>
      <c r="AO307" s="438"/>
      <c r="AP307" s="438"/>
      <c r="AQ307" s="438"/>
      <c r="AR307" s="438"/>
      <c r="AS307" s="438"/>
      <c r="AT307" s="438"/>
      <c r="AU307" s="438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</row>
    <row r="308" ht="6.0" customHeight="1">
      <c r="A308" s="1"/>
      <c r="B308" s="438"/>
      <c r="C308" s="438"/>
      <c r="D308" s="39"/>
      <c r="E308" s="994"/>
      <c r="F308" s="994"/>
      <c r="G308" s="994"/>
      <c r="H308" s="994"/>
      <c r="I308" s="39"/>
      <c r="J308" s="1"/>
      <c r="K308" s="39"/>
      <c r="L308" s="1247"/>
      <c r="M308" s="1247"/>
      <c r="N308" s="1247"/>
      <c r="O308" s="39"/>
      <c r="P308" s="1247"/>
      <c r="Q308" s="1247"/>
      <c r="R308" s="1247"/>
      <c r="S308" s="437"/>
      <c r="T308" s="1247"/>
      <c r="U308" s="1247"/>
      <c r="V308" s="1247"/>
      <c r="W308" s="437"/>
      <c r="X308" s="1247"/>
      <c r="Y308" s="1247"/>
      <c r="Z308" s="1247"/>
      <c r="AA308" s="940"/>
      <c r="AB308" s="1247"/>
      <c r="AC308" s="1247"/>
      <c r="AD308" s="1247"/>
      <c r="AE308" s="940"/>
      <c r="AF308" s="1247"/>
      <c r="AG308" s="1247"/>
      <c r="AH308" s="1247"/>
      <c r="AI308" s="437"/>
      <c r="AJ308" s="1245"/>
      <c r="AK308" s="35"/>
      <c r="AL308" s="21"/>
      <c r="AM308" s="940"/>
      <c r="AN308" s="438"/>
      <c r="AO308" s="438"/>
      <c r="AP308" s="438"/>
      <c r="AQ308" s="438"/>
      <c r="AR308" s="438"/>
      <c r="AS308" s="438"/>
      <c r="AT308" s="438"/>
      <c r="AU308" s="438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</row>
    <row r="309" ht="14.25" customHeight="1">
      <c r="A309" s="1"/>
      <c r="B309" s="438" t="str">
        <f>B$20</f>
        <v/>
      </c>
      <c r="C309" s="438"/>
      <c r="D309" s="39"/>
      <c r="E309" s="994"/>
      <c r="F309" s="994"/>
      <c r="G309" s="994"/>
      <c r="H309" s="39"/>
      <c r="I309" s="39"/>
      <c r="J309" s="1"/>
      <c r="K309" s="39"/>
      <c r="L309" s="1245">
        <f>IF(L215&lt;&gt;0,L215/$F20*$H20/12,0)</f>
        <v>0</v>
      </c>
      <c r="M309" s="35"/>
      <c r="N309" s="21"/>
      <c r="O309" s="39"/>
      <c r="P309" s="1245">
        <f>IF(P215&lt;&gt;0,P215/$F20*$H20/12,0)</f>
        <v>0</v>
      </c>
      <c r="Q309" s="35"/>
      <c r="R309" s="21"/>
      <c r="S309" s="437"/>
      <c r="T309" s="1245">
        <f>IF(T215&lt;&gt;0,T215/$F20*$H20/12,0)</f>
        <v>0</v>
      </c>
      <c r="U309" s="35"/>
      <c r="V309" s="21"/>
      <c r="W309" s="437"/>
      <c r="X309" s="1245">
        <f>IF(X215&lt;&gt;0,X215/$F20*$H20/12,0)</f>
        <v>0</v>
      </c>
      <c r="Y309" s="35"/>
      <c r="Z309" s="21"/>
      <c r="AA309" s="940"/>
      <c r="AB309" s="1245">
        <f>IF(AB215&lt;&gt;0,AB215/$F20*$H20/12,0)</f>
        <v>0</v>
      </c>
      <c r="AC309" s="35"/>
      <c r="AD309" s="21"/>
      <c r="AE309" s="940"/>
      <c r="AF309" s="1245">
        <f>IF(AF215&lt;&gt;0,AF215/$F20*$H20/12,0)</f>
        <v>0</v>
      </c>
      <c r="AG309" s="35"/>
      <c r="AH309" s="21"/>
      <c r="AI309" s="437"/>
      <c r="AJ309" s="1245"/>
      <c r="AK309" s="35"/>
      <c r="AL309" s="21"/>
      <c r="AM309" s="940"/>
      <c r="AN309" s="438"/>
      <c r="AO309" s="438"/>
      <c r="AP309" s="438"/>
      <c r="AQ309" s="438"/>
      <c r="AR309" s="438"/>
      <c r="AS309" s="438"/>
      <c r="AT309" s="438"/>
      <c r="AU309" s="438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</row>
    <row r="310" ht="6.0" customHeight="1">
      <c r="A310" s="1"/>
      <c r="B310" s="438"/>
      <c r="C310" s="438"/>
      <c r="D310" s="39"/>
      <c r="E310" s="994"/>
      <c r="F310" s="994"/>
      <c r="G310" s="994"/>
      <c r="H310" s="994"/>
      <c r="I310" s="39"/>
      <c r="J310" s="1"/>
      <c r="K310" s="39"/>
      <c r="L310" s="1247"/>
      <c r="M310" s="1247"/>
      <c r="N310" s="1247"/>
      <c r="O310" s="39"/>
      <c r="P310" s="1247"/>
      <c r="Q310" s="1247"/>
      <c r="R310" s="1247"/>
      <c r="S310" s="437"/>
      <c r="T310" s="1247"/>
      <c r="U310" s="1247"/>
      <c r="V310" s="1247"/>
      <c r="W310" s="437"/>
      <c r="X310" s="1247"/>
      <c r="Y310" s="1247"/>
      <c r="Z310" s="1247"/>
      <c r="AA310" s="940"/>
      <c r="AB310" s="1247"/>
      <c r="AC310" s="1247"/>
      <c r="AD310" s="1247"/>
      <c r="AE310" s="940"/>
      <c r="AF310" s="1247"/>
      <c r="AG310" s="1247"/>
      <c r="AH310" s="1247"/>
      <c r="AI310" s="437"/>
      <c r="AJ310" s="1245"/>
      <c r="AK310" s="35"/>
      <c r="AL310" s="21"/>
      <c r="AM310" s="940"/>
      <c r="AN310" s="438"/>
      <c r="AO310" s="438"/>
      <c r="AP310" s="438"/>
      <c r="AQ310" s="438"/>
      <c r="AR310" s="438"/>
      <c r="AS310" s="438"/>
      <c r="AT310" s="438"/>
      <c r="AU310" s="438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</row>
    <row r="311" ht="14.25" customHeight="1">
      <c r="A311" s="1"/>
      <c r="B311" s="438" t="str">
        <f>B$22</f>
        <v/>
      </c>
      <c r="C311" s="438"/>
      <c r="D311" s="39"/>
      <c r="E311" s="994"/>
      <c r="F311" s="994"/>
      <c r="G311" s="994"/>
      <c r="H311" s="39"/>
      <c r="I311" s="39"/>
      <c r="J311" s="1"/>
      <c r="K311" s="39"/>
      <c r="L311" s="1245">
        <f>IF(L217&lt;&gt;0,L217/$F22*$H22/12,0)</f>
        <v>0</v>
      </c>
      <c r="M311" s="35"/>
      <c r="N311" s="21"/>
      <c r="O311" s="39"/>
      <c r="P311" s="1245">
        <f>IF(P217&lt;&gt;0,P217/$F22*$H22/12,0)</f>
        <v>0</v>
      </c>
      <c r="Q311" s="35"/>
      <c r="R311" s="21"/>
      <c r="S311" s="437"/>
      <c r="T311" s="1245">
        <f>IF(T217&lt;&gt;0,T217/$F22*$H22/12,0)</f>
        <v>0</v>
      </c>
      <c r="U311" s="35"/>
      <c r="V311" s="21"/>
      <c r="W311" s="437"/>
      <c r="X311" s="1245">
        <f>IF(X217&lt;&gt;0,X217/$F22*$H22/12,0)</f>
        <v>0</v>
      </c>
      <c r="Y311" s="35"/>
      <c r="Z311" s="21"/>
      <c r="AA311" s="940"/>
      <c r="AB311" s="1245">
        <f>IF(AB217&lt;&gt;0,AB217/$F22*$H22/12,0)</f>
        <v>0</v>
      </c>
      <c r="AC311" s="35"/>
      <c r="AD311" s="21"/>
      <c r="AE311" s="940"/>
      <c r="AF311" s="1245">
        <f>IF(AF217&lt;&gt;0,AF217/$F22*$H22/12,0)</f>
        <v>0</v>
      </c>
      <c r="AG311" s="35"/>
      <c r="AH311" s="21"/>
      <c r="AI311" s="437"/>
      <c r="AJ311" s="1245"/>
      <c r="AK311" s="35"/>
      <c r="AL311" s="21"/>
      <c r="AM311" s="940"/>
      <c r="AN311" s="438"/>
      <c r="AO311" s="438"/>
      <c r="AP311" s="438"/>
      <c r="AQ311" s="438"/>
      <c r="AR311" s="438"/>
      <c r="AS311" s="438"/>
      <c r="AT311" s="438"/>
      <c r="AU311" s="438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</row>
    <row r="312" ht="6.0" customHeight="1">
      <c r="A312" s="1"/>
      <c r="B312" s="438"/>
      <c r="C312" s="438"/>
      <c r="D312" s="39"/>
      <c r="E312" s="994"/>
      <c r="F312" s="994"/>
      <c r="G312" s="994"/>
      <c r="H312" s="994"/>
      <c r="I312" s="39"/>
      <c r="J312" s="1"/>
      <c r="K312" s="39"/>
      <c r="L312" s="1247"/>
      <c r="M312" s="1247"/>
      <c r="N312" s="1247"/>
      <c r="O312" s="39"/>
      <c r="P312" s="1247"/>
      <c r="Q312" s="1247"/>
      <c r="R312" s="1247"/>
      <c r="S312" s="437"/>
      <c r="T312" s="1247"/>
      <c r="U312" s="1247"/>
      <c r="V312" s="1247"/>
      <c r="W312" s="437"/>
      <c r="X312" s="1247"/>
      <c r="Y312" s="1247"/>
      <c r="Z312" s="1247"/>
      <c r="AA312" s="940"/>
      <c r="AB312" s="1247"/>
      <c r="AC312" s="1247"/>
      <c r="AD312" s="1247"/>
      <c r="AE312" s="940"/>
      <c r="AF312" s="1247"/>
      <c r="AG312" s="1247"/>
      <c r="AH312" s="1247"/>
      <c r="AI312" s="437"/>
      <c r="AJ312" s="1245"/>
      <c r="AK312" s="35"/>
      <c r="AL312" s="21"/>
      <c r="AM312" s="940"/>
      <c r="AN312" s="438"/>
      <c r="AO312" s="438"/>
      <c r="AP312" s="438"/>
      <c r="AQ312" s="438"/>
      <c r="AR312" s="438"/>
      <c r="AS312" s="438"/>
      <c r="AT312" s="438"/>
      <c r="AU312" s="438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</row>
    <row r="313" ht="14.25" customHeight="1">
      <c r="A313" s="1"/>
      <c r="B313" s="438" t="str">
        <f>B$24</f>
        <v/>
      </c>
      <c r="C313" s="438"/>
      <c r="D313" s="39"/>
      <c r="E313" s="994"/>
      <c r="F313" s="994"/>
      <c r="G313" s="994"/>
      <c r="H313" s="39"/>
      <c r="I313" s="39"/>
      <c r="J313" s="1"/>
      <c r="K313" s="39"/>
      <c r="L313" s="1245">
        <f>IF(L219&lt;&gt;0,L219/$F24*$H24/12,0)</f>
        <v>0</v>
      </c>
      <c r="M313" s="35"/>
      <c r="N313" s="21"/>
      <c r="O313" s="39"/>
      <c r="P313" s="1245">
        <f>IF(P219&lt;&gt;0,P219/$F24*$H24/12,0)</f>
        <v>0</v>
      </c>
      <c r="Q313" s="35"/>
      <c r="R313" s="21"/>
      <c r="S313" s="437"/>
      <c r="T313" s="1245">
        <f>IF(T219&lt;&gt;0,T219/$F24*$H24/12,0)</f>
        <v>0</v>
      </c>
      <c r="U313" s="35"/>
      <c r="V313" s="21"/>
      <c r="W313" s="437"/>
      <c r="X313" s="1245">
        <f>IF(X219&lt;&gt;0,X219/$F24*$H24/12,0)</f>
        <v>0</v>
      </c>
      <c r="Y313" s="35"/>
      <c r="Z313" s="21"/>
      <c r="AA313" s="940"/>
      <c r="AB313" s="1245">
        <f>IF(AB219&lt;&gt;0,AB219/$F24*$H24/12,0)</f>
        <v>0</v>
      </c>
      <c r="AC313" s="35"/>
      <c r="AD313" s="21"/>
      <c r="AE313" s="940"/>
      <c r="AF313" s="1245">
        <f>IF(AF219&lt;&gt;0,AF219/$F24*$H24/12,0)</f>
        <v>0</v>
      </c>
      <c r="AG313" s="35"/>
      <c r="AH313" s="21"/>
      <c r="AI313" s="437"/>
      <c r="AJ313" s="1245"/>
      <c r="AK313" s="35"/>
      <c r="AL313" s="21"/>
      <c r="AM313" s="940"/>
      <c r="AN313" s="438"/>
      <c r="AO313" s="438"/>
      <c r="AP313" s="438"/>
      <c r="AQ313" s="438"/>
      <c r="AR313" s="438"/>
      <c r="AS313" s="438"/>
      <c r="AT313" s="438"/>
      <c r="AU313" s="438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</row>
    <row r="314" ht="6.0" customHeight="1">
      <c r="A314" s="1"/>
      <c r="B314" s="438"/>
      <c r="C314" s="438"/>
      <c r="D314" s="39"/>
      <c r="E314" s="994"/>
      <c r="F314" s="994"/>
      <c r="G314" s="994"/>
      <c r="H314" s="994"/>
      <c r="I314" s="39"/>
      <c r="J314" s="1"/>
      <c r="K314" s="39"/>
      <c r="L314" s="1247"/>
      <c r="M314" s="1247"/>
      <c r="N314" s="1247"/>
      <c r="O314" s="39"/>
      <c r="P314" s="1247"/>
      <c r="Q314" s="1247"/>
      <c r="R314" s="1247"/>
      <c r="S314" s="437"/>
      <c r="T314" s="1247"/>
      <c r="U314" s="1247"/>
      <c r="V314" s="1247"/>
      <c r="W314" s="437"/>
      <c r="X314" s="1247"/>
      <c r="Y314" s="1247"/>
      <c r="Z314" s="1247"/>
      <c r="AA314" s="940"/>
      <c r="AB314" s="1247"/>
      <c r="AC314" s="1247"/>
      <c r="AD314" s="1247"/>
      <c r="AE314" s="940"/>
      <c r="AF314" s="1247"/>
      <c r="AG314" s="1247"/>
      <c r="AH314" s="1247"/>
      <c r="AI314" s="437"/>
      <c r="AJ314" s="1245"/>
      <c r="AK314" s="35"/>
      <c r="AL314" s="21"/>
      <c r="AM314" s="940"/>
      <c r="AN314" s="438"/>
      <c r="AO314" s="438"/>
      <c r="AP314" s="438"/>
      <c r="AQ314" s="438"/>
      <c r="AR314" s="438"/>
      <c r="AS314" s="438"/>
      <c r="AT314" s="438"/>
      <c r="AU314" s="438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</row>
    <row r="315" ht="14.25" customHeight="1">
      <c r="A315" s="1"/>
      <c r="B315" s="438" t="str">
        <f>B$26</f>
        <v/>
      </c>
      <c r="C315" s="438"/>
      <c r="D315" s="39"/>
      <c r="E315" s="994"/>
      <c r="F315" s="994"/>
      <c r="G315" s="994"/>
      <c r="H315" s="39"/>
      <c r="I315" s="39"/>
      <c r="J315" s="1"/>
      <c r="K315" s="39"/>
      <c r="L315" s="1245">
        <f>IF(L221&lt;&gt;0,L221/$F26*$H26/12,0)</f>
        <v>0</v>
      </c>
      <c r="M315" s="35"/>
      <c r="N315" s="21"/>
      <c r="O315" s="39"/>
      <c r="P315" s="1245">
        <f>IF(P221&lt;&gt;0,P221/$F26*$H26/12,0)</f>
        <v>0</v>
      </c>
      <c r="Q315" s="35"/>
      <c r="R315" s="21"/>
      <c r="S315" s="437"/>
      <c r="T315" s="1245">
        <f>IF(T221&lt;&gt;0,T221/$F26*$H26/12,0)</f>
        <v>0</v>
      </c>
      <c r="U315" s="35"/>
      <c r="V315" s="21"/>
      <c r="W315" s="437"/>
      <c r="X315" s="1245">
        <f>IF(X221&lt;&gt;0,X221/$F26*$H26/12,0)</f>
        <v>0</v>
      </c>
      <c r="Y315" s="35"/>
      <c r="Z315" s="21"/>
      <c r="AA315" s="940"/>
      <c r="AB315" s="1245">
        <f>IF(AB221&lt;&gt;0,AB221/$F26*$H26/12,0)</f>
        <v>0</v>
      </c>
      <c r="AC315" s="35"/>
      <c r="AD315" s="21"/>
      <c r="AE315" s="940"/>
      <c r="AF315" s="1245">
        <f>IF(AF221&lt;&gt;0,AF221/$F26*$H26/12,0)</f>
        <v>0</v>
      </c>
      <c r="AG315" s="35"/>
      <c r="AH315" s="21"/>
      <c r="AI315" s="437"/>
      <c r="AJ315" s="1245"/>
      <c r="AK315" s="35"/>
      <c r="AL315" s="21"/>
      <c r="AM315" s="940"/>
      <c r="AN315" s="438"/>
      <c r="AO315" s="438"/>
      <c r="AP315" s="438"/>
      <c r="AQ315" s="438"/>
      <c r="AR315" s="438"/>
      <c r="AS315" s="438"/>
      <c r="AT315" s="438"/>
      <c r="AU315" s="438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</row>
    <row r="316" ht="6.0" customHeight="1">
      <c r="A316" s="1"/>
      <c r="B316" s="438"/>
      <c r="C316" s="438"/>
      <c r="D316" s="39"/>
      <c r="E316" s="994"/>
      <c r="F316" s="994"/>
      <c r="G316" s="994"/>
      <c r="H316" s="994"/>
      <c r="I316" s="39"/>
      <c r="J316" s="1"/>
      <c r="K316" s="39"/>
      <c r="L316" s="1247"/>
      <c r="M316" s="1247"/>
      <c r="N316" s="1247"/>
      <c r="O316" s="39"/>
      <c r="P316" s="1247"/>
      <c r="Q316" s="1247"/>
      <c r="R316" s="1247"/>
      <c r="S316" s="437"/>
      <c r="T316" s="1247"/>
      <c r="U316" s="1247"/>
      <c r="V316" s="1247"/>
      <c r="W316" s="437"/>
      <c r="X316" s="1247"/>
      <c r="Y316" s="1247"/>
      <c r="Z316" s="1247"/>
      <c r="AA316" s="940"/>
      <c r="AB316" s="1247"/>
      <c r="AC316" s="1247"/>
      <c r="AD316" s="1247"/>
      <c r="AE316" s="940"/>
      <c r="AF316" s="1247"/>
      <c r="AG316" s="1247"/>
      <c r="AH316" s="1247"/>
      <c r="AI316" s="437"/>
      <c r="AJ316" s="1245"/>
      <c r="AK316" s="35"/>
      <c r="AL316" s="21"/>
      <c r="AM316" s="940"/>
      <c r="AN316" s="438"/>
      <c r="AO316" s="438"/>
      <c r="AP316" s="438"/>
      <c r="AQ316" s="438"/>
      <c r="AR316" s="438"/>
      <c r="AS316" s="438"/>
      <c r="AT316" s="438"/>
      <c r="AU316" s="438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</row>
    <row r="317" ht="14.25" customHeight="1">
      <c r="A317" s="1"/>
      <c r="B317" s="438" t="str">
        <f>B$28</f>
        <v/>
      </c>
      <c r="C317" s="438"/>
      <c r="D317" s="39"/>
      <c r="E317" s="994"/>
      <c r="F317" s="994"/>
      <c r="G317" s="994"/>
      <c r="H317" s="39"/>
      <c r="I317" s="39"/>
      <c r="J317" s="1"/>
      <c r="K317" s="39"/>
      <c r="L317" s="1245">
        <f>IF(L223&lt;&gt;0,L223/$F28*$H28/12,0)</f>
        <v>0</v>
      </c>
      <c r="M317" s="35"/>
      <c r="N317" s="21"/>
      <c r="O317" s="39"/>
      <c r="P317" s="1245">
        <f>IF(P223&lt;&gt;0,P223/$F28*$H28/12,0)</f>
        <v>0</v>
      </c>
      <c r="Q317" s="35"/>
      <c r="R317" s="21"/>
      <c r="S317" s="437"/>
      <c r="T317" s="1245">
        <f>IF(T223&lt;&gt;0,T223/$F28*$H28/12,0)</f>
        <v>0</v>
      </c>
      <c r="U317" s="35"/>
      <c r="V317" s="21"/>
      <c r="W317" s="437"/>
      <c r="X317" s="1245">
        <f>IF(X223&lt;&gt;0,X223/$F28*$H28/12,0)</f>
        <v>0</v>
      </c>
      <c r="Y317" s="35"/>
      <c r="Z317" s="21"/>
      <c r="AA317" s="940"/>
      <c r="AB317" s="1245">
        <f>IF(AB223&lt;&gt;0,AB223/$F28*$H28/12,0)</f>
        <v>0</v>
      </c>
      <c r="AC317" s="35"/>
      <c r="AD317" s="21"/>
      <c r="AE317" s="940"/>
      <c r="AF317" s="1245">
        <f>IF(AF223&lt;&gt;0,AF223/$F28*$H28/12,0)</f>
        <v>0</v>
      </c>
      <c r="AG317" s="35"/>
      <c r="AH317" s="21"/>
      <c r="AI317" s="437"/>
      <c r="AJ317" s="1245"/>
      <c r="AK317" s="35"/>
      <c r="AL317" s="21"/>
      <c r="AM317" s="940"/>
      <c r="AN317" s="438"/>
      <c r="AO317" s="438"/>
      <c r="AP317" s="438"/>
      <c r="AQ317" s="438"/>
      <c r="AR317" s="438"/>
      <c r="AS317" s="438"/>
      <c r="AT317" s="438"/>
      <c r="AU317" s="438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</row>
    <row r="318" ht="6.0" customHeight="1">
      <c r="A318" s="1"/>
      <c r="B318" s="438"/>
      <c r="C318" s="438"/>
      <c r="D318" s="39"/>
      <c r="E318" s="994"/>
      <c r="F318" s="994"/>
      <c r="G318" s="994"/>
      <c r="H318" s="994"/>
      <c r="I318" s="39"/>
      <c r="J318" s="1"/>
      <c r="K318" s="39"/>
      <c r="L318" s="1247"/>
      <c r="M318" s="1247"/>
      <c r="N318" s="1247"/>
      <c r="O318" s="39"/>
      <c r="P318" s="1247"/>
      <c r="Q318" s="1247"/>
      <c r="R318" s="1247"/>
      <c r="S318" s="437"/>
      <c r="T318" s="1247"/>
      <c r="U318" s="1247"/>
      <c r="V318" s="1247"/>
      <c r="W318" s="437"/>
      <c r="X318" s="1247"/>
      <c r="Y318" s="1247"/>
      <c r="Z318" s="1247"/>
      <c r="AA318" s="940"/>
      <c r="AB318" s="1247"/>
      <c r="AC318" s="1247"/>
      <c r="AD318" s="1247"/>
      <c r="AE318" s="940"/>
      <c r="AF318" s="1247"/>
      <c r="AG318" s="1247"/>
      <c r="AH318" s="1247"/>
      <c r="AI318" s="437"/>
      <c r="AJ318" s="1245"/>
      <c r="AK318" s="35"/>
      <c r="AL318" s="21"/>
      <c r="AM318" s="940"/>
      <c r="AN318" s="438"/>
      <c r="AO318" s="438"/>
      <c r="AP318" s="438"/>
      <c r="AQ318" s="438"/>
      <c r="AR318" s="438"/>
      <c r="AS318" s="438"/>
      <c r="AT318" s="438"/>
      <c r="AU318" s="438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</row>
    <row r="319" ht="14.25" customHeight="1">
      <c r="A319" s="1"/>
      <c r="B319" s="438" t="str">
        <f>B$30</f>
        <v/>
      </c>
      <c r="C319" s="438"/>
      <c r="D319" s="39"/>
      <c r="E319" s="994"/>
      <c r="F319" s="994"/>
      <c r="G319" s="994"/>
      <c r="H319" s="39"/>
      <c r="I319" s="39"/>
      <c r="J319" s="1"/>
      <c r="K319" s="39"/>
      <c r="L319" s="1245">
        <f>IF(L225&lt;&gt;0,L225/$F30*$H30/12,0)</f>
        <v>0</v>
      </c>
      <c r="M319" s="35"/>
      <c r="N319" s="21"/>
      <c r="O319" s="39"/>
      <c r="P319" s="1245">
        <f>IF(P225&lt;&gt;0,P225/$F30*$H30/12,0)</f>
        <v>0</v>
      </c>
      <c r="Q319" s="35"/>
      <c r="R319" s="21"/>
      <c r="S319" s="437"/>
      <c r="T319" s="1245">
        <f>IF(T225&lt;&gt;0,T225/$F30*$H30/12,0)</f>
        <v>0</v>
      </c>
      <c r="U319" s="35"/>
      <c r="V319" s="21"/>
      <c r="W319" s="437"/>
      <c r="X319" s="1245">
        <f>IF(X225&lt;&gt;0,X225/$F30*$H30/12,0)</f>
        <v>0</v>
      </c>
      <c r="Y319" s="35"/>
      <c r="Z319" s="21"/>
      <c r="AA319" s="940"/>
      <c r="AB319" s="1245">
        <f>IF(AB225&lt;&gt;0,AB225/$F30*$H30/12,0)</f>
        <v>0</v>
      </c>
      <c r="AC319" s="35"/>
      <c r="AD319" s="21"/>
      <c r="AE319" s="940"/>
      <c r="AF319" s="1245">
        <f>IF(AF225&lt;&gt;0,AF225/$F30*$H30/12,0)</f>
        <v>0</v>
      </c>
      <c r="AG319" s="35"/>
      <c r="AH319" s="21"/>
      <c r="AI319" s="437"/>
      <c r="AJ319" s="1245"/>
      <c r="AK319" s="35"/>
      <c r="AL319" s="21"/>
      <c r="AM319" s="940"/>
      <c r="AN319" s="438"/>
      <c r="AO319" s="438"/>
      <c r="AP319" s="438"/>
      <c r="AQ319" s="438"/>
      <c r="AR319" s="438"/>
      <c r="AS319" s="438"/>
      <c r="AT319" s="438"/>
      <c r="AU319" s="438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</row>
    <row r="320" ht="6.0" customHeight="1">
      <c r="A320" s="1"/>
      <c r="B320" s="438"/>
      <c r="C320" s="438"/>
      <c r="D320" s="39"/>
      <c r="E320" s="994"/>
      <c r="F320" s="994"/>
      <c r="G320" s="994"/>
      <c r="H320" s="994"/>
      <c r="I320" s="39"/>
      <c r="J320" s="1"/>
      <c r="K320" s="39"/>
      <c r="L320" s="1247"/>
      <c r="M320" s="1247"/>
      <c r="N320" s="1247"/>
      <c r="O320" s="39"/>
      <c r="P320" s="1247"/>
      <c r="Q320" s="1247"/>
      <c r="R320" s="1247"/>
      <c r="S320" s="437"/>
      <c r="T320" s="1247"/>
      <c r="U320" s="1247"/>
      <c r="V320" s="1247"/>
      <c r="W320" s="437"/>
      <c r="X320" s="1247"/>
      <c r="Y320" s="1247"/>
      <c r="Z320" s="1247"/>
      <c r="AA320" s="940"/>
      <c r="AB320" s="1247"/>
      <c r="AC320" s="1247"/>
      <c r="AD320" s="1247"/>
      <c r="AE320" s="940"/>
      <c r="AF320" s="1247"/>
      <c r="AG320" s="1247"/>
      <c r="AH320" s="1247"/>
      <c r="AI320" s="437"/>
      <c r="AJ320" s="1245"/>
      <c r="AK320" s="35"/>
      <c r="AL320" s="21"/>
      <c r="AM320" s="940"/>
      <c r="AN320" s="438"/>
      <c r="AO320" s="438"/>
      <c r="AP320" s="438"/>
      <c r="AQ320" s="438"/>
      <c r="AR320" s="438"/>
      <c r="AS320" s="438"/>
      <c r="AT320" s="438"/>
      <c r="AU320" s="438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</row>
    <row r="321" ht="14.25" customHeight="1">
      <c r="A321" s="1"/>
      <c r="B321" s="438" t="str">
        <f>B$32</f>
        <v/>
      </c>
      <c r="C321" s="438"/>
      <c r="D321" s="39"/>
      <c r="E321" s="994"/>
      <c r="F321" s="994"/>
      <c r="G321" s="994"/>
      <c r="H321" s="39"/>
      <c r="I321" s="39"/>
      <c r="J321" s="1"/>
      <c r="K321" s="39"/>
      <c r="L321" s="1245">
        <f>IF(L227&lt;&gt;0,L227/$F32*$H32/12,0)</f>
        <v>0</v>
      </c>
      <c r="M321" s="35"/>
      <c r="N321" s="21"/>
      <c r="O321" s="39"/>
      <c r="P321" s="1245">
        <f>IF(P227&lt;&gt;0,P227/$F32*$H32/12,0)</f>
        <v>0</v>
      </c>
      <c r="Q321" s="35"/>
      <c r="R321" s="21"/>
      <c r="S321" s="437"/>
      <c r="T321" s="1245">
        <f>IF(T227&lt;&gt;0,T227/$F32*$H32/12,0)</f>
        <v>0</v>
      </c>
      <c r="U321" s="35"/>
      <c r="V321" s="21"/>
      <c r="W321" s="437"/>
      <c r="X321" s="1245">
        <f>IF(X227&lt;&gt;0,X227/$F32*$H32/12,0)</f>
        <v>0</v>
      </c>
      <c r="Y321" s="35"/>
      <c r="Z321" s="21"/>
      <c r="AA321" s="940"/>
      <c r="AB321" s="1245">
        <f>IF(AB227&lt;&gt;0,AB227/$F32*$H32/12,0)</f>
        <v>0</v>
      </c>
      <c r="AC321" s="35"/>
      <c r="AD321" s="21"/>
      <c r="AE321" s="940"/>
      <c r="AF321" s="1245">
        <f>IF(AF227&lt;&gt;0,AF227/$F32*$H32/12,0)</f>
        <v>0</v>
      </c>
      <c r="AG321" s="35"/>
      <c r="AH321" s="21"/>
      <c r="AI321" s="437"/>
      <c r="AJ321" s="1245"/>
      <c r="AK321" s="35"/>
      <c r="AL321" s="21"/>
      <c r="AM321" s="940"/>
      <c r="AN321" s="438"/>
      <c r="AO321" s="438"/>
      <c r="AP321" s="438"/>
      <c r="AQ321" s="438"/>
      <c r="AR321" s="438"/>
      <c r="AS321" s="438"/>
      <c r="AT321" s="438"/>
      <c r="AU321" s="438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</row>
    <row r="322" ht="6.0" customHeight="1">
      <c r="A322" s="1"/>
      <c r="B322" s="438"/>
      <c r="C322" s="438"/>
      <c r="D322" s="39"/>
      <c r="E322" s="994"/>
      <c r="F322" s="994"/>
      <c r="G322" s="994"/>
      <c r="H322" s="994"/>
      <c r="I322" s="39"/>
      <c r="J322" s="1"/>
      <c r="K322" s="39"/>
      <c r="L322" s="1247"/>
      <c r="M322" s="1247"/>
      <c r="N322" s="1247"/>
      <c r="O322" s="39"/>
      <c r="P322" s="1247"/>
      <c r="Q322" s="1247"/>
      <c r="R322" s="1247"/>
      <c r="S322" s="437"/>
      <c r="T322" s="1247"/>
      <c r="U322" s="1247"/>
      <c r="V322" s="1247"/>
      <c r="W322" s="437"/>
      <c r="X322" s="1247"/>
      <c r="Y322" s="1247"/>
      <c r="Z322" s="1247"/>
      <c r="AA322" s="940"/>
      <c r="AB322" s="1247"/>
      <c r="AC322" s="1247"/>
      <c r="AD322" s="1247"/>
      <c r="AE322" s="940"/>
      <c r="AF322" s="1247"/>
      <c r="AG322" s="1247"/>
      <c r="AH322" s="1247"/>
      <c r="AI322" s="437"/>
      <c r="AJ322" s="1245"/>
      <c r="AK322" s="35"/>
      <c r="AL322" s="21"/>
      <c r="AM322" s="940"/>
      <c r="AN322" s="438"/>
      <c r="AO322" s="438"/>
      <c r="AP322" s="438"/>
      <c r="AQ322" s="438"/>
      <c r="AR322" s="438"/>
      <c r="AS322" s="438"/>
      <c r="AT322" s="438"/>
      <c r="AU322" s="438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</row>
    <row r="323" ht="14.25" customHeight="1">
      <c r="A323" s="1"/>
      <c r="B323" s="438" t="str">
        <f>B$34</f>
        <v/>
      </c>
      <c r="C323" s="438"/>
      <c r="D323" s="39"/>
      <c r="E323" s="994"/>
      <c r="F323" s="994"/>
      <c r="G323" s="994"/>
      <c r="H323" s="39"/>
      <c r="I323" s="39"/>
      <c r="J323" s="1"/>
      <c r="K323" s="39"/>
      <c r="L323" s="1245">
        <f>IF(L229&lt;&gt;0,L229/$F34*$H34/12,0)</f>
        <v>0</v>
      </c>
      <c r="M323" s="35"/>
      <c r="N323" s="21"/>
      <c r="O323" s="39"/>
      <c r="P323" s="1245">
        <f>IF(P229&lt;&gt;0,P229/$F34*$H34/12,0)</f>
        <v>0</v>
      </c>
      <c r="Q323" s="35"/>
      <c r="R323" s="21"/>
      <c r="S323" s="437"/>
      <c r="T323" s="1245">
        <f>IF(T229&lt;&gt;0,T229/$F34*$H34/12,0)</f>
        <v>0</v>
      </c>
      <c r="U323" s="35"/>
      <c r="V323" s="21"/>
      <c r="W323" s="437"/>
      <c r="X323" s="1245">
        <f>IF(X229&lt;&gt;0,X229/$F34*$H34/12,0)</f>
        <v>0</v>
      </c>
      <c r="Y323" s="35"/>
      <c r="Z323" s="21"/>
      <c r="AA323" s="940"/>
      <c r="AB323" s="1245">
        <f>IF(AB229&lt;&gt;0,AB229/$F34*$H34/12,0)</f>
        <v>0</v>
      </c>
      <c r="AC323" s="35"/>
      <c r="AD323" s="21"/>
      <c r="AE323" s="940"/>
      <c r="AF323" s="1245">
        <f>IF(AF229&lt;&gt;0,AF229/$F34*$H34/12,0)</f>
        <v>0</v>
      </c>
      <c r="AG323" s="35"/>
      <c r="AH323" s="21"/>
      <c r="AI323" s="437"/>
      <c r="AJ323" s="1245"/>
      <c r="AK323" s="35"/>
      <c r="AL323" s="21"/>
      <c r="AM323" s="940"/>
      <c r="AN323" s="438"/>
      <c r="AO323" s="438"/>
      <c r="AP323" s="438"/>
      <c r="AQ323" s="438"/>
      <c r="AR323" s="438"/>
      <c r="AS323" s="438"/>
      <c r="AT323" s="438"/>
      <c r="AU323" s="438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</row>
    <row r="324" ht="6.0" customHeight="1">
      <c r="A324" s="1"/>
      <c r="B324" s="438"/>
      <c r="C324" s="438"/>
      <c r="D324" s="39"/>
      <c r="E324" s="994"/>
      <c r="F324" s="994"/>
      <c r="G324" s="994"/>
      <c r="H324" s="994"/>
      <c r="I324" s="39"/>
      <c r="J324" s="1"/>
      <c r="K324" s="39"/>
      <c r="L324" s="1247"/>
      <c r="M324" s="1247"/>
      <c r="N324" s="1247"/>
      <c r="O324" s="39"/>
      <c r="P324" s="1247"/>
      <c r="Q324" s="1247"/>
      <c r="R324" s="1247"/>
      <c r="S324" s="437"/>
      <c r="T324" s="1247"/>
      <c r="U324" s="1247"/>
      <c r="V324" s="1247"/>
      <c r="W324" s="437"/>
      <c r="X324" s="1247"/>
      <c r="Y324" s="1247"/>
      <c r="Z324" s="1247"/>
      <c r="AA324" s="940"/>
      <c r="AB324" s="1247"/>
      <c r="AC324" s="1247"/>
      <c r="AD324" s="1247"/>
      <c r="AE324" s="940"/>
      <c r="AF324" s="1247"/>
      <c r="AG324" s="1247"/>
      <c r="AH324" s="1247"/>
      <c r="AI324" s="437"/>
      <c r="AJ324" s="1245"/>
      <c r="AK324" s="35"/>
      <c r="AL324" s="21"/>
      <c r="AM324" s="940"/>
      <c r="AN324" s="438"/>
      <c r="AO324" s="438"/>
      <c r="AP324" s="438"/>
      <c r="AQ324" s="438"/>
      <c r="AR324" s="438"/>
      <c r="AS324" s="438"/>
      <c r="AT324" s="438"/>
      <c r="AU324" s="438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</row>
    <row r="325" ht="14.25" customHeight="1">
      <c r="A325" s="1"/>
      <c r="B325" s="438" t="str">
        <f>B$36</f>
        <v/>
      </c>
      <c r="C325" s="438"/>
      <c r="D325" s="39"/>
      <c r="E325" s="994"/>
      <c r="F325" s="994"/>
      <c r="G325" s="994"/>
      <c r="H325" s="39"/>
      <c r="I325" s="39"/>
      <c r="J325" s="1"/>
      <c r="K325" s="39"/>
      <c r="L325" s="1245">
        <f>IF(L231&lt;&gt;0,L231/$F36*$H36/12,0)</f>
        <v>0</v>
      </c>
      <c r="M325" s="35"/>
      <c r="N325" s="21"/>
      <c r="O325" s="39"/>
      <c r="P325" s="1245">
        <f>IF(P231&lt;&gt;0,P231/$F36*$H36/12,0)</f>
        <v>0</v>
      </c>
      <c r="Q325" s="35"/>
      <c r="R325" s="21"/>
      <c r="S325" s="437"/>
      <c r="T325" s="1245">
        <f>IF(T231&lt;&gt;0,T231/$F36*$H36/12,0)</f>
        <v>0</v>
      </c>
      <c r="U325" s="35"/>
      <c r="V325" s="21"/>
      <c r="W325" s="437"/>
      <c r="X325" s="1245">
        <f>IF(X231&lt;&gt;0,X231/$F36*$H36/12,0)</f>
        <v>0</v>
      </c>
      <c r="Y325" s="35"/>
      <c r="Z325" s="21"/>
      <c r="AA325" s="940"/>
      <c r="AB325" s="1245">
        <f>IF(AB231&lt;&gt;0,AB231/$F36*$H36/12,0)</f>
        <v>0</v>
      </c>
      <c r="AC325" s="35"/>
      <c r="AD325" s="21"/>
      <c r="AE325" s="940"/>
      <c r="AF325" s="1245">
        <f>IF(AF231&lt;&gt;0,AF231/$F36*$H36/12,0)</f>
        <v>0</v>
      </c>
      <c r="AG325" s="35"/>
      <c r="AH325" s="21"/>
      <c r="AI325" s="437"/>
      <c r="AJ325" s="1245"/>
      <c r="AK325" s="35"/>
      <c r="AL325" s="21"/>
      <c r="AM325" s="940"/>
      <c r="AN325" s="438"/>
      <c r="AO325" s="438"/>
      <c r="AP325" s="438"/>
      <c r="AQ325" s="438"/>
      <c r="AR325" s="438"/>
      <c r="AS325" s="438"/>
      <c r="AT325" s="438"/>
      <c r="AU325" s="438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</row>
    <row r="326" ht="6.0" customHeight="1">
      <c r="A326" s="1"/>
      <c r="B326" s="438"/>
      <c r="C326" s="438"/>
      <c r="D326" s="39"/>
      <c r="E326" s="994"/>
      <c r="F326" s="994"/>
      <c r="G326" s="994"/>
      <c r="H326" s="994"/>
      <c r="I326" s="39"/>
      <c r="J326" s="1"/>
      <c r="K326" s="39"/>
      <c r="L326" s="1247"/>
      <c r="M326" s="1247"/>
      <c r="N326" s="1247"/>
      <c r="O326" s="39"/>
      <c r="P326" s="1247"/>
      <c r="Q326" s="1247"/>
      <c r="R326" s="1247"/>
      <c r="S326" s="437"/>
      <c r="T326" s="1247"/>
      <c r="U326" s="1247"/>
      <c r="V326" s="1247"/>
      <c r="W326" s="437"/>
      <c r="X326" s="1247"/>
      <c r="Y326" s="1247"/>
      <c r="Z326" s="1247"/>
      <c r="AA326" s="940"/>
      <c r="AB326" s="1247"/>
      <c r="AC326" s="1247"/>
      <c r="AD326" s="1247"/>
      <c r="AE326" s="940"/>
      <c r="AF326" s="1247"/>
      <c r="AG326" s="1247"/>
      <c r="AH326" s="1247"/>
      <c r="AI326" s="437"/>
      <c r="AJ326" s="1245"/>
      <c r="AK326" s="35"/>
      <c r="AL326" s="21"/>
      <c r="AM326" s="940"/>
      <c r="AN326" s="438"/>
      <c r="AO326" s="438"/>
      <c r="AP326" s="438"/>
      <c r="AQ326" s="438"/>
      <c r="AR326" s="438"/>
      <c r="AS326" s="438"/>
      <c r="AT326" s="438"/>
      <c r="AU326" s="438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</row>
    <row r="327" ht="14.25" customHeight="1">
      <c r="A327" s="1"/>
      <c r="B327" s="438" t="str">
        <f>B$38</f>
        <v/>
      </c>
      <c r="C327" s="438"/>
      <c r="D327" s="39"/>
      <c r="E327" s="994"/>
      <c r="F327" s="994"/>
      <c r="G327" s="994"/>
      <c r="H327" s="39"/>
      <c r="I327" s="39"/>
      <c r="J327" s="1"/>
      <c r="K327" s="39"/>
      <c r="L327" s="1245">
        <f>IF(L233&lt;&gt;0,L233/$F38*$H38/12,0)</f>
        <v>0</v>
      </c>
      <c r="M327" s="35"/>
      <c r="N327" s="21"/>
      <c r="O327" s="39"/>
      <c r="P327" s="1245">
        <f>IF(P233&lt;&gt;0,P233/$F38*$H38/12,0)</f>
        <v>0</v>
      </c>
      <c r="Q327" s="35"/>
      <c r="R327" s="21"/>
      <c r="S327" s="437"/>
      <c r="T327" s="1245">
        <f>IF(T233&lt;&gt;0,T233/$F38*$H38/12,0)</f>
        <v>0</v>
      </c>
      <c r="U327" s="35"/>
      <c r="V327" s="21"/>
      <c r="W327" s="437"/>
      <c r="X327" s="1245">
        <f>IF(X233&lt;&gt;0,X233/$F38*$H38/12,0)</f>
        <v>0</v>
      </c>
      <c r="Y327" s="35"/>
      <c r="Z327" s="21"/>
      <c r="AA327" s="940"/>
      <c r="AB327" s="1245">
        <f>IF(AB233&lt;&gt;0,AB233/$F38*$H38/12,0)</f>
        <v>0</v>
      </c>
      <c r="AC327" s="35"/>
      <c r="AD327" s="21"/>
      <c r="AE327" s="940"/>
      <c r="AF327" s="1245">
        <f>IF(AF233&lt;&gt;0,AF233/$F38*$H38/12,0)</f>
        <v>0</v>
      </c>
      <c r="AG327" s="35"/>
      <c r="AH327" s="21"/>
      <c r="AI327" s="437"/>
      <c r="AJ327" s="1245"/>
      <c r="AK327" s="35"/>
      <c r="AL327" s="21"/>
      <c r="AM327" s="940"/>
      <c r="AN327" s="438"/>
      <c r="AO327" s="438"/>
      <c r="AP327" s="438"/>
      <c r="AQ327" s="438"/>
      <c r="AR327" s="438"/>
      <c r="AS327" s="438"/>
      <c r="AT327" s="438"/>
      <c r="AU327" s="438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</row>
    <row r="328" ht="6.0" customHeight="1">
      <c r="A328" s="1"/>
      <c r="B328" s="438"/>
      <c r="C328" s="438"/>
      <c r="D328" s="39"/>
      <c r="E328" s="994"/>
      <c r="F328" s="994"/>
      <c r="G328" s="994"/>
      <c r="H328" s="994"/>
      <c r="I328" s="39"/>
      <c r="J328" s="1"/>
      <c r="K328" s="39"/>
      <c r="L328" s="1247"/>
      <c r="M328" s="1247"/>
      <c r="N328" s="1247"/>
      <c r="O328" s="39"/>
      <c r="P328" s="1247"/>
      <c r="Q328" s="1247"/>
      <c r="R328" s="1247"/>
      <c r="S328" s="437"/>
      <c r="T328" s="1247"/>
      <c r="U328" s="1247"/>
      <c r="V328" s="1247"/>
      <c r="W328" s="437"/>
      <c r="X328" s="1247"/>
      <c r="Y328" s="1247"/>
      <c r="Z328" s="1247"/>
      <c r="AA328" s="940"/>
      <c r="AB328" s="1247"/>
      <c r="AC328" s="1247"/>
      <c r="AD328" s="1247"/>
      <c r="AE328" s="940"/>
      <c r="AF328" s="1247"/>
      <c r="AG328" s="1247"/>
      <c r="AH328" s="1247"/>
      <c r="AI328" s="437"/>
      <c r="AJ328" s="1245"/>
      <c r="AK328" s="35"/>
      <c r="AL328" s="21"/>
      <c r="AM328" s="940"/>
      <c r="AN328" s="438"/>
      <c r="AO328" s="438"/>
      <c r="AP328" s="438"/>
      <c r="AQ328" s="438"/>
      <c r="AR328" s="438"/>
      <c r="AS328" s="438"/>
      <c r="AT328" s="438"/>
      <c r="AU328" s="438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</row>
    <row r="329" ht="14.25" customHeight="1">
      <c r="A329" s="1"/>
      <c r="B329" s="438" t="str">
        <f>B$40</f>
        <v/>
      </c>
      <c r="C329" s="438"/>
      <c r="D329" s="39"/>
      <c r="E329" s="994"/>
      <c r="F329" s="994"/>
      <c r="G329" s="994"/>
      <c r="H329" s="39"/>
      <c r="I329" s="39"/>
      <c r="J329" s="1"/>
      <c r="K329" s="39"/>
      <c r="L329" s="1245">
        <f>IF(L235&lt;&gt;0,L235/$F40*$H40/12,0)</f>
        <v>0</v>
      </c>
      <c r="M329" s="35"/>
      <c r="N329" s="21"/>
      <c r="O329" s="39"/>
      <c r="P329" s="1245">
        <f>IF(P235&lt;&gt;0,P235/$F40*$H40/12,0)</f>
        <v>0</v>
      </c>
      <c r="Q329" s="35"/>
      <c r="R329" s="21"/>
      <c r="S329" s="437"/>
      <c r="T329" s="1245">
        <f>IF(T235&lt;&gt;0,T235/$F40*$H40/12,0)</f>
        <v>0</v>
      </c>
      <c r="U329" s="35"/>
      <c r="V329" s="21"/>
      <c r="W329" s="437"/>
      <c r="X329" s="1245">
        <f>IF(X235&lt;&gt;0,X235/$F40*$H40/12,0)</f>
        <v>0</v>
      </c>
      <c r="Y329" s="35"/>
      <c r="Z329" s="21"/>
      <c r="AA329" s="940"/>
      <c r="AB329" s="1245">
        <f>IF(AB235&lt;&gt;0,AB235/$F40*$H40/12,0)</f>
        <v>0</v>
      </c>
      <c r="AC329" s="35"/>
      <c r="AD329" s="21"/>
      <c r="AE329" s="940"/>
      <c r="AF329" s="1245">
        <f>IF(AF235&lt;&gt;0,AF235/$F40*$H40/12,0)</f>
        <v>0</v>
      </c>
      <c r="AG329" s="35"/>
      <c r="AH329" s="21"/>
      <c r="AI329" s="437"/>
      <c r="AJ329" s="1245"/>
      <c r="AK329" s="35"/>
      <c r="AL329" s="21"/>
      <c r="AM329" s="940"/>
      <c r="AN329" s="438"/>
      <c r="AO329" s="438"/>
      <c r="AP329" s="438"/>
      <c r="AQ329" s="438"/>
      <c r="AR329" s="438"/>
      <c r="AS329" s="438"/>
      <c r="AT329" s="438"/>
      <c r="AU329" s="438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</row>
    <row r="330" ht="6.0" customHeight="1">
      <c r="A330" s="1"/>
      <c r="B330" s="438"/>
      <c r="C330" s="438"/>
      <c r="D330" s="39"/>
      <c r="E330" s="994"/>
      <c r="F330" s="994"/>
      <c r="G330" s="994"/>
      <c r="H330" s="994"/>
      <c r="I330" s="39"/>
      <c r="J330" s="1"/>
      <c r="K330" s="39"/>
      <c r="L330" s="1247"/>
      <c r="M330" s="1247"/>
      <c r="N330" s="1247"/>
      <c r="O330" s="39"/>
      <c r="P330" s="1247"/>
      <c r="Q330" s="1247"/>
      <c r="R330" s="1247"/>
      <c r="S330" s="437"/>
      <c r="T330" s="1247"/>
      <c r="U330" s="1247"/>
      <c r="V330" s="1247"/>
      <c r="W330" s="437"/>
      <c r="X330" s="1247"/>
      <c r="Y330" s="1247"/>
      <c r="Z330" s="1247"/>
      <c r="AA330" s="940"/>
      <c r="AB330" s="1247"/>
      <c r="AC330" s="1247"/>
      <c r="AD330" s="1247"/>
      <c r="AE330" s="940"/>
      <c r="AF330" s="1247"/>
      <c r="AG330" s="1247"/>
      <c r="AH330" s="1247"/>
      <c r="AI330" s="437"/>
      <c r="AJ330" s="1245"/>
      <c r="AK330" s="35"/>
      <c r="AL330" s="21"/>
      <c r="AM330" s="940"/>
      <c r="AN330" s="438"/>
      <c r="AO330" s="438"/>
      <c r="AP330" s="438"/>
      <c r="AQ330" s="438"/>
      <c r="AR330" s="438"/>
      <c r="AS330" s="438"/>
      <c r="AT330" s="438"/>
      <c r="AU330" s="438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</row>
    <row r="331" ht="14.25" customHeight="1">
      <c r="A331" s="1"/>
      <c r="B331" s="438" t="str">
        <f>B$42</f>
        <v/>
      </c>
      <c r="C331" s="438"/>
      <c r="D331" s="39"/>
      <c r="E331" s="994"/>
      <c r="F331" s="994"/>
      <c r="G331" s="994"/>
      <c r="H331" s="39"/>
      <c r="I331" s="39"/>
      <c r="J331" s="1"/>
      <c r="K331" s="39"/>
      <c r="L331" s="1245">
        <f>IF(L237&lt;&gt;0,L237/$F42*$H42/12,0)</f>
        <v>0</v>
      </c>
      <c r="M331" s="35"/>
      <c r="N331" s="21"/>
      <c r="O331" s="39"/>
      <c r="P331" s="1245">
        <f>IF(P237&lt;&gt;0,P237/$F42*$H42/12,0)</f>
        <v>0</v>
      </c>
      <c r="Q331" s="35"/>
      <c r="R331" s="21"/>
      <c r="S331" s="437"/>
      <c r="T331" s="1245">
        <f>IF(T237&lt;&gt;0,T237/$F42*$H42/12,0)</f>
        <v>0</v>
      </c>
      <c r="U331" s="35"/>
      <c r="V331" s="21"/>
      <c r="W331" s="437"/>
      <c r="X331" s="1245">
        <f>IF(X237&lt;&gt;0,X237/$F42*$H42/12,0)</f>
        <v>0</v>
      </c>
      <c r="Y331" s="35"/>
      <c r="Z331" s="21"/>
      <c r="AA331" s="940"/>
      <c r="AB331" s="1245">
        <f>IF(AB237&lt;&gt;0,AB237/$F42*$H42/12,0)</f>
        <v>0</v>
      </c>
      <c r="AC331" s="35"/>
      <c r="AD331" s="21"/>
      <c r="AE331" s="940"/>
      <c r="AF331" s="1245">
        <f>IF(AF237&lt;&gt;0,AF237/$F42*$H42/12,0)</f>
        <v>0</v>
      </c>
      <c r="AG331" s="35"/>
      <c r="AH331" s="21"/>
      <c r="AI331" s="437"/>
      <c r="AJ331" s="1245"/>
      <c r="AK331" s="35"/>
      <c r="AL331" s="21"/>
      <c r="AM331" s="940"/>
      <c r="AN331" s="438"/>
      <c r="AO331" s="438"/>
      <c r="AP331" s="438"/>
      <c r="AQ331" s="438"/>
      <c r="AR331" s="438"/>
      <c r="AS331" s="438"/>
      <c r="AT331" s="438"/>
      <c r="AU331" s="438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</row>
    <row r="332" ht="5.25" customHeight="1">
      <c r="A332" s="1"/>
      <c r="B332" s="1"/>
      <c r="C332" s="1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438"/>
      <c r="Q332" s="438"/>
      <c r="R332" s="437"/>
      <c r="S332" s="437"/>
      <c r="T332" s="438"/>
      <c r="U332" s="438"/>
      <c r="V332" s="437"/>
      <c r="W332" s="437"/>
      <c r="X332" s="438"/>
      <c r="Y332" s="438"/>
      <c r="Z332" s="940"/>
      <c r="AA332" s="940"/>
      <c r="AB332" s="438"/>
      <c r="AC332" s="438"/>
      <c r="AD332" s="940"/>
      <c r="AE332" s="940"/>
      <c r="AF332" s="1247"/>
      <c r="AG332" s="1247"/>
      <c r="AH332" s="1247"/>
      <c r="AI332" s="437"/>
      <c r="AJ332" s="1245"/>
      <c r="AK332" s="35"/>
      <c r="AL332" s="21"/>
      <c r="AM332" s="940"/>
      <c r="AN332" s="438"/>
      <c r="AO332" s="438"/>
      <c r="AP332" s="438"/>
      <c r="AQ332" s="438"/>
      <c r="AR332" s="438"/>
      <c r="AS332" s="438"/>
      <c r="AT332" s="438"/>
      <c r="AU332" s="438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</row>
    <row r="333" ht="14.25" customHeight="1">
      <c r="A333" s="1"/>
      <c r="B333" s="438" t="str">
        <f>B$44</f>
        <v/>
      </c>
      <c r="C333" s="438"/>
      <c r="D333" s="39"/>
      <c r="E333" s="994"/>
      <c r="F333" s="994"/>
      <c r="G333" s="994"/>
      <c r="H333" s="39"/>
      <c r="I333" s="39"/>
      <c r="J333" s="1"/>
      <c r="K333" s="39"/>
      <c r="L333" s="1245">
        <f>IF(L239&lt;&gt;0,L239/$F44*$H44/12,0)</f>
        <v>0</v>
      </c>
      <c r="M333" s="35"/>
      <c r="N333" s="21"/>
      <c r="O333" s="39"/>
      <c r="P333" s="1245">
        <f>IF(P239&lt;&gt;0,P239/$F44*$H44/12,0)</f>
        <v>0</v>
      </c>
      <c r="Q333" s="35"/>
      <c r="R333" s="21"/>
      <c r="S333" s="437"/>
      <c r="T333" s="1245">
        <f>IF(T239&lt;&gt;0,T239/$F44*$H44/12,0)</f>
        <v>0</v>
      </c>
      <c r="U333" s="35"/>
      <c r="V333" s="21"/>
      <c r="W333" s="437"/>
      <c r="X333" s="1245">
        <f>IF(X239&lt;&gt;0,X239/$F44*$H44/12,0)</f>
        <v>0</v>
      </c>
      <c r="Y333" s="35"/>
      <c r="Z333" s="21"/>
      <c r="AA333" s="940"/>
      <c r="AB333" s="1245">
        <f>IF(AB239&lt;&gt;0,AB239/$F44*$H44/12,0)</f>
        <v>0</v>
      </c>
      <c r="AC333" s="35"/>
      <c r="AD333" s="21"/>
      <c r="AE333" s="940"/>
      <c r="AF333" s="1245">
        <f>IF(AF239&lt;&gt;0,AF239/$F44*$H44/12,0)</f>
        <v>0</v>
      </c>
      <c r="AG333" s="35"/>
      <c r="AH333" s="21"/>
      <c r="AI333" s="437"/>
      <c r="AJ333" s="1245"/>
      <c r="AK333" s="35"/>
      <c r="AL333" s="21"/>
      <c r="AM333" s="940"/>
      <c r="AN333" s="438"/>
      <c r="AO333" s="438"/>
      <c r="AP333" s="438"/>
      <c r="AQ333" s="438"/>
      <c r="AR333" s="438"/>
      <c r="AS333" s="438"/>
      <c r="AT333" s="438"/>
      <c r="AU333" s="438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</row>
    <row r="334" ht="15.0" customHeight="1">
      <c r="A334" s="1"/>
      <c r="B334" s="438" t="str">
        <f>B46</f>
        <v>Annual capital spending, funded by operations</v>
      </c>
      <c r="C334" s="438"/>
      <c r="D334" s="39"/>
      <c r="E334" s="994"/>
      <c r="F334" s="994"/>
      <c r="G334" s="994"/>
      <c r="H334" s="39"/>
      <c r="I334" s="39"/>
      <c r="J334" s="1"/>
      <c r="K334" s="39"/>
      <c r="L334" s="1245">
        <f>IF(L240&lt;&gt;0,L240/$F46*$H46/12,0)</f>
        <v>66666.66667</v>
      </c>
      <c r="M334" s="35"/>
      <c r="N334" s="21"/>
      <c r="O334" s="39"/>
      <c r="P334" s="1245">
        <f>IF(P240&lt;&gt;0,P240/$F46*$H46/12,0)</f>
        <v>66666.66667</v>
      </c>
      <c r="Q334" s="35"/>
      <c r="R334" s="21"/>
      <c r="S334" s="437"/>
      <c r="T334" s="1245">
        <f>IF(T240&lt;&gt;0,T240/$F46*$H46/12,0)</f>
        <v>66666.66667</v>
      </c>
      <c r="U334" s="35"/>
      <c r="V334" s="21"/>
      <c r="W334" s="437"/>
      <c r="X334" s="1245">
        <f>IF(X240&lt;&gt;0,X240/$F46*$H46/12,0)</f>
        <v>66666.66667</v>
      </c>
      <c r="Y334" s="35"/>
      <c r="Z334" s="21"/>
      <c r="AA334" s="940"/>
      <c r="AB334" s="1245">
        <f>IF(AB240&lt;&gt;0,AB240/$F46*$H46/12,0)</f>
        <v>66666.66667</v>
      </c>
      <c r="AC334" s="35"/>
      <c r="AD334" s="21"/>
      <c r="AE334" s="940"/>
      <c r="AF334" s="1245">
        <f>IF(AF240&lt;&gt;0,AF240/$F46*$H46/12,0)</f>
        <v>66666.66667</v>
      </c>
      <c r="AG334" s="35"/>
      <c r="AH334" s="21"/>
      <c r="AI334" s="437"/>
      <c r="AJ334" s="1245"/>
      <c r="AK334" s="35"/>
      <c r="AL334" s="21"/>
      <c r="AM334" s="940"/>
      <c r="AN334" s="438"/>
      <c r="AO334" s="438"/>
      <c r="AP334" s="438"/>
      <c r="AQ334" s="438"/>
      <c r="AR334" s="438"/>
      <c r="AS334" s="438"/>
      <c r="AT334" s="438"/>
      <c r="AU334" s="438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</row>
    <row r="335" ht="18.75" customHeight="1">
      <c r="A335" s="151"/>
      <c r="B335" s="438" t="s">
        <v>942</v>
      </c>
      <c r="C335" s="438"/>
      <c r="D335" s="39"/>
      <c r="E335" s="994"/>
      <c r="F335" s="994"/>
      <c r="G335" s="994"/>
      <c r="H335" s="39"/>
      <c r="I335" s="39"/>
      <c r="J335" s="1"/>
      <c r="K335" s="39"/>
      <c r="L335" s="1245">
        <f>IF(L58&lt;&gt;0,IF(N60&lt;&gt;0,-L58/N60,-L58),0)</f>
        <v>-133636.3636</v>
      </c>
      <c r="M335" s="35"/>
      <c r="N335" s="21"/>
      <c r="O335" s="39"/>
      <c r="P335" s="1245">
        <f>IF(P58&lt;&gt;0,IF(R60&lt;&gt;0,-P58/R60,-P58),0)</f>
        <v>-324000</v>
      </c>
      <c r="Q335" s="35"/>
      <c r="R335" s="21"/>
      <c r="S335" s="437"/>
      <c r="T335" s="1245">
        <f>IF(T58&lt;&gt;0,IF(V60&lt;&gt;0,-T58/V60,-T58),0)</f>
        <v>0</v>
      </c>
      <c r="U335" s="35"/>
      <c r="V335" s="21"/>
      <c r="W335" s="437"/>
      <c r="X335" s="1245">
        <f>IF(X58&lt;&gt;0,IF(Z60&lt;&gt;0,-X58/Z60,-X58),0)</f>
        <v>0</v>
      </c>
      <c r="Y335" s="35"/>
      <c r="Z335" s="21"/>
      <c r="AA335" s="940"/>
      <c r="AB335" s="1245">
        <f>IF(AB58&lt;&gt;0,IF(AD60&lt;&gt;0,-AB58/AD60,-AB58),0)</f>
        <v>0</v>
      </c>
      <c r="AC335" s="35"/>
      <c r="AD335" s="21"/>
      <c r="AE335" s="940"/>
      <c r="AF335" s="1245">
        <f>IF(AF58&lt;&gt;0,IF(AH60&lt;&gt;0,-AF58/AH60,-AF58),0)</f>
        <v>0</v>
      </c>
      <c r="AG335" s="35"/>
      <c r="AH335" s="21"/>
      <c r="AI335" s="437"/>
      <c r="AJ335" s="1245"/>
      <c r="AK335" s="35"/>
      <c r="AL335" s="21"/>
      <c r="AM335" s="940"/>
      <c r="AN335" s="438"/>
      <c r="AO335" s="438"/>
      <c r="AP335" s="438"/>
      <c r="AQ335" s="438"/>
      <c r="AR335" s="438"/>
      <c r="AS335" s="438"/>
      <c r="AT335" s="438"/>
      <c r="AU335" s="438"/>
      <c r="AV335" s="151"/>
      <c r="AW335" s="151"/>
      <c r="AX335" s="151"/>
      <c r="AY335" s="151"/>
      <c r="AZ335" s="151"/>
      <c r="BA335" s="151"/>
      <c r="BB335" s="151"/>
      <c r="BC335" s="151"/>
      <c r="BD335" s="151"/>
      <c r="BE335" s="151"/>
      <c r="BF335" s="151"/>
    </row>
    <row r="336" ht="6.0" customHeight="1">
      <c r="A336" s="1"/>
      <c r="B336" s="1"/>
      <c r="C336" s="1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438"/>
      <c r="Q336" s="438"/>
      <c r="R336" s="437"/>
      <c r="S336" s="437"/>
      <c r="T336" s="438"/>
      <c r="U336" s="438"/>
      <c r="V336" s="437"/>
      <c r="W336" s="437"/>
      <c r="X336" s="438"/>
      <c r="Y336" s="438"/>
      <c r="Z336" s="940"/>
      <c r="AA336" s="940"/>
      <c r="AB336" s="438"/>
      <c r="AC336" s="438"/>
      <c r="AD336" s="940"/>
      <c r="AE336" s="940"/>
      <c r="AF336" s="1247"/>
      <c r="AG336" s="1247"/>
      <c r="AH336" s="1247"/>
      <c r="AI336" s="437"/>
      <c r="AJ336" s="1245"/>
      <c r="AK336" s="35"/>
      <c r="AL336" s="21"/>
      <c r="AM336" s="940"/>
      <c r="AN336" s="438"/>
      <c r="AO336" s="438"/>
      <c r="AP336" s="438"/>
      <c r="AQ336" s="438"/>
      <c r="AR336" s="438"/>
      <c r="AS336" s="438"/>
      <c r="AT336" s="438"/>
      <c r="AU336" s="438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</row>
    <row r="337" ht="14.25" customHeight="1">
      <c r="A337" s="1"/>
      <c r="B337" s="180" t="s">
        <v>945</v>
      </c>
      <c r="C337" s="180"/>
      <c r="D337" s="816"/>
      <c r="E337" s="994"/>
      <c r="F337" s="994"/>
      <c r="G337" s="994"/>
      <c r="H337" s="994"/>
      <c r="I337" s="39"/>
      <c r="J337" s="1"/>
      <c r="K337" s="39"/>
      <c r="L337" s="1245">
        <f>SUM(L299:N335)</f>
        <v>241375.7753</v>
      </c>
      <c r="M337" s="35"/>
      <c r="N337" s="21"/>
      <c r="O337" s="39"/>
      <c r="P337" s="1245">
        <f>SUM(P299:R335)</f>
        <v>-21222.22222</v>
      </c>
      <c r="Q337" s="35"/>
      <c r="R337" s="21"/>
      <c r="S337" s="437"/>
      <c r="T337" s="1245">
        <f>SUM(T299:V335)</f>
        <v>90555.55556</v>
      </c>
      <c r="U337" s="35"/>
      <c r="V337" s="21"/>
      <c r="W337" s="437"/>
      <c r="X337" s="1245">
        <f>SUM(X299:Z335)</f>
        <v>66666.66667</v>
      </c>
      <c r="Y337" s="35"/>
      <c r="Z337" s="21"/>
      <c r="AA337" s="940"/>
      <c r="AB337" s="1245">
        <f>SUM(AB299:AD335)</f>
        <v>66666.66667</v>
      </c>
      <c r="AC337" s="35"/>
      <c r="AD337" s="21"/>
      <c r="AE337" s="940"/>
      <c r="AF337" s="1245">
        <f>SUM(AF299:AH335)</f>
        <v>66666.66667</v>
      </c>
      <c r="AG337" s="35"/>
      <c r="AH337" s="21"/>
      <c r="AI337" s="437"/>
      <c r="AJ337" s="1245"/>
      <c r="AK337" s="35"/>
      <c r="AL337" s="21"/>
      <c r="AM337" s="940"/>
      <c r="AN337" s="438"/>
      <c r="AO337" s="438"/>
      <c r="AP337" s="438"/>
      <c r="AQ337" s="438"/>
      <c r="AR337" s="438"/>
      <c r="AS337" s="438"/>
      <c r="AT337" s="438"/>
      <c r="AU337" s="438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</row>
    <row r="338" ht="5.25" customHeight="1">
      <c r="A338" s="1"/>
      <c r="B338" s="1"/>
      <c r="C338" s="180"/>
      <c r="D338" s="39"/>
      <c r="E338" s="994"/>
      <c r="F338" s="994"/>
      <c r="G338" s="994"/>
      <c r="H338" s="39"/>
      <c r="I338" s="39"/>
      <c r="J338" s="1"/>
      <c r="K338" s="39"/>
      <c r="L338" s="1245"/>
      <c r="M338" s="35"/>
      <c r="N338" s="21"/>
      <c r="O338" s="39"/>
      <c r="P338" s="1245"/>
      <c r="Q338" s="35"/>
      <c r="R338" s="21"/>
      <c r="S338" s="437"/>
      <c r="T338" s="1245"/>
      <c r="U338" s="35"/>
      <c r="V338" s="21"/>
      <c r="W338" s="437"/>
      <c r="X338" s="1245"/>
      <c r="Y338" s="35"/>
      <c r="Z338" s="21"/>
      <c r="AA338" s="940"/>
      <c r="AB338" s="1245"/>
      <c r="AC338" s="35"/>
      <c r="AD338" s="21"/>
      <c r="AE338" s="940"/>
      <c r="AF338" s="1245"/>
      <c r="AG338" s="35"/>
      <c r="AH338" s="21"/>
      <c r="AI338" s="437"/>
      <c r="AJ338" s="1"/>
      <c r="AK338" s="1"/>
      <c r="AL338" s="1"/>
      <c r="AM338" s="940"/>
      <c r="AN338" s="438"/>
      <c r="AO338" s="438"/>
      <c r="AP338" s="438"/>
      <c r="AQ338" s="438"/>
      <c r="AR338" s="438"/>
      <c r="AS338" s="438"/>
      <c r="AT338" s="438"/>
      <c r="AU338" s="438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</row>
    <row r="339" ht="14.25" customHeight="1">
      <c r="A339" s="1"/>
      <c r="B339" s="1"/>
      <c r="C339" s="1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438"/>
      <c r="Q339" s="438"/>
      <c r="R339" s="437"/>
      <c r="S339" s="437"/>
      <c r="T339" s="438"/>
      <c r="U339" s="438"/>
      <c r="V339" s="437"/>
      <c r="W339" s="437"/>
      <c r="X339" s="438"/>
      <c r="Y339" s="438"/>
      <c r="Z339" s="940"/>
      <c r="AA339" s="940"/>
      <c r="AB339" s="438"/>
      <c r="AC339" s="438"/>
      <c r="AD339" s="940"/>
      <c r="AE339" s="940"/>
      <c r="AF339" s="438"/>
      <c r="AG339" s="437"/>
      <c r="AH339" s="438"/>
      <c r="AI339" s="437"/>
      <c r="AJ339" s="1245"/>
      <c r="AK339" s="35"/>
      <c r="AL339" s="21"/>
      <c r="AM339" s="940"/>
      <c r="AN339" s="438"/>
      <c r="AO339" s="438"/>
      <c r="AP339" s="438"/>
      <c r="AQ339" s="438"/>
      <c r="AR339" s="438"/>
      <c r="AS339" s="438"/>
      <c r="AT339" s="438"/>
      <c r="AU339" s="438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</row>
    <row r="340" ht="21.75" customHeight="1">
      <c r="A340" s="1"/>
      <c r="B340" s="1"/>
      <c r="C340" s="1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438"/>
      <c r="Q340" s="438"/>
      <c r="R340" s="437"/>
      <c r="S340" s="437"/>
      <c r="T340" s="438"/>
      <c r="U340" s="438"/>
      <c r="V340" s="437"/>
      <c r="W340" s="437"/>
      <c r="X340" s="438"/>
      <c r="Y340" s="438"/>
      <c r="Z340" s="940"/>
      <c r="AA340" s="940"/>
      <c r="AB340" s="438"/>
      <c r="AC340" s="438"/>
      <c r="AD340" s="940"/>
      <c r="AE340" s="940"/>
      <c r="AF340" s="438"/>
      <c r="AG340" s="437"/>
      <c r="AH340" s="438"/>
      <c r="AI340" s="437"/>
      <c r="AJ340" s="1247"/>
      <c r="AK340" s="1247"/>
      <c r="AL340" s="1247"/>
      <c r="AM340" s="940"/>
      <c r="AN340" s="438"/>
      <c r="AO340" s="438"/>
      <c r="AP340" s="438"/>
      <c r="AQ340" s="438"/>
      <c r="AR340" s="438"/>
      <c r="AS340" s="438"/>
      <c r="AT340" s="438"/>
      <c r="AU340" s="438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</row>
    <row r="341" ht="19.5" customHeight="1">
      <c r="A341" s="1"/>
      <c r="B341" s="1"/>
      <c r="C341" s="1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438"/>
      <c r="Q341" s="438"/>
      <c r="R341" s="437"/>
      <c r="S341" s="437"/>
      <c r="T341" s="438"/>
      <c r="U341" s="438"/>
      <c r="V341" s="437"/>
      <c r="W341" s="437"/>
      <c r="X341" s="438"/>
      <c r="Y341" s="438"/>
      <c r="Z341" s="940"/>
      <c r="AA341" s="940"/>
      <c r="AB341" s="438"/>
      <c r="AC341" s="438"/>
      <c r="AD341" s="940"/>
      <c r="AE341" s="940"/>
      <c r="AF341" s="438"/>
      <c r="AG341" s="437"/>
      <c r="AH341" s="438"/>
      <c r="AI341" s="437"/>
      <c r="AJ341" s="1247"/>
      <c r="AK341" s="1247"/>
      <c r="AL341" s="1247"/>
      <c r="AM341" s="940"/>
      <c r="AN341" s="438"/>
      <c r="AO341" s="438"/>
      <c r="AP341" s="438"/>
      <c r="AQ341" s="438"/>
      <c r="AR341" s="438"/>
      <c r="AS341" s="438"/>
      <c r="AT341" s="438"/>
      <c r="AU341" s="438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</row>
    <row r="342" ht="9.75" customHeight="1">
      <c r="A342" s="1"/>
      <c r="B342" s="1"/>
      <c r="C342" s="1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438"/>
      <c r="Q342" s="438"/>
      <c r="R342" s="437"/>
      <c r="S342" s="437"/>
      <c r="T342" s="438"/>
      <c r="U342" s="438"/>
      <c r="V342" s="437"/>
      <c r="W342" s="437"/>
      <c r="X342" s="438"/>
      <c r="Y342" s="438"/>
      <c r="Z342" s="940"/>
      <c r="AA342" s="940"/>
      <c r="AB342" s="438"/>
      <c r="AC342" s="438"/>
      <c r="AD342" s="940"/>
      <c r="AE342" s="940"/>
      <c r="AF342" s="438"/>
      <c r="AG342" s="437"/>
      <c r="AH342" s="438"/>
      <c r="AI342" s="437"/>
      <c r="AJ342" s="1"/>
      <c r="AK342" s="1"/>
      <c r="AL342" s="1"/>
      <c r="AM342" s="940"/>
      <c r="AN342" s="438"/>
      <c r="AO342" s="438"/>
      <c r="AP342" s="438"/>
      <c r="AQ342" s="438"/>
      <c r="AR342" s="438"/>
      <c r="AS342" s="438"/>
      <c r="AT342" s="438"/>
      <c r="AU342" s="438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</row>
    <row r="343" ht="12.0" customHeight="1">
      <c r="A343" s="151"/>
      <c r="B343" s="1"/>
      <c r="C343" s="1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438"/>
      <c r="Q343" s="438"/>
      <c r="R343" s="437"/>
      <c r="S343" s="437"/>
      <c r="T343" s="438"/>
      <c r="U343" s="438"/>
      <c r="V343" s="437"/>
      <c r="W343" s="437"/>
      <c r="X343" s="438"/>
      <c r="Y343" s="438"/>
      <c r="Z343" s="940"/>
      <c r="AA343" s="940"/>
      <c r="AB343" s="438"/>
      <c r="AC343" s="438"/>
      <c r="AD343" s="940"/>
      <c r="AE343" s="940"/>
      <c r="AF343" s="438"/>
      <c r="AG343" s="437"/>
      <c r="AH343" s="438"/>
      <c r="AI343" s="437"/>
      <c r="AJ343" s="1245">
        <f>SUM(AJ305:AL341)</f>
        <v>0</v>
      </c>
      <c r="AK343" s="35"/>
      <c r="AL343" s="21"/>
      <c r="AM343" s="940"/>
      <c r="AN343" s="438"/>
      <c r="AO343" s="438"/>
      <c r="AP343" s="438"/>
      <c r="AQ343" s="438"/>
      <c r="AR343" s="438"/>
      <c r="AS343" s="438"/>
      <c r="AT343" s="438"/>
      <c r="AU343" s="438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</row>
    <row r="344" ht="6.0" customHeight="1">
      <c r="A344" s="1"/>
      <c r="B344" s="1"/>
      <c r="C344" s="1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438"/>
      <c r="Q344" s="438"/>
      <c r="R344" s="437"/>
      <c r="S344" s="437"/>
      <c r="T344" s="438"/>
      <c r="U344" s="438"/>
      <c r="V344" s="437"/>
      <c r="W344" s="437"/>
      <c r="X344" s="438"/>
      <c r="Y344" s="438"/>
      <c r="Z344" s="940"/>
      <c r="AA344" s="940"/>
      <c r="AB344" s="438"/>
      <c r="AC344" s="438"/>
      <c r="AD344" s="940"/>
      <c r="AE344" s="940"/>
      <c r="AF344" s="438"/>
      <c r="AG344" s="437"/>
      <c r="AH344" s="438"/>
      <c r="AI344" s="437"/>
      <c r="AJ344" s="1502"/>
      <c r="AK344" s="1502"/>
      <c r="AL344" s="1502"/>
      <c r="AM344" s="940"/>
      <c r="AN344" s="438"/>
      <c r="AO344" s="438"/>
      <c r="AP344" s="438"/>
      <c r="AQ344" s="438"/>
      <c r="AR344" s="438"/>
      <c r="AS344" s="438"/>
      <c r="AT344" s="438"/>
      <c r="AU344" s="438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</row>
    <row r="345" ht="14.25" customHeight="1">
      <c r="A345" s="1"/>
      <c r="B345" s="1"/>
      <c r="C345" s="1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438"/>
      <c r="Q345" s="438"/>
      <c r="R345" s="437"/>
      <c r="S345" s="437"/>
      <c r="T345" s="438"/>
      <c r="U345" s="438"/>
      <c r="V345" s="437"/>
      <c r="W345" s="437"/>
      <c r="X345" s="438"/>
      <c r="Y345" s="438"/>
      <c r="Z345" s="940"/>
      <c r="AA345" s="940"/>
      <c r="AB345" s="438"/>
      <c r="AC345" s="438"/>
      <c r="AD345" s="940"/>
      <c r="AE345" s="940"/>
      <c r="AF345" s="438"/>
      <c r="AG345" s="437"/>
      <c r="AH345" s="438"/>
      <c r="AI345" s="437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</row>
    <row r="346" ht="14.25" customHeight="1">
      <c r="A346" s="1"/>
      <c r="B346" s="1"/>
      <c r="C346" s="1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438"/>
      <c r="Q346" s="438"/>
      <c r="R346" s="437"/>
      <c r="S346" s="437"/>
      <c r="T346" s="438"/>
      <c r="U346" s="438"/>
      <c r="V346" s="437"/>
      <c r="W346" s="437"/>
      <c r="X346" s="438"/>
      <c r="Y346" s="438"/>
      <c r="Z346" s="940"/>
      <c r="AA346" s="940"/>
      <c r="AB346" s="438"/>
      <c r="AC346" s="438"/>
      <c r="AD346" s="940"/>
      <c r="AE346" s="940"/>
      <c r="AF346" s="438"/>
      <c r="AG346" s="437"/>
      <c r="AH346" s="438"/>
      <c r="AI346" s="437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</row>
    <row r="347" ht="14.25" customHeight="1">
      <c r="A347" s="1"/>
      <c r="B347" s="151" t="s">
        <v>948</v>
      </c>
      <c r="C347" s="180"/>
      <c r="D347" s="39"/>
      <c r="E347" s="994"/>
      <c r="F347" s="994"/>
      <c r="G347" s="994"/>
      <c r="H347" s="994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981"/>
      <c r="T347" s="438"/>
      <c r="U347" s="39"/>
      <c r="V347" s="39"/>
      <c r="W347" s="981"/>
      <c r="X347" s="438"/>
      <c r="Y347" s="39"/>
      <c r="Z347" s="39"/>
      <c r="AA347" s="982"/>
      <c r="AB347" s="438"/>
      <c r="AC347" s="39"/>
      <c r="AD347" s="39"/>
      <c r="AE347" s="1247"/>
      <c r="AF347" s="1247"/>
      <c r="AG347" s="1247"/>
      <c r="AH347" s="39"/>
      <c r="AI347" s="437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</row>
    <row r="348" ht="14.25" customHeight="1">
      <c r="A348" s="1"/>
      <c r="B348" s="1"/>
      <c r="C348" s="1"/>
      <c r="D348" s="39"/>
      <c r="E348" s="994"/>
      <c r="F348" s="994"/>
      <c r="G348" s="994"/>
      <c r="H348" s="994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437"/>
      <c r="T348" s="39"/>
      <c r="U348" s="39"/>
      <c r="V348" s="39"/>
      <c r="W348" s="437"/>
      <c r="X348" s="39"/>
      <c r="Y348" s="39"/>
      <c r="Z348" s="39"/>
      <c r="AA348" s="940"/>
      <c r="AB348" s="39"/>
      <c r="AC348" s="39"/>
      <c r="AD348" s="39"/>
      <c r="AE348" s="940"/>
      <c r="AF348" s="39"/>
      <c r="AG348" s="39"/>
      <c r="AH348" s="39"/>
      <c r="AI348" s="437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</row>
    <row r="349" ht="14.25" customHeight="1">
      <c r="A349" s="1"/>
      <c r="B349" s="438" t="str">
        <f>B$10</f>
        <v>New Student Center</v>
      </c>
      <c r="C349" s="438"/>
      <c r="D349" s="39"/>
      <c r="E349" s="994"/>
      <c r="F349" s="994"/>
      <c r="G349" s="994"/>
      <c r="H349" s="39"/>
      <c r="I349" s="39"/>
      <c r="J349" s="1"/>
      <c r="K349" s="39"/>
      <c r="L349" s="1245">
        <f>IF(L205&lt;&gt;0,L205/$F10,0)</f>
        <v>286666.6667</v>
      </c>
      <c r="M349" s="35"/>
      <c r="N349" s="21"/>
      <c r="O349" s="39"/>
      <c r="P349" s="1245">
        <f>IF(P205&lt;&gt;0,P205/$F10,0)</f>
        <v>73333.33333</v>
      </c>
      <c r="Q349" s="35"/>
      <c r="R349" s="21"/>
      <c r="S349" s="437"/>
      <c r="T349" s="1245">
        <f>IF(T205&lt;&gt;0,T205/$F10,0)</f>
        <v>0</v>
      </c>
      <c r="U349" s="35"/>
      <c r="V349" s="21"/>
      <c r="W349" s="437"/>
      <c r="X349" s="1245">
        <f>IF(X205&lt;&gt;0,X205/$F10,0)</f>
        <v>0</v>
      </c>
      <c r="Y349" s="35"/>
      <c r="Z349" s="21"/>
      <c r="AA349" s="940"/>
      <c r="AB349" s="1245">
        <f>IF(AB205&lt;&gt;0,AB205/$F10,0)</f>
        <v>0</v>
      </c>
      <c r="AC349" s="35"/>
      <c r="AD349" s="21"/>
      <c r="AE349" s="940"/>
      <c r="AF349" s="1245">
        <f>IF(AF205&lt;&gt;0,AF205/$F10,0)</f>
        <v>0</v>
      </c>
      <c r="AG349" s="35"/>
      <c r="AH349" s="21"/>
      <c r="AI349" s="437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</row>
    <row r="350" ht="14.25" customHeight="1">
      <c r="A350" s="1"/>
      <c r="B350" s="446"/>
      <c r="C350" s="446"/>
      <c r="D350" s="39"/>
      <c r="E350" s="994"/>
      <c r="F350" s="994"/>
      <c r="G350" s="994"/>
      <c r="H350" s="994"/>
      <c r="I350" s="39"/>
      <c r="J350" s="1"/>
      <c r="K350" s="39"/>
      <c r="L350" s="1247"/>
      <c r="M350" s="1247"/>
      <c r="N350" s="1247"/>
      <c r="O350" s="39"/>
      <c r="P350" s="1247"/>
      <c r="Q350" s="1247"/>
      <c r="R350" s="1247"/>
      <c r="S350" s="437"/>
      <c r="T350" s="1247"/>
      <c r="U350" s="1247"/>
      <c r="V350" s="1247"/>
      <c r="W350" s="437"/>
      <c r="X350" s="1247"/>
      <c r="Y350" s="1247"/>
      <c r="Z350" s="1247"/>
      <c r="AA350" s="940"/>
      <c r="AB350" s="1247"/>
      <c r="AC350" s="1247"/>
      <c r="AD350" s="1247"/>
      <c r="AE350" s="940"/>
      <c r="AF350" s="1247"/>
      <c r="AG350" s="1247"/>
      <c r="AH350" s="1247"/>
      <c r="AI350" s="437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</row>
    <row r="351" ht="14.25" customHeight="1">
      <c r="A351" s="1"/>
      <c r="B351" s="438" t="str">
        <f>B$12</f>
        <v>Field House</v>
      </c>
      <c r="C351" s="438"/>
      <c r="D351" s="39"/>
      <c r="E351" s="994"/>
      <c r="F351" s="994"/>
      <c r="G351" s="994"/>
      <c r="H351" s="39"/>
      <c r="I351" s="39"/>
      <c r="J351" s="1"/>
      <c r="K351" s="39"/>
      <c r="L351" s="1245">
        <f>IF(L207&lt;&gt;0,L207/$F12,0)</f>
        <v>83347.9</v>
      </c>
      <c r="M351" s="35"/>
      <c r="N351" s="21"/>
      <c r="O351" s="39"/>
      <c r="P351" s="1245">
        <f>IF(P207&lt;&gt;0,P207/$F12,0)</f>
        <v>210000</v>
      </c>
      <c r="Q351" s="35"/>
      <c r="R351" s="21"/>
      <c r="S351" s="437"/>
      <c r="T351" s="1245">
        <f>IF(T207&lt;&gt;0,T207/$F12,0)</f>
        <v>28666.66667</v>
      </c>
      <c r="U351" s="35"/>
      <c r="V351" s="21"/>
      <c r="W351" s="437"/>
      <c r="X351" s="1245">
        <f>IF(X207&lt;&gt;0,X207/$F12,0)</f>
        <v>0</v>
      </c>
      <c r="Y351" s="35"/>
      <c r="Z351" s="21"/>
      <c r="AA351" s="940"/>
      <c r="AB351" s="1245">
        <f>IF(AB207&lt;&gt;0,AB207/$F12,0)</f>
        <v>0</v>
      </c>
      <c r="AC351" s="35"/>
      <c r="AD351" s="21"/>
      <c r="AE351" s="940"/>
      <c r="AF351" s="1245">
        <f>IF(AF207&lt;&gt;0,AF207/$F12,0)</f>
        <v>0</v>
      </c>
      <c r="AG351" s="35"/>
      <c r="AH351" s="21"/>
      <c r="AI351" s="437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</row>
    <row r="352" ht="14.25" customHeight="1">
      <c r="A352" s="1"/>
      <c r="B352" s="446"/>
      <c r="C352" s="446"/>
      <c r="D352" s="39"/>
      <c r="E352" s="994"/>
      <c r="F352" s="994"/>
      <c r="G352" s="994"/>
      <c r="H352" s="994"/>
      <c r="I352" s="39"/>
      <c r="J352" s="1"/>
      <c r="K352" s="39"/>
      <c r="L352" s="1247"/>
      <c r="M352" s="1247"/>
      <c r="N352" s="1247"/>
      <c r="O352" s="39"/>
      <c r="P352" s="1247"/>
      <c r="Q352" s="1247"/>
      <c r="R352" s="1247"/>
      <c r="S352" s="437"/>
      <c r="T352" s="1247"/>
      <c r="U352" s="1247"/>
      <c r="V352" s="1247"/>
      <c r="W352" s="437"/>
      <c r="X352" s="1247"/>
      <c r="Y352" s="1247"/>
      <c r="Z352" s="1247"/>
      <c r="AA352" s="940"/>
      <c r="AB352" s="1247"/>
      <c r="AC352" s="1247"/>
      <c r="AD352" s="1247"/>
      <c r="AE352" s="940"/>
      <c r="AF352" s="1247"/>
      <c r="AG352" s="1247"/>
      <c r="AH352" s="1247"/>
      <c r="AI352" s="437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</row>
    <row r="353" ht="22.5" customHeight="1">
      <c r="A353" s="1"/>
      <c r="B353" s="438" t="str">
        <f>B$14</f>
        <v/>
      </c>
      <c r="C353" s="438"/>
      <c r="D353" s="39"/>
      <c r="E353" s="994"/>
      <c r="F353" s="994"/>
      <c r="G353" s="994"/>
      <c r="H353" s="39"/>
      <c r="I353" s="39"/>
      <c r="J353" s="1"/>
      <c r="K353" s="39"/>
      <c r="L353" s="1245">
        <f>IF(L209&lt;&gt;0,L209/$F14,0)</f>
        <v>0</v>
      </c>
      <c r="M353" s="35"/>
      <c r="N353" s="21"/>
      <c r="O353" s="39"/>
      <c r="P353" s="1245">
        <f>IF(P209&lt;&gt;0,P209/$F14,0)</f>
        <v>0</v>
      </c>
      <c r="Q353" s="35"/>
      <c r="R353" s="21"/>
      <c r="S353" s="437"/>
      <c r="T353" s="1245">
        <f>IF(T209&lt;&gt;0,T209/$F14,0)</f>
        <v>0</v>
      </c>
      <c r="U353" s="35"/>
      <c r="V353" s="21"/>
      <c r="W353" s="437"/>
      <c r="X353" s="1245">
        <f>IF(X209&lt;&gt;0,X209/$F14,0)</f>
        <v>0</v>
      </c>
      <c r="Y353" s="35"/>
      <c r="Z353" s="21"/>
      <c r="AA353" s="940"/>
      <c r="AB353" s="1245">
        <f>IF(AB209&lt;&gt;0,AB209/$F14,0)</f>
        <v>0</v>
      </c>
      <c r="AC353" s="35"/>
      <c r="AD353" s="21"/>
      <c r="AE353" s="940"/>
      <c r="AF353" s="1245">
        <f>IF(AF209&lt;&gt;0,AF209/$F14,0)</f>
        <v>0</v>
      </c>
      <c r="AG353" s="35"/>
      <c r="AH353" s="21"/>
      <c r="AI353" s="1245"/>
      <c r="AJ353" s="35"/>
      <c r="AK353" s="21"/>
      <c r="AL353" s="972"/>
      <c r="AM353" s="940"/>
      <c r="AN353" s="438"/>
      <c r="AO353" s="438"/>
      <c r="AP353" s="438"/>
      <c r="AQ353" s="438"/>
      <c r="AR353" s="438"/>
      <c r="AS353" s="438"/>
      <c r="AT353" s="438"/>
      <c r="AU353" s="438"/>
      <c r="AV353" s="1245"/>
      <c r="AW353" s="35"/>
      <c r="AX353" s="21"/>
      <c r="AY353" s="1267"/>
      <c r="AZ353" s="1245"/>
      <c r="BA353" s="35"/>
      <c r="BB353" s="21"/>
      <c r="BC353" s="972"/>
      <c r="BD353" s="1245"/>
      <c r="BE353" s="35"/>
      <c r="BF353" s="21"/>
    </row>
    <row r="354" ht="6.0" customHeight="1">
      <c r="A354" s="1"/>
      <c r="B354" s="446"/>
      <c r="C354" s="446"/>
      <c r="D354" s="39"/>
      <c r="E354" s="994"/>
      <c r="F354" s="994"/>
      <c r="G354" s="994"/>
      <c r="H354" s="994"/>
      <c r="I354" s="39"/>
      <c r="J354" s="1"/>
      <c r="K354" s="39"/>
      <c r="L354" s="1247"/>
      <c r="M354" s="1247"/>
      <c r="N354" s="1247"/>
      <c r="O354" s="39"/>
      <c r="P354" s="1247"/>
      <c r="Q354" s="1247"/>
      <c r="R354" s="1247"/>
      <c r="S354" s="437"/>
      <c r="T354" s="1247"/>
      <c r="U354" s="1247"/>
      <c r="V354" s="1247"/>
      <c r="W354" s="437"/>
      <c r="X354" s="1247"/>
      <c r="Y354" s="1247"/>
      <c r="Z354" s="1247"/>
      <c r="AA354" s="940"/>
      <c r="AB354" s="1247"/>
      <c r="AC354" s="1247"/>
      <c r="AD354" s="1247"/>
      <c r="AE354" s="940"/>
      <c r="AF354" s="1247"/>
      <c r="AG354" s="1247"/>
      <c r="AH354" s="1247"/>
      <c r="AI354" s="437"/>
      <c r="AJ354" s="39"/>
      <c r="AK354" s="39"/>
      <c r="AL354" s="39"/>
      <c r="AM354" s="940"/>
      <c r="AN354" s="438"/>
      <c r="AO354" s="438"/>
      <c r="AP354" s="438"/>
      <c r="AQ354" s="438"/>
      <c r="AR354" s="438"/>
      <c r="AS354" s="438"/>
      <c r="AT354" s="438"/>
      <c r="AU354" s="438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</row>
    <row r="355" ht="14.25" customHeight="1">
      <c r="A355" s="1"/>
      <c r="B355" s="438" t="str">
        <f>B$16</f>
        <v/>
      </c>
      <c r="C355" s="438"/>
      <c r="D355" s="39"/>
      <c r="E355" s="994"/>
      <c r="F355" s="994"/>
      <c r="G355" s="994"/>
      <c r="H355" s="39"/>
      <c r="I355" s="39"/>
      <c r="J355" s="1"/>
      <c r="K355" s="39"/>
      <c r="L355" s="1245">
        <f>IF(L211&lt;&gt;0,L211/$F16,0)</f>
        <v>0</v>
      </c>
      <c r="M355" s="35"/>
      <c r="N355" s="21"/>
      <c r="O355" s="39"/>
      <c r="P355" s="1245">
        <f>IF(P211&lt;&gt;0,P211/$F16,0)</f>
        <v>0</v>
      </c>
      <c r="Q355" s="35"/>
      <c r="R355" s="21"/>
      <c r="S355" s="437"/>
      <c r="T355" s="1245">
        <f>IF(T211&lt;&gt;0,T211/$F16,0)</f>
        <v>0</v>
      </c>
      <c r="U355" s="35"/>
      <c r="V355" s="21"/>
      <c r="W355" s="437"/>
      <c r="X355" s="1245">
        <f>IF(X211&lt;&gt;0,X211/$F16,0)</f>
        <v>0</v>
      </c>
      <c r="Y355" s="35"/>
      <c r="Z355" s="21"/>
      <c r="AA355" s="940"/>
      <c r="AB355" s="1245">
        <f>IF(AB211&lt;&gt;0,AB211/$F16,0)</f>
        <v>0</v>
      </c>
      <c r="AC355" s="35"/>
      <c r="AD355" s="21"/>
      <c r="AE355" s="940"/>
      <c r="AF355" s="1245">
        <f>IF(AF211&lt;&gt;0,AF211/$F16,0)</f>
        <v>0</v>
      </c>
      <c r="AG355" s="35"/>
      <c r="AH355" s="21"/>
      <c r="AI355" s="437"/>
      <c r="AJ355" s="1245"/>
      <c r="AK355" s="35"/>
      <c r="AL355" s="21"/>
      <c r="AM355" s="940"/>
      <c r="AN355" s="438"/>
      <c r="AO355" s="438"/>
      <c r="AP355" s="438"/>
      <c r="AQ355" s="438"/>
      <c r="AR355" s="438"/>
      <c r="AS355" s="438"/>
      <c r="AT355" s="438"/>
      <c r="AU355" s="438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</row>
    <row r="356" ht="6.0" customHeight="1">
      <c r="A356" s="1"/>
      <c r="B356" s="438"/>
      <c r="C356" s="438"/>
      <c r="D356" s="39"/>
      <c r="E356" s="994"/>
      <c r="F356" s="994"/>
      <c r="G356" s="994"/>
      <c r="H356" s="994"/>
      <c r="I356" s="39"/>
      <c r="J356" s="1"/>
      <c r="K356" s="39"/>
      <c r="L356" s="1247"/>
      <c r="M356" s="1247"/>
      <c r="N356" s="1247"/>
      <c r="O356" s="39"/>
      <c r="P356" s="1247"/>
      <c r="Q356" s="1247"/>
      <c r="R356" s="1247"/>
      <c r="S356" s="437"/>
      <c r="T356" s="1247"/>
      <c r="U356" s="1247"/>
      <c r="V356" s="1247"/>
      <c r="W356" s="437"/>
      <c r="X356" s="1247"/>
      <c r="Y356" s="1247"/>
      <c r="Z356" s="1247"/>
      <c r="AA356" s="940"/>
      <c r="AB356" s="1247"/>
      <c r="AC356" s="1247"/>
      <c r="AD356" s="1247"/>
      <c r="AE356" s="940"/>
      <c r="AF356" s="1247"/>
      <c r="AG356" s="1247"/>
      <c r="AH356" s="1247"/>
      <c r="AI356" s="437"/>
      <c r="AJ356" s="1245"/>
      <c r="AK356" s="35"/>
      <c r="AL356" s="21"/>
      <c r="AM356" s="940"/>
      <c r="AN356" s="438"/>
      <c r="AO356" s="438"/>
      <c r="AP356" s="438"/>
      <c r="AQ356" s="438"/>
      <c r="AR356" s="438"/>
      <c r="AS356" s="438"/>
      <c r="AT356" s="438"/>
      <c r="AU356" s="438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</row>
    <row r="357" ht="14.25" customHeight="1">
      <c r="A357" s="1"/>
      <c r="B357" s="438" t="str">
        <f>B$18</f>
        <v/>
      </c>
      <c r="C357" s="438"/>
      <c r="D357" s="39"/>
      <c r="E357" s="994"/>
      <c r="F357" s="994"/>
      <c r="G357" s="994"/>
      <c r="H357" s="39"/>
      <c r="I357" s="39"/>
      <c r="J357" s="1"/>
      <c r="K357" s="39"/>
      <c r="L357" s="1245">
        <f>IF(L213&lt;&gt;0,L213/$F18,0)</f>
        <v>0</v>
      </c>
      <c r="M357" s="35"/>
      <c r="N357" s="21"/>
      <c r="O357" s="39"/>
      <c r="P357" s="1245">
        <f>IF(P213&lt;&gt;0,P213/$F18,0)</f>
        <v>0</v>
      </c>
      <c r="Q357" s="35"/>
      <c r="R357" s="21"/>
      <c r="S357" s="437"/>
      <c r="T357" s="1245">
        <f>IF(T213&lt;&gt;0,T213/$F18,0)</f>
        <v>0</v>
      </c>
      <c r="U357" s="35"/>
      <c r="V357" s="21"/>
      <c r="W357" s="437"/>
      <c r="X357" s="1245">
        <f>IF(X213&lt;&gt;0,X213/$F18,0)</f>
        <v>0</v>
      </c>
      <c r="Y357" s="35"/>
      <c r="Z357" s="21"/>
      <c r="AA357" s="940"/>
      <c r="AB357" s="1245">
        <f>IF(AB213&lt;&gt;0,AB213/$F18,0)</f>
        <v>0</v>
      </c>
      <c r="AC357" s="35"/>
      <c r="AD357" s="21"/>
      <c r="AE357" s="940"/>
      <c r="AF357" s="1245">
        <f>IF(AF213&lt;&gt;0,AF213/$F18,0)</f>
        <v>0</v>
      </c>
      <c r="AG357" s="35"/>
      <c r="AH357" s="21"/>
      <c r="AI357" s="437"/>
      <c r="AJ357" s="1245"/>
      <c r="AK357" s="35"/>
      <c r="AL357" s="21"/>
      <c r="AM357" s="940"/>
      <c r="AN357" s="438"/>
      <c r="AO357" s="438"/>
      <c r="AP357" s="438"/>
      <c r="AQ357" s="438"/>
      <c r="AR357" s="438"/>
      <c r="AS357" s="438"/>
      <c r="AT357" s="438"/>
      <c r="AU357" s="438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</row>
    <row r="358" ht="6.0" customHeight="1">
      <c r="A358" s="1"/>
      <c r="B358" s="438"/>
      <c r="C358" s="438"/>
      <c r="D358" s="39"/>
      <c r="E358" s="994"/>
      <c r="F358" s="994"/>
      <c r="G358" s="994"/>
      <c r="H358" s="994"/>
      <c r="I358" s="39"/>
      <c r="J358" s="1"/>
      <c r="K358" s="39"/>
      <c r="L358" s="1247"/>
      <c r="M358" s="1247"/>
      <c r="N358" s="1247"/>
      <c r="O358" s="39"/>
      <c r="P358" s="1247"/>
      <c r="Q358" s="1247"/>
      <c r="R358" s="1247"/>
      <c r="S358" s="437"/>
      <c r="T358" s="1247"/>
      <c r="U358" s="1247"/>
      <c r="V358" s="1247"/>
      <c r="W358" s="437"/>
      <c r="X358" s="1247"/>
      <c r="Y358" s="1247"/>
      <c r="Z358" s="1247"/>
      <c r="AA358" s="940"/>
      <c r="AB358" s="1247"/>
      <c r="AC358" s="1247"/>
      <c r="AD358" s="1247"/>
      <c r="AE358" s="940"/>
      <c r="AF358" s="1247"/>
      <c r="AG358" s="1247"/>
      <c r="AH358" s="1247"/>
      <c r="AI358" s="437"/>
      <c r="AJ358" s="1245"/>
      <c r="AK358" s="35"/>
      <c r="AL358" s="21"/>
      <c r="AM358" s="940"/>
      <c r="AN358" s="438"/>
      <c r="AO358" s="438"/>
      <c r="AP358" s="438"/>
      <c r="AQ358" s="438"/>
      <c r="AR358" s="438"/>
      <c r="AS358" s="438"/>
      <c r="AT358" s="438"/>
      <c r="AU358" s="438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</row>
    <row r="359" ht="14.25" customHeight="1">
      <c r="A359" s="1"/>
      <c r="B359" s="438" t="str">
        <f>B$20</f>
        <v/>
      </c>
      <c r="C359" s="438"/>
      <c r="D359" s="39"/>
      <c r="E359" s="994"/>
      <c r="F359" s="994"/>
      <c r="G359" s="994"/>
      <c r="H359" s="39"/>
      <c r="I359" s="39"/>
      <c r="J359" s="1"/>
      <c r="K359" s="39"/>
      <c r="L359" s="1245">
        <f>IF(L215&lt;&gt;0,L215/$F20,0)</f>
        <v>0</v>
      </c>
      <c r="M359" s="35"/>
      <c r="N359" s="21"/>
      <c r="O359" s="39"/>
      <c r="P359" s="1245">
        <f>IF(P215&lt;&gt;0,P215/$F20,0)</f>
        <v>0</v>
      </c>
      <c r="Q359" s="35"/>
      <c r="R359" s="21"/>
      <c r="S359" s="437"/>
      <c r="T359" s="1245">
        <f>IF(T215&lt;&gt;0,T215/$F20,0)</f>
        <v>0</v>
      </c>
      <c r="U359" s="35"/>
      <c r="V359" s="21"/>
      <c r="W359" s="437"/>
      <c r="X359" s="1245">
        <f>IF(X215&lt;&gt;0,X215/$F20,0)</f>
        <v>0</v>
      </c>
      <c r="Y359" s="35"/>
      <c r="Z359" s="21"/>
      <c r="AA359" s="940"/>
      <c r="AB359" s="1245">
        <f>IF(AB215&lt;&gt;0,AB215/$F20,0)</f>
        <v>0</v>
      </c>
      <c r="AC359" s="35"/>
      <c r="AD359" s="21"/>
      <c r="AE359" s="940"/>
      <c r="AF359" s="1245">
        <f>IF(AF215&lt;&gt;0,AF215/$F20,0)</f>
        <v>0</v>
      </c>
      <c r="AG359" s="35"/>
      <c r="AH359" s="21"/>
      <c r="AI359" s="437"/>
      <c r="AJ359" s="1245"/>
      <c r="AK359" s="35"/>
      <c r="AL359" s="21"/>
      <c r="AM359" s="940"/>
      <c r="AN359" s="438"/>
      <c r="AO359" s="438"/>
      <c r="AP359" s="438"/>
      <c r="AQ359" s="438"/>
      <c r="AR359" s="438"/>
      <c r="AS359" s="438"/>
      <c r="AT359" s="438"/>
      <c r="AU359" s="438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</row>
    <row r="360" ht="6.0" customHeight="1">
      <c r="A360" s="1"/>
      <c r="B360" s="438"/>
      <c r="C360" s="438"/>
      <c r="D360" s="39"/>
      <c r="E360" s="994"/>
      <c r="F360" s="994"/>
      <c r="G360" s="994"/>
      <c r="H360" s="994"/>
      <c r="I360" s="39"/>
      <c r="J360" s="1"/>
      <c r="K360" s="39"/>
      <c r="L360" s="1247"/>
      <c r="M360" s="1247"/>
      <c r="N360" s="1247"/>
      <c r="O360" s="39"/>
      <c r="P360" s="1247"/>
      <c r="Q360" s="1247"/>
      <c r="R360" s="1247"/>
      <c r="S360" s="437"/>
      <c r="T360" s="1247"/>
      <c r="U360" s="1247"/>
      <c r="V360" s="1247"/>
      <c r="W360" s="437"/>
      <c r="X360" s="1247"/>
      <c r="Y360" s="1247"/>
      <c r="Z360" s="1247"/>
      <c r="AA360" s="940"/>
      <c r="AB360" s="1247"/>
      <c r="AC360" s="1247"/>
      <c r="AD360" s="1247"/>
      <c r="AE360" s="940"/>
      <c r="AF360" s="1247"/>
      <c r="AG360" s="1247"/>
      <c r="AH360" s="1247"/>
      <c r="AI360" s="437"/>
      <c r="AJ360" s="1245"/>
      <c r="AK360" s="35"/>
      <c r="AL360" s="21"/>
      <c r="AM360" s="940"/>
      <c r="AN360" s="438"/>
      <c r="AO360" s="438"/>
      <c r="AP360" s="438"/>
      <c r="AQ360" s="438"/>
      <c r="AR360" s="438"/>
      <c r="AS360" s="438"/>
      <c r="AT360" s="438"/>
      <c r="AU360" s="438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</row>
    <row r="361" ht="14.25" customHeight="1">
      <c r="A361" s="1"/>
      <c r="B361" s="438" t="str">
        <f>B$22</f>
        <v/>
      </c>
      <c r="C361" s="438"/>
      <c r="D361" s="39"/>
      <c r="E361" s="994"/>
      <c r="F361" s="994"/>
      <c r="G361" s="994"/>
      <c r="H361" s="39"/>
      <c r="I361" s="39"/>
      <c r="J361" s="1"/>
      <c r="K361" s="39"/>
      <c r="L361" s="1245">
        <f>IF(L217&lt;&gt;0,L217/$F22,0)</f>
        <v>0</v>
      </c>
      <c r="M361" s="35"/>
      <c r="N361" s="21"/>
      <c r="O361" s="39"/>
      <c r="P361" s="1245">
        <f>IF(P217&lt;&gt;0,P217/$F22,0)</f>
        <v>0</v>
      </c>
      <c r="Q361" s="35"/>
      <c r="R361" s="21"/>
      <c r="S361" s="437"/>
      <c r="T361" s="1245">
        <f>IF(T217&lt;&gt;0,T217/$F22,0)</f>
        <v>0</v>
      </c>
      <c r="U361" s="35"/>
      <c r="V361" s="21"/>
      <c r="W361" s="437"/>
      <c r="X361" s="1245">
        <f>IF(X217&lt;&gt;0,X217/$F22,0)</f>
        <v>0</v>
      </c>
      <c r="Y361" s="35"/>
      <c r="Z361" s="21"/>
      <c r="AA361" s="940"/>
      <c r="AB361" s="1245">
        <f>IF(AB217&lt;&gt;0,AB217/$F22,0)</f>
        <v>0</v>
      </c>
      <c r="AC361" s="35"/>
      <c r="AD361" s="21"/>
      <c r="AE361" s="940"/>
      <c r="AF361" s="1245">
        <f>IF(AF217&lt;&gt;0,AF217/$F22,0)</f>
        <v>0</v>
      </c>
      <c r="AG361" s="35"/>
      <c r="AH361" s="21"/>
      <c r="AI361" s="437"/>
      <c r="AJ361" s="1245"/>
      <c r="AK361" s="35"/>
      <c r="AL361" s="21"/>
      <c r="AM361" s="940"/>
      <c r="AN361" s="438"/>
      <c r="AO361" s="438"/>
      <c r="AP361" s="438"/>
      <c r="AQ361" s="438"/>
      <c r="AR361" s="438"/>
      <c r="AS361" s="438"/>
      <c r="AT361" s="438"/>
      <c r="AU361" s="438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</row>
    <row r="362" ht="6.0" customHeight="1">
      <c r="A362" s="1"/>
      <c r="B362" s="438"/>
      <c r="C362" s="438"/>
      <c r="D362" s="39"/>
      <c r="E362" s="994"/>
      <c r="F362" s="994"/>
      <c r="G362" s="994"/>
      <c r="H362" s="994"/>
      <c r="I362" s="39"/>
      <c r="J362" s="1"/>
      <c r="K362" s="39"/>
      <c r="L362" s="1247"/>
      <c r="M362" s="1247"/>
      <c r="N362" s="1247"/>
      <c r="O362" s="39"/>
      <c r="P362" s="1247"/>
      <c r="Q362" s="1247"/>
      <c r="R362" s="1247"/>
      <c r="S362" s="437"/>
      <c r="T362" s="1247"/>
      <c r="U362" s="1247"/>
      <c r="V362" s="1247"/>
      <c r="W362" s="437"/>
      <c r="X362" s="1247"/>
      <c r="Y362" s="1247"/>
      <c r="Z362" s="1247"/>
      <c r="AA362" s="940"/>
      <c r="AB362" s="1247"/>
      <c r="AC362" s="1247"/>
      <c r="AD362" s="1247"/>
      <c r="AE362" s="940"/>
      <c r="AF362" s="1247"/>
      <c r="AG362" s="1247"/>
      <c r="AH362" s="1247"/>
      <c r="AI362" s="437"/>
      <c r="AJ362" s="1245"/>
      <c r="AK362" s="35"/>
      <c r="AL362" s="21"/>
      <c r="AM362" s="940"/>
      <c r="AN362" s="438"/>
      <c r="AO362" s="438"/>
      <c r="AP362" s="438"/>
      <c r="AQ362" s="438"/>
      <c r="AR362" s="438"/>
      <c r="AS362" s="438"/>
      <c r="AT362" s="438"/>
      <c r="AU362" s="438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</row>
    <row r="363" ht="14.25" customHeight="1">
      <c r="A363" s="1"/>
      <c r="B363" s="438" t="str">
        <f>B$24</f>
        <v/>
      </c>
      <c r="C363" s="438"/>
      <c r="D363" s="39"/>
      <c r="E363" s="994"/>
      <c r="F363" s="994"/>
      <c r="G363" s="994"/>
      <c r="H363" s="39"/>
      <c r="I363" s="39"/>
      <c r="J363" s="1"/>
      <c r="K363" s="39"/>
      <c r="L363" s="1245">
        <f>IF(L219&lt;&gt;0,L219/$F24,0)</f>
        <v>0</v>
      </c>
      <c r="M363" s="35"/>
      <c r="N363" s="21"/>
      <c r="O363" s="39"/>
      <c r="P363" s="1245">
        <f>IF(P219&lt;&gt;0,P219/$F24,0)</f>
        <v>0</v>
      </c>
      <c r="Q363" s="35"/>
      <c r="R363" s="21"/>
      <c r="S363" s="437"/>
      <c r="T363" s="1245">
        <f>IF(T219&lt;&gt;0,T219/$F24,0)</f>
        <v>0</v>
      </c>
      <c r="U363" s="35"/>
      <c r="V363" s="21"/>
      <c r="W363" s="437"/>
      <c r="X363" s="1245">
        <f>IF(X219&lt;&gt;0,X219/$F24,0)</f>
        <v>0</v>
      </c>
      <c r="Y363" s="35"/>
      <c r="Z363" s="21"/>
      <c r="AA363" s="940"/>
      <c r="AB363" s="1245">
        <f>IF(AB219&lt;&gt;0,AB219/$F24,0)</f>
        <v>0</v>
      </c>
      <c r="AC363" s="35"/>
      <c r="AD363" s="21"/>
      <c r="AE363" s="940"/>
      <c r="AF363" s="1245">
        <f>IF(AF219&lt;&gt;0,AF219/$F24,0)</f>
        <v>0</v>
      </c>
      <c r="AG363" s="35"/>
      <c r="AH363" s="21"/>
      <c r="AI363" s="437"/>
      <c r="AJ363" s="1247"/>
      <c r="AK363" s="1247"/>
      <c r="AL363" s="1247"/>
      <c r="AM363" s="940"/>
      <c r="AN363" s="438"/>
      <c r="AO363" s="438"/>
      <c r="AP363" s="438"/>
      <c r="AQ363" s="438"/>
      <c r="AR363" s="438"/>
      <c r="AS363" s="438"/>
      <c r="AT363" s="438"/>
      <c r="AU363" s="438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</row>
    <row r="364" ht="6.0" customHeight="1">
      <c r="A364" s="1"/>
      <c r="B364" s="438"/>
      <c r="C364" s="438"/>
      <c r="D364" s="39"/>
      <c r="E364" s="994"/>
      <c r="F364" s="994"/>
      <c r="G364" s="994"/>
      <c r="H364" s="994"/>
      <c r="I364" s="39"/>
      <c r="J364" s="1"/>
      <c r="K364" s="39"/>
      <c r="L364" s="1247"/>
      <c r="M364" s="1247"/>
      <c r="N364" s="1247"/>
      <c r="O364" s="39"/>
      <c r="P364" s="1247"/>
      <c r="Q364" s="1247"/>
      <c r="R364" s="1247"/>
      <c r="S364" s="437"/>
      <c r="T364" s="1247"/>
      <c r="U364" s="1247"/>
      <c r="V364" s="1247"/>
      <c r="W364" s="437"/>
      <c r="X364" s="1247"/>
      <c r="Y364" s="1247"/>
      <c r="Z364" s="1247"/>
      <c r="AA364" s="940"/>
      <c r="AB364" s="1247"/>
      <c r="AC364" s="1247"/>
      <c r="AD364" s="1247"/>
      <c r="AE364" s="940"/>
      <c r="AF364" s="1247"/>
      <c r="AG364" s="1247"/>
      <c r="AH364" s="1247"/>
      <c r="AI364" s="437"/>
      <c r="AJ364" s="1247"/>
      <c r="AK364" s="1247"/>
      <c r="AL364" s="1247"/>
      <c r="AM364" s="940"/>
      <c r="AN364" s="438"/>
      <c r="AO364" s="438"/>
      <c r="AP364" s="438"/>
      <c r="AQ364" s="438"/>
      <c r="AR364" s="438"/>
      <c r="AS364" s="438"/>
      <c r="AT364" s="438"/>
      <c r="AU364" s="438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</row>
    <row r="365" ht="14.25" customHeight="1">
      <c r="A365" s="1"/>
      <c r="B365" s="438" t="str">
        <f>B$26</f>
        <v/>
      </c>
      <c r="C365" s="438"/>
      <c r="D365" s="39"/>
      <c r="E365" s="994"/>
      <c r="F365" s="994"/>
      <c r="G365" s="994"/>
      <c r="H365" s="39"/>
      <c r="I365" s="39"/>
      <c r="J365" s="1"/>
      <c r="K365" s="39"/>
      <c r="L365" s="1245">
        <f>IF(L221&lt;&gt;0,L221/$F26,0)</f>
        <v>0</v>
      </c>
      <c r="M365" s="35"/>
      <c r="N365" s="21"/>
      <c r="O365" s="39"/>
      <c r="P365" s="1245">
        <f>IF(P221&lt;&gt;0,P221/$F26,0)</f>
        <v>0</v>
      </c>
      <c r="Q365" s="35"/>
      <c r="R365" s="21"/>
      <c r="S365" s="437"/>
      <c r="T365" s="1245">
        <f>IF(T221&lt;&gt;0,T221/$F26,0)</f>
        <v>0</v>
      </c>
      <c r="U365" s="35"/>
      <c r="V365" s="21"/>
      <c r="W365" s="437"/>
      <c r="X365" s="1245">
        <f>IF(X221&lt;&gt;0,X221/$F26,0)</f>
        <v>0</v>
      </c>
      <c r="Y365" s="35"/>
      <c r="Z365" s="21"/>
      <c r="AA365" s="940"/>
      <c r="AB365" s="1245">
        <f>IF(AB221&lt;&gt;0,AB221/$F26,0)</f>
        <v>0</v>
      </c>
      <c r="AC365" s="35"/>
      <c r="AD365" s="21"/>
      <c r="AE365" s="940"/>
      <c r="AF365" s="1245">
        <f>IF(AF221&lt;&gt;0,AF221/$F26,0)</f>
        <v>0</v>
      </c>
      <c r="AG365" s="35"/>
      <c r="AH365" s="21"/>
      <c r="AI365" s="437"/>
      <c r="AJ365" s="1247"/>
      <c r="AK365" s="1247"/>
      <c r="AL365" s="1247"/>
      <c r="AM365" s="940"/>
      <c r="AN365" s="438"/>
      <c r="AO365" s="438"/>
      <c r="AP365" s="438"/>
      <c r="AQ365" s="438"/>
      <c r="AR365" s="438"/>
      <c r="AS365" s="438"/>
      <c r="AT365" s="438"/>
      <c r="AU365" s="438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</row>
    <row r="366" ht="6.0" customHeight="1">
      <c r="A366" s="1"/>
      <c r="B366" s="438"/>
      <c r="C366" s="438"/>
      <c r="D366" s="39"/>
      <c r="E366" s="994"/>
      <c r="F366" s="994"/>
      <c r="G366" s="994"/>
      <c r="H366" s="994"/>
      <c r="I366" s="39"/>
      <c r="J366" s="1"/>
      <c r="K366" s="39"/>
      <c r="L366" s="1247"/>
      <c r="M366" s="1247"/>
      <c r="N366" s="1247"/>
      <c r="O366" s="39"/>
      <c r="P366" s="1247"/>
      <c r="Q366" s="1247"/>
      <c r="R366" s="1247"/>
      <c r="S366" s="437"/>
      <c r="T366" s="1247"/>
      <c r="U366" s="1247"/>
      <c r="V366" s="1247"/>
      <c r="W366" s="437"/>
      <c r="X366" s="1247"/>
      <c r="Y366" s="1247"/>
      <c r="Z366" s="1247"/>
      <c r="AA366" s="940"/>
      <c r="AB366" s="1247"/>
      <c r="AC366" s="1247"/>
      <c r="AD366" s="1247"/>
      <c r="AE366" s="940"/>
      <c r="AF366" s="1247"/>
      <c r="AG366" s="1247"/>
      <c r="AH366" s="1247"/>
      <c r="AI366" s="437"/>
      <c r="AJ366" s="1247"/>
      <c r="AK366" s="1247"/>
      <c r="AL366" s="1247"/>
      <c r="AM366" s="940"/>
      <c r="AN366" s="438"/>
      <c r="AO366" s="438"/>
      <c r="AP366" s="438"/>
      <c r="AQ366" s="438"/>
      <c r="AR366" s="438"/>
      <c r="AS366" s="438"/>
      <c r="AT366" s="438"/>
      <c r="AU366" s="438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</row>
    <row r="367" ht="14.25" customHeight="1">
      <c r="A367" s="1"/>
      <c r="B367" s="438" t="str">
        <f>B$28</f>
        <v/>
      </c>
      <c r="C367" s="438"/>
      <c r="D367" s="39"/>
      <c r="E367" s="994"/>
      <c r="F367" s="994"/>
      <c r="G367" s="994"/>
      <c r="H367" s="39"/>
      <c r="I367" s="39"/>
      <c r="J367" s="1"/>
      <c r="K367" s="39"/>
      <c r="L367" s="1245">
        <f>IF(L223&lt;&gt;0,L223/$F28,0)</f>
        <v>0</v>
      </c>
      <c r="M367" s="35"/>
      <c r="N367" s="21"/>
      <c r="O367" s="39"/>
      <c r="P367" s="1245">
        <f>IF(P223&lt;&gt;0,P223/$F28,0)</f>
        <v>0</v>
      </c>
      <c r="Q367" s="35"/>
      <c r="R367" s="21"/>
      <c r="S367" s="437"/>
      <c r="T367" s="1245">
        <f>IF(T223&lt;&gt;0,T223/$F28,0)</f>
        <v>0</v>
      </c>
      <c r="U367" s="35"/>
      <c r="V367" s="21"/>
      <c r="W367" s="437"/>
      <c r="X367" s="1245">
        <f>IF(X223&lt;&gt;0,X223/$F28,0)</f>
        <v>0</v>
      </c>
      <c r="Y367" s="35"/>
      <c r="Z367" s="21"/>
      <c r="AA367" s="940"/>
      <c r="AB367" s="1245">
        <f>IF(AB223&lt;&gt;0,AB223/$F28,0)</f>
        <v>0</v>
      </c>
      <c r="AC367" s="35"/>
      <c r="AD367" s="21"/>
      <c r="AE367" s="940"/>
      <c r="AF367" s="1245">
        <f>IF(AF223&lt;&gt;0,AF223/$F28,0)</f>
        <v>0</v>
      </c>
      <c r="AG367" s="35"/>
      <c r="AH367" s="21"/>
      <c r="AI367" s="437"/>
      <c r="AJ367" s="1247"/>
      <c r="AK367" s="1247"/>
      <c r="AL367" s="1247"/>
      <c r="AM367" s="940"/>
      <c r="AN367" s="438"/>
      <c r="AO367" s="438"/>
      <c r="AP367" s="438"/>
      <c r="AQ367" s="438"/>
      <c r="AR367" s="438"/>
      <c r="AS367" s="438"/>
      <c r="AT367" s="438"/>
      <c r="AU367" s="438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</row>
    <row r="368" ht="6.0" customHeight="1">
      <c r="A368" s="1"/>
      <c r="B368" s="438"/>
      <c r="C368" s="438"/>
      <c r="D368" s="39"/>
      <c r="E368" s="994"/>
      <c r="F368" s="994"/>
      <c r="G368" s="994"/>
      <c r="H368" s="994"/>
      <c r="I368" s="39"/>
      <c r="J368" s="1"/>
      <c r="K368" s="39"/>
      <c r="L368" s="1247"/>
      <c r="M368" s="1247"/>
      <c r="N368" s="1247"/>
      <c r="O368" s="39"/>
      <c r="P368" s="1247"/>
      <c r="Q368" s="1247"/>
      <c r="R368" s="1247"/>
      <c r="S368" s="437"/>
      <c r="T368" s="1247"/>
      <c r="U368" s="1247"/>
      <c r="V368" s="1247"/>
      <c r="W368" s="437"/>
      <c r="X368" s="1247"/>
      <c r="Y368" s="1247"/>
      <c r="Z368" s="1247"/>
      <c r="AA368" s="940"/>
      <c r="AB368" s="1247"/>
      <c r="AC368" s="1247"/>
      <c r="AD368" s="1247"/>
      <c r="AE368" s="940"/>
      <c r="AF368" s="1247"/>
      <c r="AG368" s="1247"/>
      <c r="AH368" s="1247"/>
      <c r="AI368" s="437"/>
      <c r="AJ368" s="1247"/>
      <c r="AK368" s="1247"/>
      <c r="AL368" s="1247"/>
      <c r="AM368" s="940"/>
      <c r="AN368" s="438"/>
      <c r="AO368" s="438"/>
      <c r="AP368" s="438"/>
      <c r="AQ368" s="438"/>
      <c r="AR368" s="438"/>
      <c r="AS368" s="438"/>
      <c r="AT368" s="438"/>
      <c r="AU368" s="438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</row>
    <row r="369" ht="14.25" customHeight="1">
      <c r="A369" s="1"/>
      <c r="B369" s="438" t="str">
        <f>B$30</f>
        <v/>
      </c>
      <c r="C369" s="438"/>
      <c r="D369" s="39"/>
      <c r="E369" s="994"/>
      <c r="F369" s="994"/>
      <c r="G369" s="994"/>
      <c r="H369" s="39"/>
      <c r="I369" s="39"/>
      <c r="J369" s="1"/>
      <c r="K369" s="39"/>
      <c r="L369" s="1245">
        <f>IF(L225&lt;&gt;0,L225/$F30,0)</f>
        <v>0</v>
      </c>
      <c r="M369" s="35"/>
      <c r="N369" s="21"/>
      <c r="O369" s="39"/>
      <c r="P369" s="1245">
        <f>IF(P225&lt;&gt;0,P225/$F30,0)</f>
        <v>0</v>
      </c>
      <c r="Q369" s="35"/>
      <c r="R369" s="21"/>
      <c r="S369" s="437"/>
      <c r="T369" s="1245">
        <f>IF(T225&lt;&gt;0,T225/$F30,0)</f>
        <v>0</v>
      </c>
      <c r="U369" s="35"/>
      <c r="V369" s="21"/>
      <c r="W369" s="437"/>
      <c r="X369" s="1245">
        <f>IF(X225&lt;&gt;0,X225/$F30,0)</f>
        <v>0</v>
      </c>
      <c r="Y369" s="35"/>
      <c r="Z369" s="21"/>
      <c r="AA369" s="940"/>
      <c r="AB369" s="1245">
        <f>IF(AB225&lt;&gt;0,AB225/$F30,0)</f>
        <v>0</v>
      </c>
      <c r="AC369" s="35"/>
      <c r="AD369" s="21"/>
      <c r="AE369" s="940"/>
      <c r="AF369" s="1245">
        <f>IF(AF225&lt;&gt;0,AF225/$F30,0)</f>
        <v>0</v>
      </c>
      <c r="AG369" s="35"/>
      <c r="AH369" s="21"/>
      <c r="AI369" s="437"/>
      <c r="AJ369" s="1247"/>
      <c r="AK369" s="1247"/>
      <c r="AL369" s="1247"/>
      <c r="AM369" s="940"/>
      <c r="AN369" s="438"/>
      <c r="AO369" s="438"/>
      <c r="AP369" s="438"/>
      <c r="AQ369" s="438"/>
      <c r="AR369" s="438"/>
      <c r="AS369" s="438"/>
      <c r="AT369" s="438"/>
      <c r="AU369" s="438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</row>
    <row r="370" ht="6.0" customHeight="1">
      <c r="A370" s="1"/>
      <c r="B370" s="438"/>
      <c r="C370" s="438"/>
      <c r="D370" s="39"/>
      <c r="E370" s="994"/>
      <c r="F370" s="994"/>
      <c r="G370" s="994"/>
      <c r="H370" s="994"/>
      <c r="I370" s="39"/>
      <c r="J370" s="1"/>
      <c r="K370" s="39"/>
      <c r="L370" s="1247"/>
      <c r="M370" s="1247"/>
      <c r="N370" s="1247"/>
      <c r="O370" s="39"/>
      <c r="P370" s="1247"/>
      <c r="Q370" s="1247"/>
      <c r="R370" s="1247"/>
      <c r="S370" s="437"/>
      <c r="T370" s="1247"/>
      <c r="U370" s="1247"/>
      <c r="V370" s="1247"/>
      <c r="W370" s="437"/>
      <c r="X370" s="1247"/>
      <c r="Y370" s="1247"/>
      <c r="Z370" s="1247"/>
      <c r="AA370" s="940"/>
      <c r="AB370" s="1247"/>
      <c r="AC370" s="1247"/>
      <c r="AD370" s="1247"/>
      <c r="AE370" s="940"/>
      <c r="AF370" s="1247"/>
      <c r="AG370" s="1247"/>
      <c r="AH370" s="1247"/>
      <c r="AI370" s="437"/>
      <c r="AJ370" s="1247"/>
      <c r="AK370" s="1247"/>
      <c r="AL370" s="1247"/>
      <c r="AM370" s="940"/>
      <c r="AN370" s="438"/>
      <c r="AO370" s="438"/>
      <c r="AP370" s="438"/>
      <c r="AQ370" s="438"/>
      <c r="AR370" s="438"/>
      <c r="AS370" s="438"/>
      <c r="AT370" s="438"/>
      <c r="AU370" s="438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</row>
    <row r="371" ht="14.25" customHeight="1">
      <c r="A371" s="1"/>
      <c r="B371" s="438" t="str">
        <f>B$32</f>
        <v/>
      </c>
      <c r="C371" s="438"/>
      <c r="D371" s="39"/>
      <c r="E371" s="994"/>
      <c r="F371" s="994"/>
      <c r="G371" s="994"/>
      <c r="H371" s="39"/>
      <c r="I371" s="39"/>
      <c r="J371" s="1"/>
      <c r="K371" s="39"/>
      <c r="L371" s="1245">
        <f>IF(L227&lt;&gt;0,L227/$F32,0)</f>
        <v>0</v>
      </c>
      <c r="M371" s="35"/>
      <c r="N371" s="21"/>
      <c r="O371" s="39"/>
      <c r="P371" s="1245">
        <f>IF(P227&lt;&gt;0,P227/$F32,0)</f>
        <v>0</v>
      </c>
      <c r="Q371" s="35"/>
      <c r="R371" s="21"/>
      <c r="S371" s="437"/>
      <c r="T371" s="1245">
        <f>IF(T227&lt;&gt;0,T227/$F32,0)</f>
        <v>0</v>
      </c>
      <c r="U371" s="35"/>
      <c r="V371" s="21"/>
      <c r="W371" s="437"/>
      <c r="X371" s="1245">
        <f>IF(X227&lt;&gt;0,X227/$F32,0)</f>
        <v>0</v>
      </c>
      <c r="Y371" s="35"/>
      <c r="Z371" s="21"/>
      <c r="AA371" s="940"/>
      <c r="AB371" s="1245">
        <f>IF(AB227&lt;&gt;0,AB227/$F32,0)</f>
        <v>0</v>
      </c>
      <c r="AC371" s="35"/>
      <c r="AD371" s="21"/>
      <c r="AE371" s="940"/>
      <c r="AF371" s="1245">
        <f>IF(AF227&lt;&gt;0,AF227/$F32,0)</f>
        <v>0</v>
      </c>
      <c r="AG371" s="35"/>
      <c r="AH371" s="21"/>
      <c r="AI371" s="437"/>
      <c r="AJ371" s="1247"/>
      <c r="AK371" s="1247"/>
      <c r="AL371" s="1247"/>
      <c r="AM371" s="940"/>
      <c r="AN371" s="438"/>
      <c r="AO371" s="438"/>
      <c r="AP371" s="438"/>
      <c r="AQ371" s="438"/>
      <c r="AR371" s="438"/>
      <c r="AS371" s="438"/>
      <c r="AT371" s="438"/>
      <c r="AU371" s="438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</row>
    <row r="372" ht="6.0" customHeight="1">
      <c r="A372" s="1"/>
      <c r="B372" s="438"/>
      <c r="C372" s="438"/>
      <c r="D372" s="39"/>
      <c r="E372" s="994"/>
      <c r="F372" s="994"/>
      <c r="G372" s="994"/>
      <c r="H372" s="994"/>
      <c r="I372" s="39"/>
      <c r="J372" s="1"/>
      <c r="K372" s="39"/>
      <c r="L372" s="1247"/>
      <c r="M372" s="1247"/>
      <c r="N372" s="1247"/>
      <c r="O372" s="39"/>
      <c r="P372" s="1247"/>
      <c r="Q372" s="1247"/>
      <c r="R372" s="1247"/>
      <c r="S372" s="437"/>
      <c r="T372" s="1247"/>
      <c r="U372" s="1247"/>
      <c r="V372" s="1247"/>
      <c r="W372" s="437"/>
      <c r="X372" s="1247"/>
      <c r="Y372" s="1247"/>
      <c r="Z372" s="1247"/>
      <c r="AA372" s="940"/>
      <c r="AB372" s="1247"/>
      <c r="AC372" s="1247"/>
      <c r="AD372" s="1247"/>
      <c r="AE372" s="940"/>
      <c r="AF372" s="1247"/>
      <c r="AG372" s="1247"/>
      <c r="AH372" s="1247"/>
      <c r="AI372" s="437"/>
      <c r="AJ372" s="1247"/>
      <c r="AK372" s="1247"/>
      <c r="AL372" s="1247"/>
      <c r="AM372" s="940"/>
      <c r="AN372" s="438"/>
      <c r="AO372" s="438"/>
      <c r="AP372" s="438"/>
      <c r="AQ372" s="438"/>
      <c r="AR372" s="438"/>
      <c r="AS372" s="438"/>
      <c r="AT372" s="438"/>
      <c r="AU372" s="438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</row>
    <row r="373" ht="14.25" customHeight="1">
      <c r="A373" s="1"/>
      <c r="B373" s="438" t="str">
        <f>B$34</f>
        <v/>
      </c>
      <c r="C373" s="438"/>
      <c r="D373" s="39"/>
      <c r="E373" s="994"/>
      <c r="F373" s="994"/>
      <c r="G373" s="994"/>
      <c r="H373" s="39"/>
      <c r="I373" s="39"/>
      <c r="J373" s="1"/>
      <c r="K373" s="39"/>
      <c r="L373" s="1245">
        <f>IF(L229&lt;&gt;0,L229/$F34,0)</f>
        <v>0</v>
      </c>
      <c r="M373" s="35"/>
      <c r="N373" s="21"/>
      <c r="O373" s="39"/>
      <c r="P373" s="1245">
        <f>IF(P229&lt;&gt;0,P229/$F34,0)</f>
        <v>0</v>
      </c>
      <c r="Q373" s="35"/>
      <c r="R373" s="21"/>
      <c r="S373" s="437"/>
      <c r="T373" s="1245">
        <f>IF(T229&lt;&gt;0,T229/$F34,0)</f>
        <v>0</v>
      </c>
      <c r="U373" s="35"/>
      <c r="V373" s="21"/>
      <c r="W373" s="437"/>
      <c r="X373" s="1245">
        <f>IF(X229&lt;&gt;0,X229/$F34,0)</f>
        <v>0</v>
      </c>
      <c r="Y373" s="35"/>
      <c r="Z373" s="21"/>
      <c r="AA373" s="940"/>
      <c r="AB373" s="1245">
        <f>IF(AB229&lt;&gt;0,AB229/$F34,0)</f>
        <v>0</v>
      </c>
      <c r="AC373" s="35"/>
      <c r="AD373" s="21"/>
      <c r="AE373" s="940"/>
      <c r="AF373" s="1245">
        <f>IF(AF229&lt;&gt;0,AF229/$F34,0)</f>
        <v>0</v>
      </c>
      <c r="AG373" s="35"/>
      <c r="AH373" s="21"/>
      <c r="AI373" s="437"/>
      <c r="AJ373" s="1247"/>
      <c r="AK373" s="1247"/>
      <c r="AL373" s="1247"/>
      <c r="AM373" s="940"/>
      <c r="AN373" s="438"/>
      <c r="AO373" s="438"/>
      <c r="AP373" s="438"/>
      <c r="AQ373" s="438"/>
      <c r="AR373" s="438"/>
      <c r="AS373" s="438"/>
      <c r="AT373" s="438"/>
      <c r="AU373" s="438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</row>
    <row r="374" ht="6.0" customHeight="1">
      <c r="A374" s="1"/>
      <c r="B374" s="438"/>
      <c r="C374" s="438"/>
      <c r="D374" s="39"/>
      <c r="E374" s="994"/>
      <c r="F374" s="994"/>
      <c r="G374" s="994"/>
      <c r="H374" s="994"/>
      <c r="I374" s="39"/>
      <c r="J374" s="1"/>
      <c r="K374" s="39"/>
      <c r="L374" s="1247"/>
      <c r="M374" s="1247"/>
      <c r="N374" s="1247"/>
      <c r="O374" s="39"/>
      <c r="P374" s="1247"/>
      <c r="Q374" s="1247"/>
      <c r="R374" s="1247"/>
      <c r="S374" s="437"/>
      <c r="T374" s="1247"/>
      <c r="U374" s="1247"/>
      <c r="V374" s="1247"/>
      <c r="W374" s="437"/>
      <c r="X374" s="1247"/>
      <c r="Y374" s="1247"/>
      <c r="Z374" s="1247"/>
      <c r="AA374" s="940"/>
      <c r="AB374" s="1247"/>
      <c r="AC374" s="1247"/>
      <c r="AD374" s="1247"/>
      <c r="AE374" s="940"/>
      <c r="AF374" s="1247"/>
      <c r="AG374" s="1247"/>
      <c r="AH374" s="1247"/>
      <c r="AI374" s="437"/>
      <c r="AJ374" s="1247"/>
      <c r="AK374" s="1247"/>
      <c r="AL374" s="1247"/>
      <c r="AM374" s="940"/>
      <c r="AN374" s="438"/>
      <c r="AO374" s="438"/>
      <c r="AP374" s="438"/>
      <c r="AQ374" s="438"/>
      <c r="AR374" s="438"/>
      <c r="AS374" s="438"/>
      <c r="AT374" s="438"/>
      <c r="AU374" s="438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</row>
    <row r="375" ht="14.25" customHeight="1">
      <c r="A375" s="1"/>
      <c r="B375" s="438" t="str">
        <f>B$36</f>
        <v/>
      </c>
      <c r="C375" s="438"/>
      <c r="D375" s="39"/>
      <c r="E375" s="994"/>
      <c r="F375" s="994"/>
      <c r="G375" s="994"/>
      <c r="H375" s="39"/>
      <c r="I375" s="39"/>
      <c r="J375" s="1"/>
      <c r="K375" s="39"/>
      <c r="L375" s="1245">
        <f>IF(L231&lt;&gt;0,L231/$F36,0)</f>
        <v>0</v>
      </c>
      <c r="M375" s="35"/>
      <c r="N375" s="21"/>
      <c r="O375" s="39"/>
      <c r="P375" s="1245">
        <f>IF(P231&lt;&gt;0,P231/$F36,0)</f>
        <v>0</v>
      </c>
      <c r="Q375" s="35"/>
      <c r="R375" s="21"/>
      <c r="S375" s="437"/>
      <c r="T375" s="1245">
        <f>IF(T231&lt;&gt;0,T231/$F36,0)</f>
        <v>0</v>
      </c>
      <c r="U375" s="35"/>
      <c r="V375" s="21"/>
      <c r="W375" s="437"/>
      <c r="X375" s="1245">
        <f>IF(X231&lt;&gt;0,X231/$F36,0)</f>
        <v>0</v>
      </c>
      <c r="Y375" s="35"/>
      <c r="Z375" s="21"/>
      <c r="AA375" s="940"/>
      <c r="AB375" s="1245">
        <f>IF(AB231&lt;&gt;0,AB231/$F36,0)</f>
        <v>0</v>
      </c>
      <c r="AC375" s="35"/>
      <c r="AD375" s="21"/>
      <c r="AE375" s="940"/>
      <c r="AF375" s="1245">
        <f>IF(AF231&lt;&gt;0,AF231/$F36,0)</f>
        <v>0</v>
      </c>
      <c r="AG375" s="35"/>
      <c r="AH375" s="21"/>
      <c r="AI375" s="437"/>
      <c r="AJ375" s="1247"/>
      <c r="AK375" s="1247"/>
      <c r="AL375" s="1247"/>
      <c r="AM375" s="940"/>
      <c r="AN375" s="438"/>
      <c r="AO375" s="438"/>
      <c r="AP375" s="438"/>
      <c r="AQ375" s="438"/>
      <c r="AR375" s="438"/>
      <c r="AS375" s="438"/>
      <c r="AT375" s="438"/>
      <c r="AU375" s="438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</row>
    <row r="376" ht="6.0" customHeight="1">
      <c r="A376" s="1"/>
      <c r="B376" s="438"/>
      <c r="C376" s="438"/>
      <c r="D376" s="39"/>
      <c r="E376" s="994"/>
      <c r="F376" s="994"/>
      <c r="G376" s="994"/>
      <c r="H376" s="994"/>
      <c r="I376" s="39"/>
      <c r="J376" s="1"/>
      <c r="K376" s="39"/>
      <c r="L376" s="1247"/>
      <c r="M376" s="1247"/>
      <c r="N376" s="1247"/>
      <c r="O376" s="39"/>
      <c r="P376" s="1247"/>
      <c r="Q376" s="1247"/>
      <c r="R376" s="1247"/>
      <c r="S376" s="437"/>
      <c r="T376" s="1247"/>
      <c r="U376" s="1247"/>
      <c r="V376" s="1247"/>
      <c r="W376" s="437"/>
      <c r="X376" s="1247"/>
      <c r="Y376" s="1247"/>
      <c r="Z376" s="1247"/>
      <c r="AA376" s="940"/>
      <c r="AB376" s="1247"/>
      <c r="AC376" s="1247"/>
      <c r="AD376" s="1247"/>
      <c r="AE376" s="940"/>
      <c r="AF376" s="1247"/>
      <c r="AG376" s="1247"/>
      <c r="AH376" s="1247"/>
      <c r="AI376" s="437"/>
      <c r="AJ376" s="1247"/>
      <c r="AK376" s="1247"/>
      <c r="AL376" s="1247"/>
      <c r="AM376" s="940"/>
      <c r="AN376" s="438"/>
      <c r="AO376" s="438"/>
      <c r="AP376" s="438"/>
      <c r="AQ376" s="438"/>
      <c r="AR376" s="438"/>
      <c r="AS376" s="438"/>
      <c r="AT376" s="438"/>
      <c r="AU376" s="438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</row>
    <row r="377" ht="14.25" customHeight="1">
      <c r="A377" s="1"/>
      <c r="B377" s="438" t="str">
        <f>B$38</f>
        <v/>
      </c>
      <c r="C377" s="438"/>
      <c r="D377" s="39"/>
      <c r="E377" s="994"/>
      <c r="F377" s="994"/>
      <c r="G377" s="994"/>
      <c r="H377" s="39"/>
      <c r="I377" s="39"/>
      <c r="J377" s="1"/>
      <c r="K377" s="39"/>
      <c r="L377" s="1245">
        <f>IF(L233&lt;&gt;0,L233/$F38,0)</f>
        <v>0</v>
      </c>
      <c r="M377" s="35"/>
      <c r="N377" s="21"/>
      <c r="O377" s="39"/>
      <c r="P377" s="1245">
        <f>IF(P233&lt;&gt;0,P233/$F38,0)</f>
        <v>0</v>
      </c>
      <c r="Q377" s="35"/>
      <c r="R377" s="21"/>
      <c r="S377" s="437"/>
      <c r="T377" s="1245">
        <f>IF(T233&lt;&gt;0,T233/$F38,0)</f>
        <v>0</v>
      </c>
      <c r="U377" s="35"/>
      <c r="V377" s="21"/>
      <c r="W377" s="437"/>
      <c r="X377" s="1245">
        <f>IF(X233&lt;&gt;0,X233/$F38,0)</f>
        <v>0</v>
      </c>
      <c r="Y377" s="35"/>
      <c r="Z377" s="21"/>
      <c r="AA377" s="940"/>
      <c r="AB377" s="1245">
        <f>IF(AB233&lt;&gt;0,AB233/$F38,0)</f>
        <v>0</v>
      </c>
      <c r="AC377" s="35"/>
      <c r="AD377" s="21"/>
      <c r="AE377" s="940"/>
      <c r="AF377" s="1245">
        <f>IF(AF233&lt;&gt;0,AF233/$F38,0)</f>
        <v>0</v>
      </c>
      <c r="AG377" s="35"/>
      <c r="AH377" s="21"/>
      <c r="AI377" s="437"/>
      <c r="AJ377" s="1247"/>
      <c r="AK377" s="1247"/>
      <c r="AL377" s="1247"/>
      <c r="AM377" s="940"/>
      <c r="AN377" s="438"/>
      <c r="AO377" s="438"/>
      <c r="AP377" s="438"/>
      <c r="AQ377" s="438"/>
      <c r="AR377" s="438"/>
      <c r="AS377" s="438"/>
      <c r="AT377" s="438"/>
      <c r="AU377" s="438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</row>
    <row r="378" ht="6.0" customHeight="1">
      <c r="A378" s="1"/>
      <c r="B378" s="438"/>
      <c r="C378" s="438"/>
      <c r="D378" s="39"/>
      <c r="E378" s="994"/>
      <c r="F378" s="994"/>
      <c r="G378" s="994"/>
      <c r="H378" s="994"/>
      <c r="I378" s="39"/>
      <c r="J378" s="1"/>
      <c r="K378" s="39"/>
      <c r="L378" s="1247"/>
      <c r="M378" s="1247"/>
      <c r="N378" s="1247"/>
      <c r="O378" s="39"/>
      <c r="P378" s="1247"/>
      <c r="Q378" s="1247"/>
      <c r="R378" s="1247"/>
      <c r="S378" s="437"/>
      <c r="T378" s="1247"/>
      <c r="U378" s="1247"/>
      <c r="V378" s="1247"/>
      <c r="W378" s="437"/>
      <c r="X378" s="1247"/>
      <c r="Y378" s="1247"/>
      <c r="Z378" s="1247"/>
      <c r="AA378" s="940"/>
      <c r="AB378" s="1247"/>
      <c r="AC378" s="1247"/>
      <c r="AD378" s="1247"/>
      <c r="AE378" s="940"/>
      <c r="AF378" s="1247"/>
      <c r="AG378" s="1247"/>
      <c r="AH378" s="1247"/>
      <c r="AI378" s="437"/>
      <c r="AJ378" s="1247"/>
      <c r="AK378" s="1247"/>
      <c r="AL378" s="1247"/>
      <c r="AM378" s="940"/>
      <c r="AN378" s="438"/>
      <c r="AO378" s="438"/>
      <c r="AP378" s="438"/>
      <c r="AQ378" s="438"/>
      <c r="AR378" s="438"/>
      <c r="AS378" s="438"/>
      <c r="AT378" s="438"/>
      <c r="AU378" s="438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</row>
    <row r="379" ht="14.25" customHeight="1">
      <c r="A379" s="1"/>
      <c r="B379" s="438" t="str">
        <f>B$40</f>
        <v/>
      </c>
      <c r="C379" s="438"/>
      <c r="D379" s="39"/>
      <c r="E379" s="994"/>
      <c r="F379" s="994"/>
      <c r="G379" s="994"/>
      <c r="H379" s="39"/>
      <c r="I379" s="39"/>
      <c r="J379" s="1"/>
      <c r="K379" s="39"/>
      <c r="L379" s="1245">
        <f>IF(L235&lt;&gt;0,L235/$F40,0)</f>
        <v>0</v>
      </c>
      <c r="M379" s="35"/>
      <c r="N379" s="21"/>
      <c r="O379" s="39"/>
      <c r="P379" s="1245">
        <f>IF(P235&lt;&gt;0,P235/$F40,0)</f>
        <v>0</v>
      </c>
      <c r="Q379" s="35"/>
      <c r="R379" s="21"/>
      <c r="S379" s="437"/>
      <c r="T379" s="1245">
        <f>IF(T235&lt;&gt;0,T235/$F40,0)</f>
        <v>0</v>
      </c>
      <c r="U379" s="35"/>
      <c r="V379" s="21"/>
      <c r="W379" s="437"/>
      <c r="X379" s="1245">
        <f>IF(X235&lt;&gt;0,X235/$F40,0)</f>
        <v>0</v>
      </c>
      <c r="Y379" s="35"/>
      <c r="Z379" s="21"/>
      <c r="AA379" s="940"/>
      <c r="AB379" s="1245">
        <f>IF(AB235&lt;&gt;0,AB235/$F40,0)</f>
        <v>0</v>
      </c>
      <c r="AC379" s="35"/>
      <c r="AD379" s="21"/>
      <c r="AE379" s="940"/>
      <c r="AF379" s="1245">
        <f>IF(AF235&lt;&gt;0,AF235/$F40,0)</f>
        <v>0</v>
      </c>
      <c r="AG379" s="35"/>
      <c r="AH379" s="21"/>
      <c r="AI379" s="437"/>
      <c r="AJ379" s="1247"/>
      <c r="AK379" s="1247"/>
      <c r="AL379" s="1247"/>
      <c r="AM379" s="940"/>
      <c r="AN379" s="438"/>
      <c r="AO379" s="438"/>
      <c r="AP379" s="438"/>
      <c r="AQ379" s="438"/>
      <c r="AR379" s="438"/>
      <c r="AS379" s="438"/>
      <c r="AT379" s="438"/>
      <c r="AU379" s="438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</row>
    <row r="380" ht="6.0" customHeight="1">
      <c r="A380" s="1"/>
      <c r="B380" s="1"/>
      <c r="C380" s="438"/>
      <c r="D380" s="39"/>
      <c r="E380" s="994"/>
      <c r="F380" s="994"/>
      <c r="G380" s="994"/>
      <c r="H380" s="994"/>
      <c r="I380" s="39"/>
      <c r="J380" s="1"/>
      <c r="K380" s="39"/>
      <c r="L380" s="1247"/>
      <c r="M380" s="1247"/>
      <c r="N380" s="1247"/>
      <c r="O380" s="39"/>
      <c r="P380" s="1247"/>
      <c r="Q380" s="1247"/>
      <c r="R380" s="1247"/>
      <c r="S380" s="437"/>
      <c r="T380" s="1247"/>
      <c r="U380" s="1247"/>
      <c r="V380" s="1247"/>
      <c r="W380" s="437"/>
      <c r="X380" s="1247"/>
      <c r="Y380" s="1247"/>
      <c r="Z380" s="1247"/>
      <c r="AA380" s="940"/>
      <c r="AB380" s="1247"/>
      <c r="AC380" s="1247"/>
      <c r="AD380" s="1247"/>
      <c r="AE380" s="940"/>
      <c r="AF380" s="1247"/>
      <c r="AG380" s="1247"/>
      <c r="AH380" s="1247"/>
      <c r="AI380" s="437"/>
      <c r="AJ380" s="1247"/>
      <c r="AK380" s="1247"/>
      <c r="AL380" s="1247"/>
      <c r="AM380" s="940"/>
      <c r="AN380" s="438"/>
      <c r="AO380" s="438"/>
      <c r="AP380" s="438"/>
      <c r="AQ380" s="438"/>
      <c r="AR380" s="438"/>
      <c r="AS380" s="438"/>
      <c r="AT380" s="438"/>
      <c r="AU380" s="438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</row>
    <row r="381" ht="14.25" customHeight="1">
      <c r="A381" s="1"/>
      <c r="B381" s="438" t="str">
        <f>B$42</f>
        <v/>
      </c>
      <c r="C381" s="438"/>
      <c r="D381" s="39"/>
      <c r="E381" s="994"/>
      <c r="F381" s="994"/>
      <c r="G381" s="994"/>
      <c r="H381" s="39"/>
      <c r="I381" s="39"/>
      <c r="J381" s="1"/>
      <c r="K381" s="39"/>
      <c r="L381" s="1245">
        <f>IF(L237&lt;&gt;0,L237/$F42,0)</f>
        <v>0</v>
      </c>
      <c r="M381" s="35"/>
      <c r="N381" s="21"/>
      <c r="O381" s="39"/>
      <c r="P381" s="1245">
        <f>IF(P237&lt;&gt;0,P237/$F42,0)</f>
        <v>0</v>
      </c>
      <c r="Q381" s="35"/>
      <c r="R381" s="21"/>
      <c r="S381" s="437"/>
      <c r="T381" s="1245">
        <f>IF(T237&lt;&gt;0,T237/$F42,0)</f>
        <v>0</v>
      </c>
      <c r="U381" s="35"/>
      <c r="V381" s="21"/>
      <c r="W381" s="437"/>
      <c r="X381" s="1245">
        <f>IF(X237&lt;&gt;0,X237/$F42,0)</f>
        <v>0</v>
      </c>
      <c r="Y381" s="35"/>
      <c r="Z381" s="21"/>
      <c r="AA381" s="940"/>
      <c r="AB381" s="1245">
        <f>IF(AB237&lt;&gt;0,AB237/$F42,0)</f>
        <v>0</v>
      </c>
      <c r="AC381" s="35"/>
      <c r="AD381" s="21"/>
      <c r="AE381" s="940"/>
      <c r="AF381" s="1245">
        <f>IF(AF237&lt;&gt;0,AF237/$F42,0)</f>
        <v>0</v>
      </c>
      <c r="AG381" s="35"/>
      <c r="AH381" s="21"/>
      <c r="AI381" s="437"/>
      <c r="AJ381" s="1247"/>
      <c r="AK381" s="1247"/>
      <c r="AL381" s="1247"/>
      <c r="AM381" s="940"/>
      <c r="AN381" s="438"/>
      <c r="AO381" s="438"/>
      <c r="AP381" s="438"/>
      <c r="AQ381" s="438"/>
      <c r="AR381" s="438"/>
      <c r="AS381" s="438"/>
      <c r="AT381" s="438"/>
      <c r="AU381" s="438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</row>
    <row r="382" ht="5.25" customHeight="1">
      <c r="A382" s="1"/>
      <c r="B382" s="1"/>
      <c r="C382" s="1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438"/>
      <c r="Q382" s="438"/>
      <c r="R382" s="437"/>
      <c r="S382" s="437"/>
      <c r="T382" s="438"/>
      <c r="U382" s="438"/>
      <c r="V382" s="437"/>
      <c r="W382" s="437"/>
      <c r="X382" s="438"/>
      <c r="Y382" s="438"/>
      <c r="Z382" s="940"/>
      <c r="AA382" s="940"/>
      <c r="AB382" s="438"/>
      <c r="AC382" s="438"/>
      <c r="AD382" s="940"/>
      <c r="AE382" s="940"/>
      <c r="AF382" s="1247"/>
      <c r="AG382" s="1247"/>
      <c r="AH382" s="1247"/>
      <c r="AI382" s="437"/>
      <c r="AJ382" s="1247"/>
      <c r="AK382" s="1247"/>
      <c r="AL382" s="1247"/>
      <c r="AM382" s="940"/>
      <c r="AN382" s="438"/>
      <c r="AO382" s="438"/>
      <c r="AP382" s="438"/>
      <c r="AQ382" s="438"/>
      <c r="AR382" s="438"/>
      <c r="AS382" s="438"/>
      <c r="AT382" s="438"/>
      <c r="AU382" s="438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</row>
    <row r="383" ht="14.25" customHeight="1">
      <c r="A383" s="1"/>
      <c r="B383" s="438" t="str">
        <f>B$44</f>
        <v/>
      </c>
      <c r="C383" s="438"/>
      <c r="D383" s="39"/>
      <c r="E383" s="994"/>
      <c r="F383" s="994"/>
      <c r="G383" s="994"/>
      <c r="H383" s="39"/>
      <c r="I383" s="39"/>
      <c r="J383" s="1"/>
      <c r="K383" s="39"/>
      <c r="L383" s="1245">
        <f>IF(L239&lt;&gt;0,L239/$F44,0)</f>
        <v>0</v>
      </c>
      <c r="M383" s="35"/>
      <c r="N383" s="21"/>
      <c r="O383" s="39"/>
      <c r="P383" s="1245">
        <f>IF(P239&lt;&gt;0,P239/$F44,0)</f>
        <v>0</v>
      </c>
      <c r="Q383" s="35"/>
      <c r="R383" s="21"/>
      <c r="S383" s="437"/>
      <c r="T383" s="1245">
        <f>IF(T239&lt;&gt;0,T239/$F44,0)</f>
        <v>0</v>
      </c>
      <c r="U383" s="35"/>
      <c r="V383" s="21"/>
      <c r="W383" s="437"/>
      <c r="X383" s="1245">
        <f>IF(X239&lt;&gt;0,X239/$F44,0)</f>
        <v>0</v>
      </c>
      <c r="Y383" s="35"/>
      <c r="Z383" s="21"/>
      <c r="AA383" s="940"/>
      <c r="AB383" s="1245">
        <f>IF(AB239&lt;&gt;0,AB239/$F44,0)</f>
        <v>0</v>
      </c>
      <c r="AC383" s="35"/>
      <c r="AD383" s="21"/>
      <c r="AE383" s="940"/>
      <c r="AF383" s="1245">
        <f>IF(AF239&lt;&gt;0,AF239/$F44,0)</f>
        <v>0</v>
      </c>
      <c r="AG383" s="35"/>
      <c r="AH383" s="21"/>
      <c r="AI383" s="437"/>
      <c r="AJ383" s="1247"/>
      <c r="AK383" s="1247"/>
      <c r="AL383" s="1247"/>
      <c r="AM383" s="940"/>
      <c r="AN383" s="438"/>
      <c r="AO383" s="438"/>
      <c r="AP383" s="438"/>
      <c r="AQ383" s="438"/>
      <c r="AR383" s="438"/>
      <c r="AS383" s="438"/>
      <c r="AT383" s="438"/>
      <c r="AU383" s="438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</row>
    <row r="384" ht="15.0" customHeight="1">
      <c r="A384" s="1"/>
      <c r="B384" s="438" t="str">
        <f>B46</f>
        <v>Annual capital spending, funded by operations</v>
      </c>
      <c r="C384" s="438"/>
      <c r="D384" s="39"/>
      <c r="E384" s="994"/>
      <c r="F384" s="994"/>
      <c r="G384" s="994"/>
      <c r="H384" s="39"/>
      <c r="I384" s="39"/>
      <c r="J384" s="1"/>
      <c r="K384" s="39"/>
      <c r="L384" s="1245">
        <f>IF(L240&lt;&gt;0,L240/$F46,0)</f>
        <v>100000</v>
      </c>
      <c r="M384" s="35"/>
      <c r="N384" s="21"/>
      <c r="O384" s="39"/>
      <c r="P384" s="1245">
        <f>IF(P240&lt;&gt;0,P240/$F46,0)</f>
        <v>100000</v>
      </c>
      <c r="Q384" s="35"/>
      <c r="R384" s="21"/>
      <c r="S384" s="437"/>
      <c r="T384" s="1245">
        <f>IF(T240&lt;&gt;0,T240/$F46,0)</f>
        <v>100000</v>
      </c>
      <c r="U384" s="35"/>
      <c r="V384" s="21"/>
      <c r="W384" s="437"/>
      <c r="X384" s="1245">
        <f>IF(X240&lt;&gt;0,X240/$F46,0)</f>
        <v>100000</v>
      </c>
      <c r="Y384" s="35"/>
      <c r="Z384" s="21"/>
      <c r="AA384" s="940"/>
      <c r="AB384" s="1245">
        <f>IF(AB240&lt;&gt;0,AB240/$F46,0)</f>
        <v>100000</v>
      </c>
      <c r="AC384" s="35"/>
      <c r="AD384" s="21"/>
      <c r="AE384" s="940"/>
      <c r="AF384" s="1245">
        <f>IF(AF240&lt;&gt;0,AF240/$F46,0)</f>
        <v>100000</v>
      </c>
      <c r="AG384" s="35"/>
      <c r="AH384" s="21"/>
      <c r="AI384" s="437"/>
      <c r="AJ384" s="1247"/>
      <c r="AK384" s="1247"/>
      <c r="AL384" s="1247"/>
      <c r="AM384" s="940"/>
      <c r="AN384" s="438"/>
      <c r="AO384" s="438"/>
      <c r="AP384" s="438"/>
      <c r="AQ384" s="438"/>
      <c r="AR384" s="438"/>
      <c r="AS384" s="438"/>
      <c r="AT384" s="438"/>
      <c r="AU384" s="438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</row>
    <row r="385" ht="14.25" customHeight="1">
      <c r="A385" s="151"/>
      <c r="B385" s="438" t="s">
        <v>942</v>
      </c>
      <c r="C385" s="438"/>
      <c r="D385" s="39"/>
      <c r="E385" s="994"/>
      <c r="F385" s="994"/>
      <c r="G385" s="994"/>
      <c r="H385" s="39"/>
      <c r="I385" s="39"/>
      <c r="J385" s="1"/>
      <c r="K385" s="39"/>
      <c r="L385" s="1245">
        <f>L335</f>
        <v>-133636.3636</v>
      </c>
      <c r="M385" s="35"/>
      <c r="N385" s="21"/>
      <c r="O385" s="39"/>
      <c r="P385" s="1245">
        <f>P335</f>
        <v>-324000</v>
      </c>
      <c r="Q385" s="35"/>
      <c r="R385" s="21"/>
      <c r="S385" s="437"/>
      <c r="T385" s="1245">
        <f>T335</f>
        <v>0</v>
      </c>
      <c r="U385" s="35"/>
      <c r="V385" s="21"/>
      <c r="W385" s="437"/>
      <c r="X385" s="1245">
        <f>X335</f>
        <v>0</v>
      </c>
      <c r="Y385" s="35"/>
      <c r="Z385" s="21"/>
      <c r="AA385" s="940"/>
      <c r="AB385" s="1245">
        <f>AB335</f>
        <v>0</v>
      </c>
      <c r="AC385" s="35"/>
      <c r="AD385" s="21"/>
      <c r="AE385" s="940"/>
      <c r="AF385" s="1245">
        <f>AF335</f>
        <v>0</v>
      </c>
      <c r="AG385" s="35"/>
      <c r="AH385" s="21"/>
      <c r="AI385" s="437"/>
      <c r="AJ385" s="1247"/>
      <c r="AK385" s="1247"/>
      <c r="AL385" s="1247"/>
      <c r="AM385" s="940"/>
      <c r="AN385" s="438"/>
      <c r="AO385" s="438"/>
      <c r="AP385" s="438"/>
      <c r="AQ385" s="438"/>
      <c r="AR385" s="438"/>
      <c r="AS385" s="438"/>
      <c r="AT385" s="438"/>
      <c r="AU385" s="438"/>
      <c r="AV385" s="151"/>
      <c r="AW385" s="151"/>
      <c r="AX385" s="151"/>
      <c r="AY385" s="151"/>
      <c r="AZ385" s="151"/>
      <c r="BA385" s="151"/>
      <c r="BB385" s="151"/>
      <c r="BC385" s="151"/>
      <c r="BD385" s="151"/>
      <c r="BE385" s="151"/>
      <c r="BF385" s="151"/>
    </row>
    <row r="386" ht="6.0" customHeight="1">
      <c r="A386" s="1"/>
      <c r="B386" s="1"/>
      <c r="C386" s="1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438"/>
      <c r="Q386" s="438"/>
      <c r="R386" s="437"/>
      <c r="S386" s="437"/>
      <c r="T386" s="438"/>
      <c r="U386" s="438"/>
      <c r="V386" s="437"/>
      <c r="W386" s="437"/>
      <c r="X386" s="438"/>
      <c r="Y386" s="438"/>
      <c r="Z386" s="940"/>
      <c r="AA386" s="940"/>
      <c r="AB386" s="438"/>
      <c r="AC386" s="438"/>
      <c r="AD386" s="940"/>
      <c r="AE386" s="940"/>
      <c r="AF386" s="1247"/>
      <c r="AG386" s="1247"/>
      <c r="AH386" s="1247"/>
      <c r="AI386" s="437"/>
      <c r="AJ386" s="1247"/>
      <c r="AK386" s="1247"/>
      <c r="AL386" s="1247"/>
      <c r="AM386" s="940"/>
      <c r="AN386" s="438"/>
      <c r="AO386" s="438"/>
      <c r="AP386" s="438"/>
      <c r="AQ386" s="438"/>
      <c r="AR386" s="438"/>
      <c r="AS386" s="438"/>
      <c r="AT386" s="438"/>
      <c r="AU386" s="438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</row>
    <row r="387" ht="14.25" customHeight="1">
      <c r="A387" s="1"/>
      <c r="B387" s="180" t="s">
        <v>997</v>
      </c>
      <c r="C387" s="180"/>
      <c r="D387" s="816"/>
      <c r="E387" s="994"/>
      <c r="F387" s="994"/>
      <c r="G387" s="994"/>
      <c r="H387" s="994"/>
      <c r="I387" s="39"/>
      <c r="J387" s="1"/>
      <c r="K387" s="39"/>
      <c r="L387" s="1245">
        <f>SUM(L349:N385)</f>
        <v>336378.203</v>
      </c>
      <c r="M387" s="35"/>
      <c r="N387" s="21"/>
      <c r="O387" s="39"/>
      <c r="P387" s="1245">
        <f>SUM(P349:R385)</f>
        <v>59333.33333</v>
      </c>
      <c r="Q387" s="35"/>
      <c r="R387" s="21"/>
      <c r="S387" s="437"/>
      <c r="T387" s="1245">
        <f>SUM(T349:V385)</f>
        <v>128666.6667</v>
      </c>
      <c r="U387" s="35"/>
      <c r="V387" s="21"/>
      <c r="W387" s="437"/>
      <c r="X387" s="1245">
        <f>SUM(X349:Z385)</f>
        <v>100000</v>
      </c>
      <c r="Y387" s="35"/>
      <c r="Z387" s="21"/>
      <c r="AA387" s="940"/>
      <c r="AB387" s="1245">
        <f>SUM(AB349:AD385)</f>
        <v>100000</v>
      </c>
      <c r="AC387" s="35"/>
      <c r="AD387" s="21"/>
      <c r="AE387" s="940"/>
      <c r="AF387" s="1245">
        <f>SUM(AF349:AH385)</f>
        <v>100000</v>
      </c>
      <c r="AG387" s="35"/>
      <c r="AH387" s="21"/>
      <c r="AI387" s="437"/>
      <c r="AJ387" s="1247"/>
      <c r="AK387" s="1247"/>
      <c r="AL387" s="1247"/>
      <c r="AM387" s="940"/>
      <c r="AN387" s="438"/>
      <c r="AO387" s="438"/>
      <c r="AP387" s="438"/>
      <c r="AQ387" s="438"/>
      <c r="AR387" s="438"/>
      <c r="AS387" s="438"/>
      <c r="AT387" s="438"/>
      <c r="AU387" s="438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</row>
    <row r="388" ht="5.25" customHeight="1">
      <c r="A388" s="1"/>
      <c r="B388" s="1"/>
      <c r="C388" s="180"/>
      <c r="D388" s="39"/>
      <c r="E388" s="994"/>
      <c r="F388" s="994"/>
      <c r="G388" s="994"/>
      <c r="H388" s="39"/>
      <c r="I388" s="39"/>
      <c r="J388" s="39"/>
      <c r="K388" s="39"/>
      <c r="L388" s="1502"/>
      <c r="M388" s="1502"/>
      <c r="N388" s="1502"/>
      <c r="O388" s="39"/>
      <c r="P388" s="1502"/>
      <c r="Q388" s="1502"/>
      <c r="R388" s="1502"/>
      <c r="S388" s="39"/>
      <c r="T388" s="1502"/>
      <c r="U388" s="1502"/>
      <c r="V388" s="1502"/>
      <c r="W388" s="39"/>
      <c r="X388" s="1502"/>
      <c r="Y388" s="1502"/>
      <c r="Z388" s="1502"/>
      <c r="AA388" s="39"/>
      <c r="AB388" s="1502"/>
      <c r="AC388" s="1502"/>
      <c r="AD388" s="1502"/>
      <c r="AE388" s="39"/>
      <c r="AF388" s="1502"/>
      <c r="AG388" s="1502"/>
      <c r="AH388" s="1502"/>
      <c r="AI388" s="437"/>
      <c r="AJ388" s="1"/>
      <c r="AK388" s="1"/>
      <c r="AL388" s="1"/>
      <c r="AM388" s="940"/>
      <c r="AN388" s="438"/>
      <c r="AO388" s="438"/>
      <c r="AP388" s="438"/>
      <c r="AQ388" s="438"/>
      <c r="AR388" s="438"/>
      <c r="AS388" s="438"/>
      <c r="AT388" s="438"/>
      <c r="AU388" s="438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</row>
    <row r="389" ht="14.25" customHeight="1">
      <c r="A389" s="1"/>
      <c r="B389" s="1"/>
      <c r="C389" s="1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438"/>
      <c r="Q389" s="438"/>
      <c r="R389" s="437"/>
      <c r="S389" s="437"/>
      <c r="T389" s="438"/>
      <c r="U389" s="438"/>
      <c r="V389" s="437"/>
      <c r="W389" s="437"/>
      <c r="X389" s="438"/>
      <c r="Y389" s="438"/>
      <c r="Z389" s="940"/>
      <c r="AA389" s="940"/>
      <c r="AB389" s="438"/>
      <c r="AC389" s="438"/>
      <c r="AD389" s="940"/>
      <c r="AE389" s="940"/>
      <c r="AF389" s="438"/>
      <c r="AH389" s="438"/>
      <c r="AI389" s="437"/>
      <c r="AJ389" s="1247"/>
      <c r="AK389" s="1247"/>
      <c r="AL389" s="1247"/>
      <c r="AM389" s="940"/>
      <c r="AN389" s="438"/>
      <c r="AO389" s="438"/>
      <c r="AP389" s="438"/>
      <c r="AQ389" s="438"/>
      <c r="AR389" s="438"/>
      <c r="AS389" s="438"/>
      <c r="AT389" s="438"/>
      <c r="AU389" s="438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</row>
    <row r="390" ht="18.0" customHeight="1">
      <c r="A390" s="1"/>
      <c r="B390" s="1"/>
      <c r="C390" s="1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438"/>
      <c r="Q390" s="438"/>
      <c r="R390" s="437"/>
      <c r="S390" s="437"/>
      <c r="T390" s="438"/>
      <c r="U390" s="438"/>
      <c r="V390" s="437"/>
      <c r="W390" s="437"/>
      <c r="X390" s="438"/>
      <c r="Y390" s="438"/>
      <c r="Z390" s="940"/>
      <c r="AA390" s="940"/>
      <c r="AB390" s="438"/>
      <c r="AC390" s="438"/>
      <c r="AD390" s="940"/>
      <c r="AE390" s="940"/>
      <c r="AF390" s="438"/>
      <c r="AH390" s="438"/>
      <c r="AI390" s="437"/>
      <c r="AJ390" s="1247"/>
      <c r="AK390" s="1247"/>
      <c r="AL390" s="1247"/>
      <c r="AM390" s="940"/>
      <c r="AN390" s="438"/>
      <c r="AO390" s="438"/>
      <c r="AP390" s="438"/>
      <c r="AQ390" s="438"/>
      <c r="AR390" s="438"/>
      <c r="AS390" s="438"/>
      <c r="AT390" s="438"/>
      <c r="AU390" s="438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</row>
    <row r="391" ht="24.0" customHeight="1">
      <c r="A391" s="1"/>
      <c r="B391" s="1"/>
      <c r="C391" s="1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438"/>
      <c r="Q391" s="438"/>
      <c r="R391" s="437"/>
      <c r="S391" s="437"/>
      <c r="T391" s="438"/>
      <c r="U391" s="438"/>
      <c r="V391" s="437"/>
      <c r="W391" s="437"/>
      <c r="X391" s="438"/>
      <c r="Y391" s="438"/>
      <c r="Z391" s="940"/>
      <c r="AA391" s="940"/>
      <c r="AB391" s="438"/>
      <c r="AC391" s="438"/>
      <c r="AD391" s="940"/>
      <c r="AE391" s="940"/>
      <c r="AF391" s="438"/>
      <c r="AH391" s="438"/>
      <c r="AI391" s="437"/>
      <c r="AJ391" s="1488"/>
      <c r="AK391" s="896"/>
      <c r="AL391" s="897"/>
      <c r="AM391" s="940"/>
      <c r="AN391" s="438"/>
      <c r="AO391" s="438"/>
      <c r="AP391" s="438"/>
      <c r="AQ391" s="438"/>
      <c r="AR391" s="438"/>
      <c r="AS391" s="438"/>
      <c r="AT391" s="438"/>
      <c r="AU391" s="438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</row>
    <row r="392" ht="10.5" customHeight="1">
      <c r="A392" s="1"/>
      <c r="B392" s="1"/>
      <c r="C392" s="1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438"/>
      <c r="Q392" s="438"/>
      <c r="R392" s="437"/>
      <c r="S392" s="437"/>
      <c r="T392" s="438"/>
      <c r="U392" s="438"/>
      <c r="V392" s="437"/>
      <c r="W392" s="437"/>
      <c r="X392" s="438"/>
      <c r="Y392" s="438"/>
      <c r="Z392" s="940"/>
      <c r="AA392" s="940"/>
      <c r="AB392" s="438"/>
      <c r="AC392" s="438"/>
      <c r="AD392" s="940"/>
      <c r="AE392" s="940"/>
      <c r="AF392" s="438"/>
      <c r="AH392" s="438"/>
      <c r="AI392" s="437"/>
      <c r="AJ392" s="1"/>
      <c r="AK392" s="1"/>
      <c r="AL392" s="1"/>
      <c r="AM392" s="940"/>
      <c r="AN392" s="438"/>
      <c r="AO392" s="438"/>
      <c r="AP392" s="438"/>
      <c r="AQ392" s="438"/>
      <c r="AR392" s="438"/>
      <c r="AS392" s="438"/>
      <c r="AT392" s="438"/>
      <c r="AU392" s="438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</row>
    <row r="393" ht="14.25" customHeight="1">
      <c r="A393" s="151"/>
      <c r="B393" s="1"/>
      <c r="C393" s="1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438"/>
      <c r="Q393" s="438"/>
      <c r="R393" s="437"/>
      <c r="S393" s="437"/>
      <c r="T393" s="438"/>
      <c r="U393" s="438"/>
      <c r="V393" s="437"/>
      <c r="W393" s="437"/>
      <c r="X393" s="438"/>
      <c r="Y393" s="438"/>
      <c r="Z393" s="940"/>
      <c r="AA393" s="940"/>
      <c r="AB393" s="438"/>
      <c r="AC393" s="438"/>
      <c r="AD393" s="940"/>
      <c r="AE393" s="940"/>
      <c r="AF393" s="438"/>
      <c r="AH393" s="438"/>
      <c r="AI393" s="437"/>
      <c r="AJ393" s="1245">
        <f>SUM(AJ355:AL391)</f>
        <v>0</v>
      </c>
      <c r="AK393" s="35"/>
      <c r="AL393" s="21"/>
      <c r="AM393" s="940"/>
      <c r="AN393" s="438"/>
      <c r="AO393" s="438"/>
      <c r="AP393" s="438"/>
      <c r="AQ393" s="438"/>
      <c r="AR393" s="438"/>
      <c r="AS393" s="438"/>
      <c r="AT393" s="438"/>
      <c r="AU393" s="438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</row>
    <row r="394" ht="6.0" customHeight="1">
      <c r="A394" s="1"/>
      <c r="B394" s="1"/>
      <c r="C394" s="1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438"/>
      <c r="Q394" s="438"/>
      <c r="R394" s="437"/>
      <c r="S394" s="437"/>
      <c r="T394" s="438"/>
      <c r="U394" s="438"/>
      <c r="V394" s="437"/>
      <c r="W394" s="437"/>
      <c r="X394" s="438"/>
      <c r="Y394" s="438"/>
      <c r="Z394" s="940"/>
      <c r="AA394" s="940"/>
      <c r="AB394" s="438"/>
      <c r="AC394" s="438"/>
      <c r="AD394" s="940"/>
      <c r="AE394" s="940"/>
      <c r="AF394" s="438"/>
      <c r="AH394" s="438"/>
      <c r="AI394" s="437"/>
      <c r="AJ394" s="1502"/>
      <c r="AK394" s="1502"/>
      <c r="AL394" s="1502"/>
      <c r="AM394" s="940"/>
      <c r="AN394" s="438"/>
      <c r="AO394" s="438"/>
      <c r="AP394" s="438"/>
      <c r="AQ394" s="438"/>
      <c r="AR394" s="438"/>
      <c r="AS394" s="438"/>
      <c r="AT394" s="438"/>
      <c r="AU394" s="438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</row>
    <row r="395" ht="14.25" customHeight="1">
      <c r="A395" s="1"/>
      <c r="B395" s="1"/>
      <c r="C395" s="1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438"/>
      <c r="Q395" s="438"/>
      <c r="R395" s="437"/>
      <c r="S395" s="437"/>
      <c r="T395" s="438"/>
      <c r="U395" s="438"/>
      <c r="V395" s="437"/>
      <c r="W395" s="437"/>
      <c r="X395" s="438"/>
      <c r="Y395" s="438"/>
      <c r="Z395" s="940"/>
      <c r="AA395" s="940"/>
      <c r="AB395" s="438"/>
      <c r="AC395" s="438"/>
      <c r="AD395" s="940"/>
      <c r="AE395" s="940"/>
      <c r="AF395" s="438"/>
      <c r="AH395" s="438"/>
      <c r="AI395" s="437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</row>
    <row r="396" ht="14.25" customHeight="1">
      <c r="A396" s="1"/>
      <c r="B396" s="1"/>
      <c r="C396" s="1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438"/>
      <c r="Q396" s="438"/>
      <c r="R396" s="437"/>
      <c r="S396" s="437"/>
      <c r="T396" s="438"/>
      <c r="U396" s="438"/>
      <c r="V396" s="437"/>
      <c r="W396" s="437"/>
      <c r="X396" s="438"/>
      <c r="Y396" s="438"/>
      <c r="Z396" s="940"/>
      <c r="AA396" s="940"/>
      <c r="AB396" s="438"/>
      <c r="AC396" s="438"/>
      <c r="AD396" s="940"/>
      <c r="AE396" s="940"/>
      <c r="AF396" s="438"/>
      <c r="AH396" s="438"/>
      <c r="AI396" s="437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</row>
    <row r="397" ht="14.25" customHeight="1">
      <c r="A397" s="1"/>
      <c r="B397" s="1"/>
      <c r="C397" s="1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438"/>
      <c r="Q397" s="438"/>
      <c r="R397" s="437"/>
      <c r="S397" s="437"/>
      <c r="T397" s="438"/>
      <c r="U397" s="438"/>
      <c r="V397" s="437"/>
      <c r="W397" s="437"/>
      <c r="X397" s="438"/>
      <c r="Y397" s="438"/>
      <c r="Z397" s="940"/>
      <c r="AA397" s="940"/>
      <c r="AB397" s="438"/>
      <c r="AC397" s="438"/>
      <c r="AD397" s="940"/>
      <c r="AE397" s="940"/>
      <c r="AF397" s="438"/>
      <c r="AH397" s="438"/>
      <c r="AI397" s="437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</row>
    <row r="398" ht="14.25" customHeight="1">
      <c r="A398" s="1"/>
      <c r="B398" s="1"/>
      <c r="C398" s="1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438"/>
      <c r="Q398" s="438"/>
      <c r="R398" s="437"/>
      <c r="S398" s="437"/>
      <c r="T398" s="438"/>
      <c r="U398" s="438"/>
      <c r="V398" s="437"/>
      <c r="W398" s="437"/>
      <c r="X398" s="438"/>
      <c r="Y398" s="438"/>
      <c r="Z398" s="940"/>
      <c r="AA398" s="940"/>
      <c r="AB398" s="438"/>
      <c r="AC398" s="438"/>
      <c r="AD398" s="940"/>
      <c r="AE398" s="940"/>
      <c r="AF398" s="438"/>
      <c r="AH398" s="438"/>
      <c r="AI398" s="437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</row>
    <row r="399" ht="14.25" customHeight="1">
      <c r="A399" s="1"/>
      <c r="B399" s="1"/>
      <c r="C399" s="1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438"/>
      <c r="Q399" s="438"/>
      <c r="R399" s="437"/>
      <c r="S399" s="437"/>
      <c r="T399" s="438"/>
      <c r="U399" s="438"/>
      <c r="V399" s="437"/>
      <c r="W399" s="437"/>
      <c r="X399" s="438"/>
      <c r="Y399" s="438"/>
      <c r="Z399" s="940"/>
      <c r="AA399" s="940"/>
      <c r="AB399" s="438"/>
      <c r="AC399" s="438"/>
      <c r="AD399" s="940"/>
      <c r="AE399" s="940"/>
      <c r="AF399" s="438"/>
      <c r="AH399" s="438"/>
      <c r="AI399" s="437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</row>
    <row r="400" ht="14.25" customHeight="1">
      <c r="A400" s="1"/>
      <c r="B400" s="1"/>
      <c r="C400" s="1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438"/>
      <c r="Q400" s="438"/>
      <c r="R400" s="437"/>
      <c r="S400" s="437"/>
      <c r="T400" s="438"/>
      <c r="U400" s="438"/>
      <c r="V400" s="437"/>
      <c r="W400" s="437"/>
      <c r="X400" s="438"/>
      <c r="Y400" s="438"/>
      <c r="Z400" s="940"/>
      <c r="AA400" s="940"/>
      <c r="AB400" s="438"/>
      <c r="AC400" s="438"/>
      <c r="AD400" s="940"/>
      <c r="AE400" s="940"/>
      <c r="AF400" s="438"/>
      <c r="AH400" s="438"/>
      <c r="AI400" s="437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</row>
    <row r="401" ht="14.25" customHeight="1">
      <c r="A401" s="1"/>
      <c r="B401" s="1"/>
      <c r="C401" s="1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438"/>
      <c r="Q401" s="438"/>
      <c r="R401" s="437"/>
      <c r="S401" s="437"/>
      <c r="T401" s="438"/>
      <c r="U401" s="438"/>
      <c r="V401" s="437"/>
      <c r="W401" s="437"/>
      <c r="X401" s="438"/>
      <c r="Y401" s="438"/>
      <c r="Z401" s="940"/>
      <c r="AA401" s="940"/>
      <c r="AB401" s="438"/>
      <c r="AC401" s="438"/>
      <c r="AD401" s="940"/>
      <c r="AE401" s="940"/>
      <c r="AF401" s="438"/>
      <c r="AH401" s="438"/>
      <c r="AI401" s="437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</row>
    <row r="402" ht="14.25" customHeight="1">
      <c r="A402" s="1"/>
      <c r="B402" s="1"/>
      <c r="C402" s="1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438"/>
      <c r="Q402" s="438"/>
      <c r="R402" s="437"/>
      <c r="S402" s="437"/>
      <c r="T402" s="438"/>
      <c r="U402" s="438"/>
      <c r="V402" s="437"/>
      <c r="W402" s="437"/>
      <c r="X402" s="438"/>
      <c r="Y402" s="438"/>
      <c r="Z402" s="940"/>
      <c r="AA402" s="940"/>
      <c r="AB402" s="438"/>
      <c r="AC402" s="438"/>
      <c r="AD402" s="940"/>
      <c r="AE402" s="940"/>
      <c r="AF402" s="438"/>
      <c r="AH402" s="438"/>
      <c r="AI402" s="437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</row>
    <row r="403" ht="14.25" customHeight="1">
      <c r="A403" s="1"/>
      <c r="B403" s="1"/>
      <c r="C403" s="1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438"/>
      <c r="Q403" s="438"/>
      <c r="R403" s="437"/>
      <c r="S403" s="437"/>
      <c r="T403" s="438"/>
      <c r="U403" s="438"/>
      <c r="V403" s="437"/>
      <c r="W403" s="437"/>
      <c r="X403" s="438"/>
      <c r="Y403" s="438"/>
      <c r="Z403" s="940"/>
      <c r="AA403" s="940"/>
      <c r="AB403" s="438"/>
      <c r="AC403" s="438"/>
      <c r="AD403" s="940"/>
      <c r="AE403" s="940"/>
      <c r="AF403" s="438"/>
      <c r="AH403" s="438"/>
      <c r="AI403" s="437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</row>
    <row r="404" ht="14.25" customHeight="1">
      <c r="A404" s="1"/>
      <c r="B404" s="1"/>
      <c r="C404" s="1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438"/>
      <c r="Q404" s="438"/>
      <c r="R404" s="437"/>
      <c r="S404" s="437"/>
      <c r="T404" s="438"/>
      <c r="U404" s="438"/>
      <c r="V404" s="437"/>
      <c r="W404" s="437"/>
      <c r="X404" s="438"/>
      <c r="Y404" s="438"/>
      <c r="Z404" s="940"/>
      <c r="AA404" s="940"/>
      <c r="AB404" s="438"/>
      <c r="AC404" s="438"/>
      <c r="AD404" s="940"/>
      <c r="AE404" s="940"/>
      <c r="AF404" s="438"/>
      <c r="AH404" s="438"/>
      <c r="AI404" s="437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</row>
    <row r="405" ht="14.25" customHeight="1">
      <c r="A405" s="1"/>
      <c r="B405" s="1"/>
      <c r="C405" s="1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438"/>
      <c r="Q405" s="438"/>
      <c r="R405" s="437"/>
      <c r="S405" s="437"/>
      <c r="T405" s="438"/>
      <c r="U405" s="438"/>
      <c r="V405" s="437"/>
      <c r="W405" s="437"/>
      <c r="X405" s="438"/>
      <c r="Y405" s="438"/>
      <c r="Z405" s="940"/>
      <c r="AA405" s="940"/>
      <c r="AB405" s="438"/>
      <c r="AC405" s="438"/>
      <c r="AD405" s="940"/>
      <c r="AE405" s="940"/>
      <c r="AF405" s="438"/>
      <c r="AH405" s="438"/>
      <c r="AI405" s="437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</row>
    <row r="406" ht="14.25" customHeight="1">
      <c r="A406" s="1"/>
      <c r="B406" s="1"/>
      <c r="C406" s="1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438"/>
      <c r="Q406" s="438"/>
      <c r="R406" s="437"/>
      <c r="S406" s="437"/>
      <c r="T406" s="438"/>
      <c r="U406" s="438"/>
      <c r="V406" s="437"/>
      <c r="W406" s="437"/>
      <c r="X406" s="438"/>
      <c r="Y406" s="438"/>
      <c r="Z406" s="940"/>
      <c r="AA406" s="940"/>
      <c r="AB406" s="438"/>
      <c r="AC406" s="438"/>
      <c r="AD406" s="940"/>
      <c r="AE406" s="940"/>
      <c r="AF406" s="438"/>
      <c r="AH406" s="438"/>
      <c r="AI406" s="437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</row>
    <row r="407" ht="14.25" customHeight="1">
      <c r="A407" s="1"/>
      <c r="B407" s="1"/>
      <c r="C407" s="1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438"/>
      <c r="Q407" s="438"/>
      <c r="R407" s="437"/>
      <c r="S407" s="437"/>
      <c r="T407" s="438"/>
      <c r="U407" s="438"/>
      <c r="V407" s="437"/>
      <c r="W407" s="437"/>
      <c r="X407" s="438"/>
      <c r="Y407" s="438"/>
      <c r="Z407" s="940"/>
      <c r="AA407" s="940"/>
      <c r="AB407" s="438"/>
      <c r="AC407" s="438"/>
      <c r="AD407" s="940"/>
      <c r="AE407" s="940"/>
      <c r="AF407" s="438"/>
      <c r="AH407" s="438"/>
      <c r="AI407" s="437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</row>
    <row r="408" ht="14.25" customHeight="1">
      <c r="A408" s="1"/>
      <c r="B408" s="1"/>
      <c r="C408" s="1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438"/>
      <c r="Q408" s="438"/>
      <c r="R408" s="437"/>
      <c r="S408" s="437"/>
      <c r="T408" s="438"/>
      <c r="U408" s="438"/>
      <c r="V408" s="437"/>
      <c r="W408" s="437"/>
      <c r="X408" s="438"/>
      <c r="Y408" s="438"/>
      <c r="Z408" s="940"/>
      <c r="AA408" s="940"/>
      <c r="AB408" s="438"/>
      <c r="AC408" s="438"/>
      <c r="AD408" s="940"/>
      <c r="AE408" s="940"/>
      <c r="AF408" s="438"/>
      <c r="AH408" s="438"/>
      <c r="AI408" s="437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</row>
    <row r="409" ht="14.25" customHeight="1">
      <c r="A409" s="1"/>
      <c r="B409" s="1"/>
      <c r="C409" s="1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438"/>
      <c r="Q409" s="438"/>
      <c r="R409" s="437"/>
      <c r="S409" s="437"/>
      <c r="T409" s="438"/>
      <c r="U409" s="438"/>
      <c r="V409" s="437"/>
      <c r="W409" s="437"/>
      <c r="X409" s="438"/>
      <c r="Y409" s="438"/>
      <c r="Z409" s="940"/>
      <c r="AA409" s="940"/>
      <c r="AB409" s="438"/>
      <c r="AC409" s="438"/>
      <c r="AD409" s="940"/>
      <c r="AE409" s="940"/>
      <c r="AF409" s="438"/>
      <c r="AH409" s="438"/>
      <c r="AI409" s="437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</row>
    <row r="410" ht="14.25" customHeight="1">
      <c r="A410" s="1"/>
      <c r="B410" s="1"/>
      <c r="C410" s="1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438"/>
      <c r="Q410" s="438"/>
      <c r="R410" s="437"/>
      <c r="S410" s="437"/>
      <c r="T410" s="438"/>
      <c r="U410" s="438"/>
      <c r="V410" s="437"/>
      <c r="W410" s="437"/>
      <c r="X410" s="438"/>
      <c r="Y410" s="438"/>
      <c r="Z410" s="940"/>
      <c r="AA410" s="940"/>
      <c r="AB410" s="438"/>
      <c r="AC410" s="438"/>
      <c r="AD410" s="940"/>
      <c r="AE410" s="940"/>
      <c r="AF410" s="438"/>
      <c r="AH410" s="438"/>
      <c r="AI410" s="437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</row>
    <row r="411" ht="14.25" customHeight="1">
      <c r="A411" s="1"/>
      <c r="B411" s="1"/>
      <c r="C411" s="1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438"/>
      <c r="Q411" s="438"/>
      <c r="R411" s="437"/>
      <c r="S411" s="437"/>
      <c r="T411" s="438"/>
      <c r="U411" s="438"/>
      <c r="V411" s="437"/>
      <c r="W411" s="437"/>
      <c r="X411" s="438"/>
      <c r="Y411" s="438"/>
      <c r="Z411" s="940"/>
      <c r="AA411" s="940"/>
      <c r="AB411" s="438"/>
      <c r="AC411" s="438"/>
      <c r="AD411" s="940"/>
      <c r="AE411" s="940"/>
      <c r="AF411" s="438"/>
      <c r="AH411" s="438"/>
      <c r="AI411" s="437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</row>
    <row r="412" ht="14.25" customHeight="1">
      <c r="A412" s="1"/>
      <c r="B412" s="1"/>
      <c r="C412" s="1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438"/>
      <c r="Q412" s="438"/>
      <c r="R412" s="437"/>
      <c r="S412" s="437"/>
      <c r="T412" s="438"/>
      <c r="U412" s="438"/>
      <c r="V412" s="437"/>
      <c r="W412" s="437"/>
      <c r="X412" s="438"/>
      <c r="Y412" s="438"/>
      <c r="Z412" s="940"/>
      <c r="AA412" s="940"/>
      <c r="AB412" s="438"/>
      <c r="AC412" s="438"/>
      <c r="AD412" s="940"/>
      <c r="AE412" s="940"/>
      <c r="AF412" s="438"/>
      <c r="AH412" s="438"/>
      <c r="AI412" s="437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</row>
    <row r="413" ht="14.25" customHeight="1">
      <c r="A413" s="1"/>
      <c r="B413" s="1"/>
      <c r="C413" s="1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438"/>
      <c r="Q413" s="438"/>
      <c r="R413" s="437"/>
      <c r="S413" s="437"/>
      <c r="T413" s="438"/>
      <c r="U413" s="438"/>
      <c r="V413" s="437"/>
      <c r="W413" s="437"/>
      <c r="X413" s="438"/>
      <c r="Y413" s="438"/>
      <c r="Z413" s="940"/>
      <c r="AA413" s="940"/>
      <c r="AB413" s="438"/>
      <c r="AC413" s="438"/>
      <c r="AD413" s="940"/>
      <c r="AE413" s="940"/>
      <c r="AF413" s="438"/>
      <c r="AH413" s="438"/>
      <c r="AI413" s="437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</row>
    <row r="414" ht="14.25" customHeight="1">
      <c r="A414" s="1"/>
      <c r="B414" s="1"/>
      <c r="C414" s="1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438"/>
      <c r="Q414" s="438"/>
      <c r="R414" s="437"/>
      <c r="S414" s="437"/>
      <c r="T414" s="438"/>
      <c r="U414" s="438"/>
      <c r="V414" s="437"/>
      <c r="W414" s="437"/>
      <c r="X414" s="438"/>
      <c r="Y414" s="438"/>
      <c r="Z414" s="940"/>
      <c r="AA414" s="940"/>
      <c r="AB414" s="438"/>
      <c r="AC414" s="438"/>
      <c r="AD414" s="940"/>
      <c r="AE414" s="940"/>
      <c r="AF414" s="438"/>
      <c r="AH414" s="438"/>
      <c r="AI414" s="437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</row>
    <row r="415" ht="14.25" customHeight="1">
      <c r="A415" s="1"/>
      <c r="B415" s="1"/>
      <c r="C415" s="1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438"/>
      <c r="Q415" s="438"/>
      <c r="R415" s="437"/>
      <c r="S415" s="437"/>
      <c r="T415" s="438"/>
      <c r="U415" s="438"/>
      <c r="V415" s="437"/>
      <c r="W415" s="437"/>
      <c r="X415" s="438"/>
      <c r="Y415" s="438"/>
      <c r="Z415" s="940"/>
      <c r="AA415" s="940"/>
      <c r="AB415" s="438"/>
      <c r="AC415" s="438"/>
      <c r="AD415" s="940"/>
      <c r="AE415" s="940"/>
      <c r="AF415" s="438"/>
      <c r="AH415" s="438"/>
      <c r="AI415" s="437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</row>
    <row r="416" ht="14.25" customHeight="1">
      <c r="A416" s="1"/>
      <c r="B416" s="1"/>
      <c r="C416" s="1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438"/>
      <c r="Q416" s="438"/>
      <c r="R416" s="437"/>
      <c r="S416" s="437"/>
      <c r="T416" s="438"/>
      <c r="U416" s="438"/>
      <c r="V416" s="437"/>
      <c r="W416" s="437"/>
      <c r="X416" s="438"/>
      <c r="Y416" s="438"/>
      <c r="Z416" s="940"/>
      <c r="AA416" s="940"/>
      <c r="AB416" s="438"/>
      <c r="AC416" s="438"/>
      <c r="AD416" s="940"/>
      <c r="AE416" s="940"/>
      <c r="AF416" s="438"/>
      <c r="AH416" s="438"/>
      <c r="AI416" s="437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</row>
    <row r="417" ht="14.25" customHeight="1">
      <c r="A417" s="1"/>
      <c r="B417" s="1"/>
      <c r="C417" s="1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438"/>
      <c r="Q417" s="438"/>
      <c r="R417" s="437"/>
      <c r="S417" s="437"/>
      <c r="T417" s="438"/>
      <c r="U417" s="438"/>
      <c r="V417" s="437"/>
      <c r="W417" s="437"/>
      <c r="X417" s="438"/>
      <c r="Y417" s="438"/>
      <c r="Z417" s="940"/>
      <c r="AA417" s="940"/>
      <c r="AB417" s="438"/>
      <c r="AC417" s="438"/>
      <c r="AD417" s="940"/>
      <c r="AE417" s="940"/>
      <c r="AF417" s="438"/>
      <c r="AH417" s="438"/>
      <c r="AI417" s="437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</row>
    <row r="418" ht="14.25" customHeight="1">
      <c r="A418" s="1"/>
      <c r="B418" s="1"/>
      <c r="C418" s="1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438"/>
      <c r="Q418" s="438"/>
      <c r="R418" s="437"/>
      <c r="S418" s="437"/>
      <c r="T418" s="438"/>
      <c r="U418" s="438"/>
      <c r="V418" s="437"/>
      <c r="W418" s="437"/>
      <c r="X418" s="438"/>
      <c r="Y418" s="438"/>
      <c r="Z418" s="940"/>
      <c r="AA418" s="940"/>
      <c r="AB418" s="438"/>
      <c r="AC418" s="438"/>
      <c r="AD418" s="940"/>
      <c r="AE418" s="940"/>
      <c r="AF418" s="438"/>
      <c r="AH418" s="438"/>
      <c r="AI418" s="437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</row>
    <row r="419" ht="14.25" customHeight="1">
      <c r="A419" s="1"/>
      <c r="B419" s="1"/>
      <c r="C419" s="1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438"/>
      <c r="Q419" s="438"/>
      <c r="R419" s="437"/>
      <c r="S419" s="437"/>
      <c r="T419" s="438"/>
      <c r="U419" s="438"/>
      <c r="V419" s="437"/>
      <c r="W419" s="437"/>
      <c r="X419" s="438"/>
      <c r="Y419" s="438"/>
      <c r="Z419" s="940"/>
      <c r="AA419" s="940"/>
      <c r="AB419" s="438"/>
      <c r="AC419" s="438"/>
      <c r="AD419" s="940"/>
      <c r="AE419" s="940"/>
      <c r="AF419" s="438"/>
      <c r="AH419" s="438"/>
      <c r="AI419" s="437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</row>
    <row r="420" ht="14.25" customHeight="1">
      <c r="A420" s="1"/>
      <c r="B420" s="1"/>
      <c r="C420" s="1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438"/>
      <c r="Q420" s="438"/>
      <c r="R420" s="437"/>
      <c r="S420" s="437"/>
      <c r="T420" s="438"/>
      <c r="U420" s="438"/>
      <c r="V420" s="437"/>
      <c r="W420" s="437"/>
      <c r="X420" s="438"/>
      <c r="Y420" s="438"/>
      <c r="Z420" s="940"/>
      <c r="AA420" s="940"/>
      <c r="AB420" s="438"/>
      <c r="AC420" s="438"/>
      <c r="AD420" s="940"/>
      <c r="AE420" s="940"/>
      <c r="AF420" s="438"/>
      <c r="AH420" s="438"/>
      <c r="AI420" s="437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</row>
    <row r="421" ht="14.25" customHeight="1">
      <c r="A421" s="1"/>
      <c r="B421" s="1"/>
      <c r="C421" s="1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438"/>
      <c r="Q421" s="438"/>
      <c r="R421" s="437"/>
      <c r="S421" s="437"/>
      <c r="T421" s="438"/>
      <c r="U421" s="438"/>
      <c r="V421" s="437"/>
      <c r="W421" s="437"/>
      <c r="X421" s="438"/>
      <c r="Y421" s="438"/>
      <c r="Z421" s="940"/>
      <c r="AA421" s="940"/>
      <c r="AB421" s="438"/>
      <c r="AC421" s="438"/>
      <c r="AD421" s="940"/>
      <c r="AE421" s="940"/>
      <c r="AF421" s="438"/>
      <c r="AH421" s="438"/>
      <c r="AI421" s="437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</row>
    <row r="422" ht="14.25" customHeight="1">
      <c r="A422" s="1"/>
      <c r="B422" s="1"/>
      <c r="C422" s="1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438"/>
      <c r="Q422" s="438"/>
      <c r="R422" s="437"/>
      <c r="S422" s="437"/>
      <c r="T422" s="438"/>
      <c r="U422" s="438"/>
      <c r="V422" s="437"/>
      <c r="W422" s="437"/>
      <c r="X422" s="438"/>
      <c r="Y422" s="438"/>
      <c r="Z422" s="940"/>
      <c r="AA422" s="940"/>
      <c r="AB422" s="438"/>
      <c r="AC422" s="438"/>
      <c r="AD422" s="940"/>
      <c r="AE422" s="940"/>
      <c r="AF422" s="438"/>
      <c r="AH422" s="438"/>
      <c r="AI422" s="437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</row>
    <row r="423" ht="14.25" customHeight="1">
      <c r="A423" s="1"/>
      <c r="B423" s="1"/>
      <c r="C423" s="1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438"/>
      <c r="Q423" s="438"/>
      <c r="R423" s="437"/>
      <c r="S423" s="437"/>
      <c r="T423" s="438"/>
      <c r="U423" s="438"/>
      <c r="V423" s="437"/>
      <c r="W423" s="437"/>
      <c r="X423" s="438"/>
      <c r="Y423" s="438"/>
      <c r="Z423" s="940"/>
      <c r="AA423" s="940"/>
      <c r="AB423" s="438"/>
      <c r="AC423" s="438"/>
      <c r="AD423" s="940"/>
      <c r="AE423" s="940"/>
      <c r="AF423" s="438"/>
      <c r="AH423" s="438"/>
      <c r="AI423" s="437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</row>
    <row r="424" ht="14.25" customHeight="1">
      <c r="A424" s="1"/>
      <c r="B424" s="1"/>
      <c r="C424" s="1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438"/>
      <c r="Q424" s="438"/>
      <c r="R424" s="437"/>
      <c r="S424" s="437"/>
      <c r="T424" s="438"/>
      <c r="U424" s="438"/>
      <c r="V424" s="437"/>
      <c r="W424" s="437"/>
      <c r="X424" s="438"/>
      <c r="Y424" s="438"/>
      <c r="Z424" s="940"/>
      <c r="AA424" s="940"/>
      <c r="AB424" s="438"/>
      <c r="AC424" s="438"/>
      <c r="AD424" s="940"/>
      <c r="AE424" s="940"/>
      <c r="AF424" s="438"/>
      <c r="AH424" s="438"/>
      <c r="AI424" s="437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</row>
    <row r="425" ht="14.25" customHeight="1">
      <c r="A425" s="1"/>
      <c r="B425" s="1"/>
      <c r="C425" s="1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438"/>
      <c r="Q425" s="438"/>
      <c r="R425" s="437"/>
      <c r="S425" s="437"/>
      <c r="T425" s="438"/>
      <c r="U425" s="438"/>
      <c r="V425" s="437"/>
      <c r="W425" s="437"/>
      <c r="X425" s="438"/>
      <c r="Y425" s="438"/>
      <c r="Z425" s="940"/>
      <c r="AA425" s="940"/>
      <c r="AB425" s="438"/>
      <c r="AC425" s="438"/>
      <c r="AD425" s="940"/>
      <c r="AE425" s="940"/>
      <c r="AF425" s="438"/>
      <c r="AH425" s="438"/>
      <c r="AI425" s="437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</row>
    <row r="426" ht="14.25" customHeight="1">
      <c r="A426" s="1"/>
      <c r="B426" s="1"/>
      <c r="C426" s="1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438"/>
      <c r="Q426" s="438"/>
      <c r="R426" s="437"/>
      <c r="S426" s="437"/>
      <c r="T426" s="438"/>
      <c r="U426" s="438"/>
      <c r="V426" s="437"/>
      <c r="W426" s="437"/>
      <c r="X426" s="438"/>
      <c r="Y426" s="438"/>
      <c r="Z426" s="940"/>
      <c r="AA426" s="940"/>
      <c r="AB426" s="438"/>
      <c r="AC426" s="438"/>
      <c r="AD426" s="940"/>
      <c r="AE426" s="940"/>
      <c r="AF426" s="438"/>
      <c r="AH426" s="438"/>
      <c r="AI426" s="437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</row>
    <row r="427" ht="14.25" customHeight="1">
      <c r="A427" s="1"/>
      <c r="B427" s="1"/>
      <c r="C427" s="1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438"/>
      <c r="Q427" s="438"/>
      <c r="R427" s="437"/>
      <c r="S427" s="437"/>
      <c r="T427" s="438"/>
      <c r="U427" s="438"/>
      <c r="V427" s="437"/>
      <c r="W427" s="437"/>
      <c r="X427" s="438"/>
      <c r="Y427" s="438"/>
      <c r="Z427" s="940"/>
      <c r="AA427" s="940"/>
      <c r="AB427" s="438"/>
      <c r="AC427" s="438"/>
      <c r="AD427" s="940"/>
      <c r="AE427" s="940"/>
      <c r="AF427" s="438"/>
      <c r="AH427" s="438"/>
      <c r="AI427" s="437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</row>
    <row r="428" ht="14.25" customHeight="1">
      <c r="A428" s="1"/>
      <c r="B428" s="1"/>
      <c r="C428" s="1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438"/>
      <c r="Q428" s="438"/>
      <c r="R428" s="437"/>
      <c r="S428" s="437"/>
      <c r="T428" s="438"/>
      <c r="U428" s="438"/>
      <c r="V428" s="437"/>
      <c r="W428" s="437"/>
      <c r="X428" s="438"/>
      <c r="Y428" s="438"/>
      <c r="Z428" s="940"/>
      <c r="AA428" s="940"/>
      <c r="AB428" s="438"/>
      <c r="AC428" s="438"/>
      <c r="AD428" s="940"/>
      <c r="AE428" s="940"/>
      <c r="AF428" s="438"/>
      <c r="AH428" s="438"/>
      <c r="AI428" s="437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</row>
    <row r="429" ht="14.25" customHeight="1">
      <c r="A429" s="1"/>
      <c r="B429" s="1"/>
      <c r="C429" s="1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438"/>
      <c r="Q429" s="438"/>
      <c r="R429" s="437"/>
      <c r="S429" s="437"/>
      <c r="T429" s="438"/>
      <c r="U429" s="438"/>
      <c r="V429" s="437"/>
      <c r="W429" s="437"/>
      <c r="X429" s="438"/>
      <c r="Y429" s="438"/>
      <c r="Z429" s="940"/>
      <c r="AA429" s="940"/>
      <c r="AB429" s="438"/>
      <c r="AC429" s="438"/>
      <c r="AD429" s="940"/>
      <c r="AE429" s="940"/>
      <c r="AF429" s="438"/>
      <c r="AH429" s="438"/>
      <c r="AI429" s="437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</row>
    <row r="430" ht="14.25" customHeight="1">
      <c r="A430" s="1"/>
      <c r="B430" s="1"/>
      <c r="C430" s="1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438"/>
      <c r="Q430" s="438"/>
      <c r="R430" s="437"/>
      <c r="S430" s="437"/>
      <c r="T430" s="438"/>
      <c r="U430" s="438"/>
      <c r="V430" s="437"/>
      <c r="W430" s="437"/>
      <c r="X430" s="438"/>
      <c r="Y430" s="438"/>
      <c r="Z430" s="940"/>
      <c r="AA430" s="940"/>
      <c r="AB430" s="438"/>
      <c r="AC430" s="438"/>
      <c r="AD430" s="940"/>
      <c r="AE430" s="940"/>
      <c r="AF430" s="438"/>
      <c r="AH430" s="438"/>
      <c r="AI430" s="437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</row>
    <row r="431" ht="14.25" customHeight="1">
      <c r="A431" s="1"/>
      <c r="B431" s="1"/>
      <c r="C431" s="1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438"/>
      <c r="Q431" s="438"/>
      <c r="R431" s="437"/>
      <c r="S431" s="437"/>
      <c r="T431" s="438"/>
      <c r="U431" s="438"/>
      <c r="V431" s="437"/>
      <c r="W431" s="437"/>
      <c r="X431" s="438"/>
      <c r="Y431" s="438"/>
      <c r="Z431" s="940"/>
      <c r="AA431" s="940"/>
      <c r="AB431" s="438"/>
      <c r="AC431" s="438"/>
      <c r="AD431" s="940"/>
      <c r="AE431" s="940"/>
      <c r="AF431" s="438"/>
      <c r="AH431" s="438"/>
      <c r="AI431" s="437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</row>
    <row r="432" ht="14.25" customHeight="1">
      <c r="A432" s="1"/>
      <c r="B432" s="1"/>
      <c r="C432" s="1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438"/>
      <c r="Q432" s="438"/>
      <c r="R432" s="437"/>
      <c r="S432" s="437"/>
      <c r="T432" s="438"/>
      <c r="U432" s="438"/>
      <c r="V432" s="437"/>
      <c r="W432" s="437"/>
      <c r="X432" s="438"/>
      <c r="Y432" s="438"/>
      <c r="Z432" s="940"/>
      <c r="AA432" s="940"/>
      <c r="AB432" s="438"/>
      <c r="AC432" s="438"/>
      <c r="AD432" s="940"/>
      <c r="AE432" s="940"/>
      <c r="AF432" s="438"/>
      <c r="AH432" s="438"/>
      <c r="AI432" s="437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</row>
    <row r="433" ht="14.25" customHeight="1">
      <c r="A433" s="1"/>
      <c r="B433" s="1"/>
      <c r="C433" s="1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438"/>
      <c r="Q433" s="438"/>
      <c r="R433" s="437"/>
      <c r="S433" s="437"/>
      <c r="T433" s="438"/>
      <c r="U433" s="438"/>
      <c r="V433" s="437"/>
      <c r="W433" s="437"/>
      <c r="X433" s="438"/>
      <c r="Y433" s="438"/>
      <c r="Z433" s="940"/>
      <c r="AA433" s="940"/>
      <c r="AB433" s="438"/>
      <c r="AC433" s="438"/>
      <c r="AD433" s="940"/>
      <c r="AE433" s="940"/>
      <c r="AF433" s="438"/>
      <c r="AH433" s="438"/>
      <c r="AI433" s="437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</row>
    <row r="434" ht="14.25" customHeight="1">
      <c r="A434" s="1"/>
      <c r="B434" s="1"/>
      <c r="C434" s="1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438"/>
      <c r="Q434" s="438"/>
      <c r="R434" s="437"/>
      <c r="S434" s="437"/>
      <c r="T434" s="438"/>
      <c r="U434" s="438"/>
      <c r="V434" s="437"/>
      <c r="W434" s="437"/>
      <c r="X434" s="438"/>
      <c r="Y434" s="438"/>
      <c r="Z434" s="940"/>
      <c r="AA434" s="940"/>
      <c r="AB434" s="438"/>
      <c r="AC434" s="438"/>
      <c r="AD434" s="940"/>
      <c r="AE434" s="940"/>
      <c r="AF434" s="438"/>
      <c r="AH434" s="438"/>
      <c r="AI434" s="437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</row>
    <row r="435" ht="14.25" customHeight="1">
      <c r="A435" s="1"/>
      <c r="B435" s="1"/>
      <c r="C435" s="1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438"/>
      <c r="Q435" s="438"/>
      <c r="R435" s="437"/>
      <c r="S435" s="437"/>
      <c r="T435" s="438"/>
      <c r="U435" s="438"/>
      <c r="V435" s="437"/>
      <c r="W435" s="437"/>
      <c r="X435" s="438"/>
      <c r="Y435" s="438"/>
      <c r="Z435" s="940"/>
      <c r="AA435" s="940"/>
      <c r="AB435" s="438"/>
      <c r="AC435" s="438"/>
      <c r="AD435" s="940"/>
      <c r="AE435" s="940"/>
      <c r="AF435" s="438"/>
      <c r="AH435" s="438"/>
      <c r="AI435" s="437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</row>
    <row r="436" ht="14.25" customHeight="1">
      <c r="A436" s="1"/>
      <c r="B436" s="1"/>
      <c r="C436" s="1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438"/>
      <c r="Q436" s="438"/>
      <c r="R436" s="437"/>
      <c r="S436" s="437"/>
      <c r="T436" s="438"/>
      <c r="U436" s="438"/>
      <c r="V436" s="437"/>
      <c r="W436" s="437"/>
      <c r="X436" s="438"/>
      <c r="Y436" s="438"/>
      <c r="Z436" s="940"/>
      <c r="AA436" s="940"/>
      <c r="AB436" s="438"/>
      <c r="AC436" s="438"/>
      <c r="AD436" s="940"/>
      <c r="AE436" s="940"/>
      <c r="AF436" s="438"/>
      <c r="AH436" s="438"/>
      <c r="AI436" s="437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</row>
    <row r="437" ht="14.25" customHeight="1">
      <c r="A437" s="1"/>
      <c r="B437" s="1"/>
      <c r="C437" s="1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438"/>
      <c r="Q437" s="438"/>
      <c r="R437" s="437"/>
      <c r="S437" s="437"/>
      <c r="T437" s="438"/>
      <c r="U437" s="438"/>
      <c r="V437" s="437"/>
      <c r="W437" s="437"/>
      <c r="X437" s="438"/>
      <c r="Y437" s="438"/>
      <c r="Z437" s="940"/>
      <c r="AA437" s="940"/>
      <c r="AB437" s="438"/>
      <c r="AC437" s="438"/>
      <c r="AD437" s="940"/>
      <c r="AE437" s="940"/>
      <c r="AF437" s="438"/>
      <c r="AH437" s="438"/>
      <c r="AI437" s="437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</row>
    <row r="438" ht="14.25" customHeight="1">
      <c r="A438" s="1"/>
      <c r="B438" s="1"/>
      <c r="C438" s="1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438"/>
      <c r="Q438" s="438"/>
      <c r="R438" s="437"/>
      <c r="S438" s="437"/>
      <c r="T438" s="438"/>
      <c r="U438" s="438"/>
      <c r="V438" s="437"/>
      <c r="W438" s="437"/>
      <c r="X438" s="438"/>
      <c r="Y438" s="438"/>
      <c r="Z438" s="940"/>
      <c r="AA438" s="940"/>
      <c r="AB438" s="438"/>
      <c r="AC438" s="438"/>
      <c r="AD438" s="940"/>
      <c r="AE438" s="940"/>
      <c r="AF438" s="438"/>
      <c r="AH438" s="438"/>
      <c r="AI438" s="437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</row>
    <row r="439" ht="14.25" customHeight="1">
      <c r="A439" s="1"/>
      <c r="B439" s="1"/>
      <c r="C439" s="1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438"/>
      <c r="Q439" s="438"/>
      <c r="R439" s="437"/>
      <c r="S439" s="437"/>
      <c r="T439" s="438"/>
      <c r="U439" s="438"/>
      <c r="V439" s="437"/>
      <c r="W439" s="437"/>
      <c r="X439" s="438"/>
      <c r="Y439" s="438"/>
      <c r="Z439" s="940"/>
      <c r="AA439" s="940"/>
      <c r="AB439" s="438"/>
      <c r="AC439" s="438"/>
      <c r="AD439" s="940"/>
      <c r="AE439" s="940"/>
      <c r="AF439" s="438"/>
      <c r="AH439" s="438"/>
      <c r="AI439" s="437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</row>
    <row r="440" ht="14.25" customHeight="1">
      <c r="A440" s="1"/>
      <c r="B440" s="1"/>
      <c r="C440" s="1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438"/>
      <c r="Q440" s="438"/>
      <c r="R440" s="437"/>
      <c r="S440" s="437"/>
      <c r="T440" s="438"/>
      <c r="U440" s="438"/>
      <c r="V440" s="437"/>
      <c r="W440" s="437"/>
      <c r="X440" s="438"/>
      <c r="Y440" s="438"/>
      <c r="Z440" s="940"/>
      <c r="AA440" s="940"/>
      <c r="AB440" s="438"/>
      <c r="AC440" s="438"/>
      <c r="AD440" s="940"/>
      <c r="AE440" s="940"/>
      <c r="AF440" s="438"/>
      <c r="AH440" s="438"/>
      <c r="AI440" s="437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</row>
    <row r="441" ht="14.25" customHeight="1">
      <c r="A441" s="1"/>
      <c r="B441" s="1"/>
      <c r="C441" s="1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438"/>
      <c r="Q441" s="438"/>
      <c r="R441" s="437"/>
      <c r="S441" s="437"/>
      <c r="T441" s="438"/>
      <c r="U441" s="438"/>
      <c r="V441" s="437"/>
      <c r="W441" s="437"/>
      <c r="X441" s="438"/>
      <c r="Y441" s="438"/>
      <c r="Z441" s="940"/>
      <c r="AA441" s="940"/>
      <c r="AB441" s="438"/>
      <c r="AC441" s="438"/>
      <c r="AD441" s="940"/>
      <c r="AE441" s="940"/>
      <c r="AF441" s="438"/>
      <c r="AH441" s="438"/>
      <c r="AI441" s="437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</row>
    <row r="442" ht="14.25" customHeight="1">
      <c r="A442" s="1"/>
      <c r="B442" s="1"/>
      <c r="C442" s="1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438"/>
      <c r="Q442" s="438"/>
      <c r="R442" s="437"/>
      <c r="S442" s="437"/>
      <c r="T442" s="438"/>
      <c r="U442" s="438"/>
      <c r="V442" s="437"/>
      <c r="W442" s="437"/>
      <c r="X442" s="438"/>
      <c r="Y442" s="438"/>
      <c r="Z442" s="940"/>
      <c r="AA442" s="940"/>
      <c r="AB442" s="438"/>
      <c r="AC442" s="438"/>
      <c r="AD442" s="940"/>
      <c r="AE442" s="940"/>
      <c r="AF442" s="438"/>
      <c r="AH442" s="438"/>
      <c r="AI442" s="437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</row>
    <row r="443" ht="14.25" customHeight="1">
      <c r="A443" s="1"/>
      <c r="B443" s="1"/>
      <c r="C443" s="1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438"/>
      <c r="Q443" s="438"/>
      <c r="R443" s="437"/>
      <c r="S443" s="437"/>
      <c r="T443" s="438"/>
      <c r="U443" s="438"/>
      <c r="V443" s="437"/>
      <c r="W443" s="437"/>
      <c r="X443" s="438"/>
      <c r="Y443" s="438"/>
      <c r="Z443" s="940"/>
      <c r="AA443" s="940"/>
      <c r="AB443" s="438"/>
      <c r="AC443" s="438"/>
      <c r="AD443" s="940"/>
      <c r="AE443" s="940"/>
      <c r="AF443" s="438"/>
      <c r="AH443" s="438"/>
      <c r="AI443" s="437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</row>
    <row r="444" ht="14.25" customHeight="1">
      <c r="A444" s="1"/>
      <c r="B444" s="1"/>
      <c r="C444" s="1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438"/>
      <c r="Q444" s="438"/>
      <c r="R444" s="437"/>
      <c r="S444" s="437"/>
      <c r="T444" s="438"/>
      <c r="U444" s="438"/>
      <c r="V444" s="437"/>
      <c r="W444" s="437"/>
      <c r="X444" s="438"/>
      <c r="Y444" s="438"/>
      <c r="Z444" s="940"/>
      <c r="AA444" s="940"/>
      <c r="AB444" s="438"/>
      <c r="AC444" s="438"/>
      <c r="AD444" s="940"/>
      <c r="AE444" s="940"/>
      <c r="AF444" s="438"/>
      <c r="AH444" s="438"/>
      <c r="AI444" s="437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</row>
    <row r="445" ht="14.25" customHeight="1">
      <c r="A445" s="1"/>
      <c r="B445" s="1"/>
      <c r="C445" s="1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438"/>
      <c r="Q445" s="438"/>
      <c r="R445" s="437"/>
      <c r="S445" s="437"/>
      <c r="T445" s="438"/>
      <c r="U445" s="438"/>
      <c r="V445" s="437"/>
      <c r="W445" s="437"/>
      <c r="X445" s="438"/>
      <c r="Y445" s="438"/>
      <c r="Z445" s="940"/>
      <c r="AA445" s="940"/>
      <c r="AB445" s="438"/>
      <c r="AC445" s="438"/>
      <c r="AD445" s="940"/>
      <c r="AE445" s="940"/>
      <c r="AF445" s="438"/>
      <c r="AH445" s="438"/>
      <c r="AI445" s="437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</row>
    <row r="446" ht="14.25" customHeight="1">
      <c r="A446" s="1"/>
      <c r="B446" s="1"/>
      <c r="C446" s="1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438"/>
      <c r="Q446" s="438"/>
      <c r="R446" s="437"/>
      <c r="S446" s="437"/>
      <c r="T446" s="438"/>
      <c r="U446" s="438"/>
      <c r="V446" s="437"/>
      <c r="W446" s="437"/>
      <c r="X446" s="438"/>
      <c r="Y446" s="438"/>
      <c r="Z446" s="940"/>
      <c r="AA446" s="940"/>
      <c r="AB446" s="438"/>
      <c r="AC446" s="438"/>
      <c r="AD446" s="940"/>
      <c r="AE446" s="940"/>
      <c r="AF446" s="438"/>
      <c r="AH446" s="438"/>
      <c r="AI446" s="437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</row>
    <row r="447" ht="14.25" customHeight="1">
      <c r="A447" s="1"/>
      <c r="B447" s="1"/>
      <c r="C447" s="1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438"/>
      <c r="Q447" s="438"/>
      <c r="R447" s="437"/>
      <c r="S447" s="437"/>
      <c r="T447" s="438"/>
      <c r="U447" s="438"/>
      <c r="V447" s="437"/>
      <c r="W447" s="437"/>
      <c r="X447" s="438"/>
      <c r="Y447" s="438"/>
      <c r="Z447" s="940"/>
      <c r="AA447" s="940"/>
      <c r="AB447" s="438"/>
      <c r="AC447" s="438"/>
      <c r="AD447" s="940"/>
      <c r="AE447" s="940"/>
      <c r="AF447" s="438"/>
      <c r="AH447" s="438"/>
      <c r="AI447" s="437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</row>
    <row r="448" ht="14.25" customHeight="1">
      <c r="A448" s="1"/>
      <c r="B448" s="1"/>
      <c r="C448" s="1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438"/>
      <c r="Q448" s="438"/>
      <c r="R448" s="437"/>
      <c r="S448" s="437"/>
      <c r="T448" s="438"/>
      <c r="U448" s="438"/>
      <c r="V448" s="437"/>
      <c r="W448" s="437"/>
      <c r="X448" s="438"/>
      <c r="Y448" s="438"/>
      <c r="Z448" s="940"/>
      <c r="AA448" s="940"/>
      <c r="AB448" s="438"/>
      <c r="AC448" s="438"/>
      <c r="AD448" s="940"/>
      <c r="AE448" s="940"/>
      <c r="AF448" s="438"/>
      <c r="AH448" s="438"/>
      <c r="AI448" s="437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</row>
    <row r="449" ht="14.25" customHeight="1">
      <c r="A449" s="1"/>
      <c r="B449" s="1"/>
      <c r="C449" s="1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438"/>
      <c r="Q449" s="438"/>
      <c r="R449" s="437"/>
      <c r="S449" s="437"/>
      <c r="T449" s="438"/>
      <c r="U449" s="438"/>
      <c r="V449" s="437"/>
      <c r="W449" s="437"/>
      <c r="X449" s="438"/>
      <c r="Y449" s="438"/>
      <c r="Z449" s="940"/>
      <c r="AA449" s="940"/>
      <c r="AB449" s="438"/>
      <c r="AC449" s="438"/>
      <c r="AD449" s="940"/>
      <c r="AE449" s="940"/>
      <c r="AF449" s="438"/>
      <c r="AH449" s="438"/>
      <c r="AI449" s="437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</row>
    <row r="450" ht="14.25" customHeight="1">
      <c r="A450" s="1"/>
      <c r="B450" s="1"/>
      <c r="C450" s="1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438"/>
      <c r="Q450" s="438"/>
      <c r="R450" s="437"/>
      <c r="S450" s="437"/>
      <c r="T450" s="438"/>
      <c r="U450" s="438"/>
      <c r="V450" s="437"/>
      <c r="W450" s="437"/>
      <c r="X450" s="438"/>
      <c r="Y450" s="438"/>
      <c r="Z450" s="940"/>
      <c r="AA450" s="940"/>
      <c r="AB450" s="438"/>
      <c r="AC450" s="438"/>
      <c r="AD450" s="940"/>
      <c r="AE450" s="940"/>
      <c r="AF450" s="438"/>
      <c r="AH450" s="438"/>
      <c r="AI450" s="437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</row>
    <row r="451" ht="14.25" customHeight="1">
      <c r="A451" s="1"/>
      <c r="B451" s="1"/>
      <c r="C451" s="1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438"/>
      <c r="Q451" s="438"/>
      <c r="R451" s="437"/>
      <c r="S451" s="437"/>
      <c r="T451" s="438"/>
      <c r="U451" s="438"/>
      <c r="V451" s="437"/>
      <c r="W451" s="437"/>
      <c r="X451" s="438"/>
      <c r="Y451" s="438"/>
      <c r="Z451" s="940"/>
      <c r="AA451" s="940"/>
      <c r="AB451" s="438"/>
      <c r="AC451" s="438"/>
      <c r="AD451" s="940"/>
      <c r="AE451" s="940"/>
      <c r="AF451" s="438"/>
      <c r="AH451" s="438"/>
      <c r="AI451" s="437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</row>
    <row r="452" ht="14.25" customHeight="1">
      <c r="A452" s="1"/>
      <c r="B452" s="1"/>
      <c r="C452" s="1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438"/>
      <c r="Q452" s="438"/>
      <c r="R452" s="437"/>
      <c r="S452" s="437"/>
      <c r="T452" s="438"/>
      <c r="U452" s="438"/>
      <c r="V452" s="437"/>
      <c r="W452" s="437"/>
      <c r="X452" s="438"/>
      <c r="Y452" s="438"/>
      <c r="Z452" s="940"/>
      <c r="AA452" s="940"/>
      <c r="AB452" s="438"/>
      <c r="AC452" s="438"/>
      <c r="AD452" s="940"/>
      <c r="AE452" s="940"/>
      <c r="AF452" s="438"/>
      <c r="AH452" s="438"/>
      <c r="AI452" s="437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</row>
    <row r="453" ht="14.25" customHeight="1">
      <c r="A453" s="1"/>
      <c r="B453" s="1"/>
      <c r="C453" s="1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438"/>
      <c r="Q453" s="438"/>
      <c r="R453" s="437"/>
      <c r="S453" s="437"/>
      <c r="T453" s="438"/>
      <c r="U453" s="438"/>
      <c r="V453" s="437"/>
      <c r="W453" s="437"/>
      <c r="X453" s="438"/>
      <c r="Y453" s="438"/>
      <c r="Z453" s="940"/>
      <c r="AA453" s="940"/>
      <c r="AB453" s="438"/>
      <c r="AC453" s="438"/>
      <c r="AD453" s="940"/>
      <c r="AE453" s="940"/>
      <c r="AF453" s="438"/>
      <c r="AH453" s="438"/>
      <c r="AI453" s="437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</row>
    <row r="454" ht="14.25" customHeight="1">
      <c r="A454" s="1"/>
      <c r="B454" s="1"/>
      <c r="C454" s="1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438"/>
      <c r="Q454" s="438"/>
      <c r="R454" s="437"/>
      <c r="S454" s="437"/>
      <c r="T454" s="438"/>
      <c r="U454" s="438"/>
      <c r="V454" s="437"/>
      <c r="W454" s="437"/>
      <c r="X454" s="438"/>
      <c r="Y454" s="438"/>
      <c r="Z454" s="940"/>
      <c r="AA454" s="940"/>
      <c r="AB454" s="438"/>
      <c r="AC454" s="438"/>
      <c r="AD454" s="940"/>
      <c r="AE454" s="940"/>
      <c r="AF454" s="438"/>
      <c r="AH454" s="438"/>
      <c r="AI454" s="437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</row>
    <row r="455" ht="14.25" customHeight="1">
      <c r="A455" s="1"/>
      <c r="B455" s="1"/>
      <c r="C455" s="1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438"/>
      <c r="Q455" s="438"/>
      <c r="R455" s="437"/>
      <c r="S455" s="437"/>
      <c r="T455" s="438"/>
      <c r="U455" s="438"/>
      <c r="V455" s="437"/>
      <c r="W455" s="437"/>
      <c r="X455" s="438"/>
      <c r="Y455" s="438"/>
      <c r="Z455" s="940"/>
      <c r="AA455" s="940"/>
      <c r="AB455" s="438"/>
      <c r="AC455" s="438"/>
      <c r="AD455" s="940"/>
      <c r="AE455" s="940"/>
      <c r="AF455" s="438"/>
      <c r="AH455" s="438"/>
      <c r="AI455" s="437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</row>
    <row r="456" ht="14.25" customHeight="1">
      <c r="A456" s="1"/>
      <c r="B456" s="1"/>
      <c r="C456" s="1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438"/>
      <c r="Q456" s="438"/>
      <c r="R456" s="437"/>
      <c r="S456" s="437"/>
      <c r="T456" s="438"/>
      <c r="U456" s="438"/>
      <c r="V456" s="437"/>
      <c r="W456" s="437"/>
      <c r="X456" s="438"/>
      <c r="Y456" s="438"/>
      <c r="Z456" s="940"/>
      <c r="AA456" s="940"/>
      <c r="AB456" s="438"/>
      <c r="AC456" s="438"/>
      <c r="AD456" s="940"/>
      <c r="AE456" s="940"/>
      <c r="AF456" s="438"/>
      <c r="AH456" s="438"/>
      <c r="AI456" s="437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</row>
    <row r="457" ht="14.25" customHeight="1">
      <c r="A457" s="1"/>
      <c r="B457" s="1"/>
      <c r="C457" s="1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438"/>
      <c r="Q457" s="438"/>
      <c r="R457" s="437"/>
      <c r="S457" s="437"/>
      <c r="T457" s="438"/>
      <c r="U457" s="438"/>
      <c r="V457" s="437"/>
      <c r="W457" s="437"/>
      <c r="X457" s="438"/>
      <c r="Y457" s="438"/>
      <c r="Z457" s="940"/>
      <c r="AA457" s="940"/>
      <c r="AB457" s="438"/>
      <c r="AC457" s="438"/>
      <c r="AD457" s="940"/>
      <c r="AE457" s="940"/>
      <c r="AF457" s="438"/>
      <c r="AH457" s="438"/>
      <c r="AI457" s="437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</row>
    <row r="458" ht="14.25" customHeight="1">
      <c r="A458" s="1"/>
      <c r="B458" s="1"/>
      <c r="C458" s="1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438"/>
      <c r="Q458" s="438"/>
      <c r="R458" s="437"/>
      <c r="S458" s="437"/>
      <c r="T458" s="438"/>
      <c r="U458" s="438"/>
      <c r="V458" s="437"/>
      <c r="W458" s="437"/>
      <c r="X458" s="438"/>
      <c r="Y458" s="438"/>
      <c r="Z458" s="940"/>
      <c r="AA458" s="940"/>
      <c r="AB458" s="438"/>
      <c r="AC458" s="438"/>
      <c r="AD458" s="940"/>
      <c r="AE458" s="940"/>
      <c r="AF458" s="438"/>
      <c r="AH458" s="438"/>
      <c r="AI458" s="437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</row>
    <row r="459" ht="14.25" customHeight="1">
      <c r="A459" s="1"/>
      <c r="B459" s="1"/>
      <c r="C459" s="1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438"/>
      <c r="Q459" s="438"/>
      <c r="R459" s="437"/>
      <c r="S459" s="437"/>
      <c r="T459" s="438"/>
      <c r="U459" s="438"/>
      <c r="V459" s="437"/>
      <c r="W459" s="437"/>
      <c r="X459" s="438"/>
      <c r="Y459" s="438"/>
      <c r="Z459" s="940"/>
      <c r="AA459" s="940"/>
      <c r="AB459" s="438"/>
      <c r="AC459" s="438"/>
      <c r="AD459" s="940"/>
      <c r="AE459" s="940"/>
      <c r="AF459" s="438"/>
      <c r="AH459" s="438"/>
      <c r="AI459" s="437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</row>
    <row r="460" ht="14.25" customHeight="1">
      <c r="A460" s="1"/>
      <c r="B460" s="1"/>
      <c r="C460" s="1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438"/>
      <c r="Q460" s="438"/>
      <c r="R460" s="437"/>
      <c r="S460" s="437"/>
      <c r="T460" s="438"/>
      <c r="U460" s="438"/>
      <c r="V460" s="437"/>
      <c r="W460" s="437"/>
      <c r="X460" s="438"/>
      <c r="Y460" s="438"/>
      <c r="Z460" s="940"/>
      <c r="AA460" s="940"/>
      <c r="AB460" s="438"/>
      <c r="AC460" s="438"/>
      <c r="AD460" s="940"/>
      <c r="AE460" s="940"/>
      <c r="AF460" s="438"/>
      <c r="AH460" s="438"/>
      <c r="AI460" s="437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</row>
    <row r="461" ht="14.25" customHeight="1">
      <c r="A461" s="1"/>
      <c r="B461" s="1"/>
      <c r="C461" s="1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438"/>
      <c r="Q461" s="438"/>
      <c r="R461" s="437"/>
      <c r="S461" s="437"/>
      <c r="T461" s="438"/>
      <c r="U461" s="438"/>
      <c r="V461" s="437"/>
      <c r="W461" s="437"/>
      <c r="X461" s="438"/>
      <c r="Y461" s="438"/>
      <c r="Z461" s="940"/>
      <c r="AA461" s="940"/>
      <c r="AB461" s="438"/>
      <c r="AC461" s="438"/>
      <c r="AD461" s="940"/>
      <c r="AE461" s="940"/>
      <c r="AF461" s="438"/>
      <c r="AH461" s="438"/>
      <c r="AI461" s="437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</row>
    <row r="462" ht="14.25" customHeight="1">
      <c r="A462" s="1"/>
      <c r="B462" s="1"/>
      <c r="C462" s="1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438"/>
      <c r="Q462" s="438"/>
      <c r="R462" s="437"/>
      <c r="S462" s="437"/>
      <c r="T462" s="438"/>
      <c r="U462" s="438"/>
      <c r="V462" s="437"/>
      <c r="W462" s="437"/>
      <c r="X462" s="438"/>
      <c r="Y462" s="438"/>
      <c r="Z462" s="940"/>
      <c r="AA462" s="940"/>
      <c r="AB462" s="438"/>
      <c r="AC462" s="438"/>
      <c r="AD462" s="940"/>
      <c r="AE462" s="940"/>
      <c r="AF462" s="438"/>
      <c r="AH462" s="438"/>
      <c r="AI462" s="437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</row>
    <row r="463" ht="14.25" customHeight="1">
      <c r="A463" s="1"/>
      <c r="B463" s="1"/>
      <c r="C463" s="1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438"/>
      <c r="Q463" s="438"/>
      <c r="R463" s="437"/>
      <c r="S463" s="437"/>
      <c r="T463" s="438"/>
      <c r="U463" s="438"/>
      <c r="V463" s="437"/>
      <c r="W463" s="437"/>
      <c r="X463" s="438"/>
      <c r="Y463" s="438"/>
      <c r="Z463" s="940"/>
      <c r="AA463" s="940"/>
      <c r="AB463" s="438"/>
      <c r="AC463" s="438"/>
      <c r="AD463" s="940"/>
      <c r="AE463" s="940"/>
      <c r="AF463" s="438"/>
      <c r="AH463" s="438"/>
      <c r="AI463" s="437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</row>
    <row r="464" ht="14.25" customHeight="1">
      <c r="A464" s="1"/>
      <c r="B464" s="1"/>
      <c r="C464" s="1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438"/>
      <c r="Q464" s="438"/>
      <c r="R464" s="437"/>
      <c r="S464" s="437"/>
      <c r="T464" s="438"/>
      <c r="U464" s="438"/>
      <c r="V464" s="437"/>
      <c r="W464" s="437"/>
      <c r="X464" s="438"/>
      <c r="Y464" s="438"/>
      <c r="Z464" s="940"/>
      <c r="AA464" s="940"/>
      <c r="AB464" s="438"/>
      <c r="AC464" s="438"/>
      <c r="AD464" s="940"/>
      <c r="AE464" s="940"/>
      <c r="AF464" s="438"/>
      <c r="AH464" s="438"/>
      <c r="AI464" s="437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</row>
    <row r="465" ht="14.25" customHeight="1">
      <c r="A465" s="1"/>
      <c r="B465" s="1"/>
      <c r="C465" s="1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438"/>
      <c r="Q465" s="438"/>
      <c r="R465" s="437"/>
      <c r="S465" s="437"/>
      <c r="T465" s="438"/>
      <c r="U465" s="438"/>
      <c r="V465" s="437"/>
      <c r="W465" s="437"/>
      <c r="X465" s="438"/>
      <c r="Y465" s="438"/>
      <c r="Z465" s="940"/>
      <c r="AA465" s="940"/>
      <c r="AB465" s="438"/>
      <c r="AC465" s="438"/>
      <c r="AD465" s="940"/>
      <c r="AE465" s="940"/>
      <c r="AF465" s="438"/>
      <c r="AH465" s="438"/>
      <c r="AI465" s="437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</row>
    <row r="466" ht="14.25" customHeight="1">
      <c r="A466" s="1"/>
      <c r="B466" s="1"/>
      <c r="C466" s="1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438"/>
      <c r="Q466" s="438"/>
      <c r="R466" s="437"/>
      <c r="S466" s="437"/>
      <c r="T466" s="438"/>
      <c r="U466" s="438"/>
      <c r="V466" s="437"/>
      <c r="W466" s="437"/>
      <c r="X466" s="438"/>
      <c r="Y466" s="438"/>
      <c r="Z466" s="940"/>
      <c r="AA466" s="940"/>
      <c r="AB466" s="438"/>
      <c r="AC466" s="438"/>
      <c r="AD466" s="940"/>
      <c r="AE466" s="940"/>
      <c r="AF466" s="438"/>
      <c r="AH466" s="438"/>
      <c r="AI466" s="437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</row>
    <row r="467" ht="14.25" customHeight="1">
      <c r="A467" s="1"/>
      <c r="B467" s="1"/>
      <c r="C467" s="1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438"/>
      <c r="Q467" s="438"/>
      <c r="R467" s="437"/>
      <c r="S467" s="437"/>
      <c r="T467" s="438"/>
      <c r="U467" s="438"/>
      <c r="V467" s="437"/>
      <c r="W467" s="437"/>
      <c r="X467" s="438"/>
      <c r="Y467" s="438"/>
      <c r="Z467" s="940"/>
      <c r="AA467" s="940"/>
      <c r="AB467" s="438"/>
      <c r="AC467" s="438"/>
      <c r="AD467" s="940"/>
      <c r="AE467" s="940"/>
      <c r="AF467" s="438"/>
      <c r="AH467" s="438"/>
      <c r="AI467" s="437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</row>
    <row r="468" ht="14.25" customHeight="1">
      <c r="A468" s="1"/>
      <c r="B468" s="1"/>
      <c r="C468" s="1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438"/>
      <c r="Q468" s="438"/>
      <c r="R468" s="437"/>
      <c r="S468" s="437"/>
      <c r="T468" s="438"/>
      <c r="U468" s="438"/>
      <c r="V468" s="437"/>
      <c r="W468" s="437"/>
      <c r="X468" s="438"/>
      <c r="Y468" s="438"/>
      <c r="Z468" s="940"/>
      <c r="AA468" s="940"/>
      <c r="AB468" s="438"/>
      <c r="AC468" s="438"/>
      <c r="AD468" s="940"/>
      <c r="AE468" s="940"/>
      <c r="AF468" s="438"/>
      <c r="AH468" s="438"/>
      <c r="AI468" s="437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</row>
    <row r="469" ht="14.25" customHeight="1">
      <c r="A469" s="1"/>
      <c r="B469" s="1"/>
      <c r="C469" s="1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438"/>
      <c r="Q469" s="438"/>
      <c r="R469" s="437"/>
      <c r="S469" s="437"/>
      <c r="T469" s="438"/>
      <c r="U469" s="438"/>
      <c r="V469" s="437"/>
      <c r="W469" s="437"/>
      <c r="X469" s="438"/>
      <c r="Y469" s="438"/>
      <c r="Z469" s="940"/>
      <c r="AA469" s="940"/>
      <c r="AB469" s="438"/>
      <c r="AC469" s="438"/>
      <c r="AD469" s="940"/>
      <c r="AE469" s="940"/>
      <c r="AF469" s="438"/>
      <c r="AH469" s="438"/>
      <c r="AI469" s="437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</row>
    <row r="470" ht="14.25" customHeight="1">
      <c r="A470" s="1"/>
      <c r="B470" s="1"/>
      <c r="C470" s="1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438"/>
      <c r="Q470" s="438"/>
      <c r="R470" s="437"/>
      <c r="S470" s="437"/>
      <c r="T470" s="438"/>
      <c r="U470" s="438"/>
      <c r="V470" s="437"/>
      <c r="W470" s="437"/>
      <c r="X470" s="438"/>
      <c r="Y470" s="438"/>
      <c r="Z470" s="940"/>
      <c r="AA470" s="940"/>
      <c r="AB470" s="438"/>
      <c r="AC470" s="438"/>
      <c r="AD470" s="940"/>
      <c r="AE470" s="940"/>
      <c r="AF470" s="438"/>
      <c r="AH470" s="438"/>
      <c r="AI470" s="437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</row>
    <row r="471" ht="14.25" customHeight="1">
      <c r="A471" s="1"/>
      <c r="B471" s="1"/>
      <c r="C471" s="1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438"/>
      <c r="Q471" s="438"/>
      <c r="R471" s="437"/>
      <c r="S471" s="437"/>
      <c r="T471" s="438"/>
      <c r="U471" s="438"/>
      <c r="V471" s="437"/>
      <c r="W471" s="437"/>
      <c r="X471" s="438"/>
      <c r="Y471" s="438"/>
      <c r="Z471" s="940"/>
      <c r="AA471" s="940"/>
      <c r="AB471" s="438"/>
      <c r="AC471" s="438"/>
      <c r="AD471" s="940"/>
      <c r="AE471" s="940"/>
      <c r="AF471" s="438"/>
      <c r="AH471" s="438"/>
      <c r="AI471" s="437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</row>
    <row r="472" ht="14.25" customHeight="1">
      <c r="A472" s="1"/>
      <c r="B472" s="1"/>
      <c r="C472" s="1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438"/>
      <c r="Q472" s="438"/>
      <c r="R472" s="437"/>
      <c r="S472" s="437"/>
      <c r="T472" s="438"/>
      <c r="U472" s="438"/>
      <c r="V472" s="437"/>
      <c r="W472" s="437"/>
      <c r="X472" s="438"/>
      <c r="Y472" s="438"/>
      <c r="Z472" s="940"/>
      <c r="AA472" s="940"/>
      <c r="AB472" s="438"/>
      <c r="AC472" s="438"/>
      <c r="AD472" s="940"/>
      <c r="AE472" s="940"/>
      <c r="AF472" s="438"/>
      <c r="AH472" s="438"/>
      <c r="AI472" s="437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</row>
    <row r="473" ht="14.25" customHeight="1">
      <c r="A473" s="1"/>
      <c r="B473" s="1"/>
      <c r="C473" s="1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438"/>
      <c r="Q473" s="438"/>
      <c r="R473" s="437"/>
      <c r="S473" s="437"/>
      <c r="T473" s="438"/>
      <c r="U473" s="438"/>
      <c r="V473" s="437"/>
      <c r="W473" s="437"/>
      <c r="X473" s="438"/>
      <c r="Y473" s="438"/>
      <c r="Z473" s="940"/>
      <c r="AA473" s="940"/>
      <c r="AB473" s="438"/>
      <c r="AC473" s="438"/>
      <c r="AD473" s="940"/>
      <c r="AE473" s="940"/>
      <c r="AF473" s="438"/>
      <c r="AH473" s="438"/>
      <c r="AI473" s="437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</row>
    <row r="474" ht="14.25" customHeight="1">
      <c r="A474" s="1"/>
      <c r="B474" s="1"/>
      <c r="C474" s="1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438"/>
      <c r="Q474" s="438"/>
      <c r="R474" s="437"/>
      <c r="S474" s="437"/>
      <c r="T474" s="438"/>
      <c r="U474" s="438"/>
      <c r="V474" s="437"/>
      <c r="W474" s="437"/>
      <c r="X474" s="438"/>
      <c r="Y474" s="438"/>
      <c r="Z474" s="940"/>
      <c r="AA474" s="940"/>
      <c r="AB474" s="438"/>
      <c r="AC474" s="438"/>
      <c r="AD474" s="940"/>
      <c r="AE474" s="940"/>
      <c r="AF474" s="438"/>
      <c r="AH474" s="438"/>
      <c r="AI474" s="437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</row>
    <row r="475" ht="14.25" customHeight="1">
      <c r="A475" s="1"/>
      <c r="B475" s="1"/>
      <c r="C475" s="1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438"/>
      <c r="Q475" s="438"/>
      <c r="R475" s="437"/>
      <c r="S475" s="437"/>
      <c r="T475" s="438"/>
      <c r="U475" s="438"/>
      <c r="V475" s="437"/>
      <c r="W475" s="437"/>
      <c r="X475" s="438"/>
      <c r="Y475" s="438"/>
      <c r="Z475" s="940"/>
      <c r="AA475" s="940"/>
      <c r="AB475" s="438"/>
      <c r="AC475" s="438"/>
      <c r="AD475" s="940"/>
      <c r="AE475" s="940"/>
      <c r="AF475" s="438"/>
      <c r="AH475" s="438"/>
      <c r="AI475" s="437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</row>
    <row r="476" ht="14.25" customHeight="1">
      <c r="A476" s="1"/>
      <c r="B476" s="1"/>
      <c r="C476" s="1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438"/>
      <c r="Q476" s="438"/>
      <c r="R476" s="437"/>
      <c r="S476" s="437"/>
      <c r="T476" s="438"/>
      <c r="U476" s="438"/>
      <c r="V476" s="437"/>
      <c r="W476" s="437"/>
      <c r="X476" s="438"/>
      <c r="Y476" s="438"/>
      <c r="Z476" s="940"/>
      <c r="AA476" s="940"/>
      <c r="AB476" s="438"/>
      <c r="AC476" s="438"/>
      <c r="AD476" s="940"/>
      <c r="AE476" s="940"/>
      <c r="AF476" s="438"/>
      <c r="AH476" s="438"/>
      <c r="AI476" s="437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</row>
    <row r="477" ht="14.25" customHeight="1">
      <c r="A477" s="1"/>
      <c r="B477" s="1"/>
      <c r="C477" s="1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438"/>
      <c r="Q477" s="438"/>
      <c r="R477" s="437"/>
      <c r="S477" s="437"/>
      <c r="T477" s="438"/>
      <c r="U477" s="438"/>
      <c r="V477" s="437"/>
      <c r="W477" s="437"/>
      <c r="X477" s="438"/>
      <c r="Y477" s="438"/>
      <c r="Z477" s="940"/>
      <c r="AA477" s="940"/>
      <c r="AB477" s="438"/>
      <c r="AC477" s="438"/>
      <c r="AD477" s="940"/>
      <c r="AE477" s="940"/>
      <c r="AF477" s="438"/>
      <c r="AH477" s="438"/>
      <c r="AI477" s="437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</row>
    <row r="478" ht="14.25" customHeight="1">
      <c r="A478" s="1"/>
      <c r="B478" s="1"/>
      <c r="C478" s="1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438"/>
      <c r="Q478" s="438"/>
      <c r="R478" s="437"/>
      <c r="S478" s="437"/>
      <c r="T478" s="438"/>
      <c r="U478" s="438"/>
      <c r="V478" s="437"/>
      <c r="W478" s="437"/>
      <c r="X478" s="438"/>
      <c r="Y478" s="438"/>
      <c r="Z478" s="940"/>
      <c r="AA478" s="940"/>
      <c r="AB478" s="438"/>
      <c r="AC478" s="438"/>
      <c r="AD478" s="940"/>
      <c r="AE478" s="940"/>
      <c r="AF478" s="438"/>
      <c r="AH478" s="438"/>
      <c r="AI478" s="437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</row>
    <row r="479" ht="14.25" customHeight="1">
      <c r="A479" s="1"/>
      <c r="B479" s="1"/>
      <c r="C479" s="1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438"/>
      <c r="Q479" s="438"/>
      <c r="R479" s="437"/>
      <c r="S479" s="437"/>
      <c r="T479" s="438"/>
      <c r="U479" s="438"/>
      <c r="V479" s="437"/>
      <c r="W479" s="437"/>
      <c r="X479" s="438"/>
      <c r="Y479" s="438"/>
      <c r="Z479" s="940"/>
      <c r="AA479" s="940"/>
      <c r="AB479" s="438"/>
      <c r="AC479" s="438"/>
      <c r="AD479" s="940"/>
      <c r="AE479" s="940"/>
      <c r="AF479" s="438"/>
      <c r="AH479" s="438"/>
      <c r="AI479" s="437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</row>
    <row r="480" ht="14.25" customHeight="1">
      <c r="A480" s="1"/>
      <c r="B480" s="1"/>
      <c r="C480" s="1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438"/>
      <c r="Q480" s="438"/>
      <c r="R480" s="437"/>
      <c r="S480" s="437"/>
      <c r="T480" s="438"/>
      <c r="U480" s="438"/>
      <c r="V480" s="437"/>
      <c r="W480" s="437"/>
      <c r="X480" s="438"/>
      <c r="Y480" s="438"/>
      <c r="Z480" s="940"/>
      <c r="AA480" s="940"/>
      <c r="AB480" s="438"/>
      <c r="AC480" s="438"/>
      <c r="AD480" s="940"/>
      <c r="AE480" s="940"/>
      <c r="AF480" s="438"/>
      <c r="AH480" s="438"/>
      <c r="AI480" s="437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</row>
    <row r="481" ht="14.25" customHeight="1">
      <c r="A481" s="1"/>
      <c r="B481" s="1"/>
      <c r="C481" s="1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438"/>
      <c r="Q481" s="438"/>
      <c r="R481" s="437"/>
      <c r="S481" s="437"/>
      <c r="T481" s="438"/>
      <c r="U481" s="438"/>
      <c r="V481" s="437"/>
      <c r="W481" s="437"/>
      <c r="X481" s="438"/>
      <c r="Y481" s="438"/>
      <c r="Z481" s="940"/>
      <c r="AA481" s="940"/>
      <c r="AB481" s="438"/>
      <c r="AC481" s="438"/>
      <c r="AD481" s="940"/>
      <c r="AE481" s="940"/>
      <c r="AF481" s="438"/>
      <c r="AH481" s="438"/>
      <c r="AI481" s="437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</row>
    <row r="482" ht="14.25" customHeight="1">
      <c r="A482" s="1"/>
      <c r="B482" s="1"/>
      <c r="C482" s="1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438"/>
      <c r="Q482" s="438"/>
      <c r="R482" s="437"/>
      <c r="S482" s="437"/>
      <c r="T482" s="438"/>
      <c r="U482" s="438"/>
      <c r="V482" s="437"/>
      <c r="W482" s="437"/>
      <c r="X482" s="438"/>
      <c r="Y482" s="438"/>
      <c r="Z482" s="940"/>
      <c r="AA482" s="940"/>
      <c r="AB482" s="438"/>
      <c r="AC482" s="438"/>
      <c r="AD482" s="940"/>
      <c r="AE482" s="940"/>
      <c r="AF482" s="438"/>
      <c r="AH482" s="438"/>
      <c r="AI482" s="437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</row>
    <row r="483" ht="14.25" customHeight="1">
      <c r="A483" s="1"/>
      <c r="B483" s="1"/>
      <c r="C483" s="1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438"/>
      <c r="Q483" s="438"/>
      <c r="R483" s="437"/>
      <c r="S483" s="437"/>
      <c r="T483" s="438"/>
      <c r="U483" s="438"/>
      <c r="V483" s="437"/>
      <c r="W483" s="437"/>
      <c r="X483" s="438"/>
      <c r="Y483" s="438"/>
      <c r="Z483" s="940"/>
      <c r="AA483" s="940"/>
      <c r="AB483" s="438"/>
      <c r="AC483" s="438"/>
      <c r="AD483" s="940"/>
      <c r="AE483" s="940"/>
      <c r="AF483" s="438"/>
      <c r="AH483" s="438"/>
      <c r="AI483" s="437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</row>
    <row r="484" ht="14.25" customHeight="1">
      <c r="A484" s="1"/>
      <c r="B484" s="1"/>
      <c r="C484" s="1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438"/>
      <c r="Q484" s="438"/>
      <c r="R484" s="437"/>
      <c r="S484" s="437"/>
      <c r="T484" s="438"/>
      <c r="U484" s="438"/>
      <c r="V484" s="437"/>
      <c r="W484" s="437"/>
      <c r="X484" s="438"/>
      <c r="Y484" s="438"/>
      <c r="Z484" s="940"/>
      <c r="AA484" s="940"/>
      <c r="AB484" s="438"/>
      <c r="AC484" s="438"/>
      <c r="AD484" s="940"/>
      <c r="AE484" s="940"/>
      <c r="AF484" s="438"/>
      <c r="AH484" s="438"/>
      <c r="AI484" s="437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</row>
    <row r="485" ht="14.25" customHeight="1">
      <c r="A485" s="1"/>
      <c r="B485" s="1"/>
      <c r="C485" s="1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438"/>
      <c r="Q485" s="438"/>
      <c r="R485" s="437"/>
      <c r="S485" s="437"/>
      <c r="T485" s="438"/>
      <c r="U485" s="438"/>
      <c r="V485" s="437"/>
      <c r="W485" s="437"/>
      <c r="X485" s="438"/>
      <c r="Y485" s="438"/>
      <c r="Z485" s="940"/>
      <c r="AA485" s="940"/>
      <c r="AB485" s="438"/>
      <c r="AC485" s="438"/>
      <c r="AD485" s="940"/>
      <c r="AE485" s="940"/>
      <c r="AF485" s="438"/>
      <c r="AH485" s="438"/>
      <c r="AI485" s="437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</row>
    <row r="486" ht="14.25" customHeight="1">
      <c r="A486" s="1"/>
      <c r="B486" s="1"/>
      <c r="C486" s="1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438"/>
      <c r="Q486" s="438"/>
      <c r="R486" s="437"/>
      <c r="S486" s="437"/>
      <c r="T486" s="438"/>
      <c r="U486" s="438"/>
      <c r="V486" s="437"/>
      <c r="W486" s="437"/>
      <c r="X486" s="438"/>
      <c r="Y486" s="438"/>
      <c r="Z486" s="940"/>
      <c r="AA486" s="940"/>
      <c r="AB486" s="438"/>
      <c r="AC486" s="438"/>
      <c r="AD486" s="940"/>
      <c r="AE486" s="940"/>
      <c r="AF486" s="438"/>
      <c r="AH486" s="438"/>
      <c r="AI486" s="437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</row>
    <row r="487" ht="14.25" customHeight="1">
      <c r="A487" s="1"/>
      <c r="B487" s="1"/>
      <c r="C487" s="1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438"/>
      <c r="Q487" s="438"/>
      <c r="R487" s="437"/>
      <c r="S487" s="437"/>
      <c r="T487" s="438"/>
      <c r="U487" s="438"/>
      <c r="V487" s="437"/>
      <c r="W487" s="437"/>
      <c r="X487" s="438"/>
      <c r="Y487" s="438"/>
      <c r="Z487" s="940"/>
      <c r="AA487" s="940"/>
      <c r="AB487" s="438"/>
      <c r="AC487" s="438"/>
      <c r="AD487" s="940"/>
      <c r="AE487" s="940"/>
      <c r="AF487" s="438"/>
      <c r="AH487" s="438"/>
      <c r="AI487" s="437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</row>
    <row r="488" ht="14.25" customHeight="1">
      <c r="A488" s="1"/>
      <c r="B488" s="1"/>
      <c r="C488" s="1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438"/>
      <c r="Q488" s="438"/>
      <c r="R488" s="437"/>
      <c r="S488" s="437"/>
      <c r="T488" s="438"/>
      <c r="U488" s="438"/>
      <c r="V488" s="437"/>
      <c r="W488" s="437"/>
      <c r="X488" s="438"/>
      <c r="Y488" s="438"/>
      <c r="Z488" s="940"/>
      <c r="AA488" s="940"/>
      <c r="AB488" s="438"/>
      <c r="AC488" s="438"/>
      <c r="AD488" s="940"/>
      <c r="AE488" s="940"/>
      <c r="AF488" s="438"/>
      <c r="AH488" s="438"/>
      <c r="AI488" s="437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</row>
    <row r="489" ht="14.25" customHeight="1">
      <c r="A489" s="1"/>
      <c r="B489" s="1"/>
      <c r="C489" s="1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438"/>
      <c r="Q489" s="438"/>
      <c r="R489" s="437"/>
      <c r="S489" s="437"/>
      <c r="T489" s="438"/>
      <c r="U489" s="438"/>
      <c r="V489" s="437"/>
      <c r="W489" s="437"/>
      <c r="X489" s="438"/>
      <c r="Y489" s="438"/>
      <c r="Z489" s="940"/>
      <c r="AA489" s="940"/>
      <c r="AB489" s="438"/>
      <c r="AC489" s="438"/>
      <c r="AD489" s="940"/>
      <c r="AE489" s="940"/>
      <c r="AF489" s="438"/>
      <c r="AH489" s="438"/>
      <c r="AI489" s="437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</row>
    <row r="490" ht="14.25" customHeight="1">
      <c r="A490" s="1"/>
      <c r="B490" s="1"/>
      <c r="C490" s="1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438"/>
      <c r="Q490" s="438"/>
      <c r="R490" s="437"/>
      <c r="S490" s="437"/>
      <c r="T490" s="438"/>
      <c r="U490" s="438"/>
      <c r="V490" s="437"/>
      <c r="W490" s="437"/>
      <c r="X490" s="438"/>
      <c r="Y490" s="438"/>
      <c r="Z490" s="940"/>
      <c r="AA490" s="940"/>
      <c r="AB490" s="438"/>
      <c r="AC490" s="438"/>
      <c r="AD490" s="940"/>
      <c r="AE490" s="940"/>
      <c r="AF490" s="438"/>
      <c r="AH490" s="438"/>
      <c r="AI490" s="437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</row>
    <row r="491" ht="14.25" customHeight="1">
      <c r="A491" s="1"/>
      <c r="B491" s="1"/>
      <c r="C491" s="1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438"/>
      <c r="Q491" s="438"/>
      <c r="R491" s="437"/>
      <c r="S491" s="437"/>
      <c r="T491" s="438"/>
      <c r="U491" s="438"/>
      <c r="V491" s="437"/>
      <c r="W491" s="437"/>
      <c r="X491" s="438"/>
      <c r="Y491" s="438"/>
      <c r="Z491" s="940"/>
      <c r="AA491" s="940"/>
      <c r="AB491" s="438"/>
      <c r="AC491" s="438"/>
      <c r="AD491" s="940"/>
      <c r="AE491" s="940"/>
      <c r="AF491" s="438"/>
      <c r="AH491" s="438"/>
      <c r="AI491" s="437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</row>
    <row r="492" ht="14.25" customHeight="1">
      <c r="A492" s="1"/>
      <c r="B492" s="1"/>
      <c r="C492" s="1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438"/>
      <c r="Q492" s="438"/>
      <c r="R492" s="437"/>
      <c r="S492" s="437"/>
      <c r="T492" s="438"/>
      <c r="U492" s="438"/>
      <c r="V492" s="437"/>
      <c r="W492" s="437"/>
      <c r="X492" s="438"/>
      <c r="Y492" s="438"/>
      <c r="Z492" s="940"/>
      <c r="AA492" s="940"/>
      <c r="AB492" s="438"/>
      <c r="AC492" s="438"/>
      <c r="AD492" s="940"/>
      <c r="AE492" s="940"/>
      <c r="AF492" s="438"/>
      <c r="AH492" s="438"/>
      <c r="AI492" s="437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</row>
    <row r="493" ht="14.25" customHeight="1">
      <c r="A493" s="1"/>
      <c r="B493" s="1"/>
      <c r="C493" s="1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438"/>
      <c r="Q493" s="438"/>
      <c r="R493" s="437"/>
      <c r="S493" s="437"/>
      <c r="T493" s="438"/>
      <c r="U493" s="438"/>
      <c r="V493" s="437"/>
      <c r="W493" s="437"/>
      <c r="X493" s="438"/>
      <c r="Y493" s="438"/>
      <c r="Z493" s="940"/>
      <c r="AA493" s="940"/>
      <c r="AB493" s="438"/>
      <c r="AC493" s="438"/>
      <c r="AD493" s="940"/>
      <c r="AE493" s="940"/>
      <c r="AF493" s="438"/>
      <c r="AH493" s="438"/>
      <c r="AI493" s="437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</row>
    <row r="494" ht="14.25" customHeight="1">
      <c r="A494" s="1"/>
      <c r="B494" s="1"/>
      <c r="C494" s="1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438"/>
      <c r="Q494" s="438"/>
      <c r="R494" s="437"/>
      <c r="S494" s="437"/>
      <c r="T494" s="438"/>
      <c r="U494" s="438"/>
      <c r="V494" s="437"/>
      <c r="W494" s="437"/>
      <c r="X494" s="438"/>
      <c r="Y494" s="438"/>
      <c r="Z494" s="940"/>
      <c r="AA494" s="940"/>
      <c r="AB494" s="438"/>
      <c r="AC494" s="438"/>
      <c r="AD494" s="940"/>
      <c r="AE494" s="940"/>
      <c r="AF494" s="438"/>
      <c r="AH494" s="438"/>
      <c r="AI494" s="437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</row>
    <row r="495" ht="14.25" customHeight="1">
      <c r="A495" s="1"/>
      <c r="B495" s="1"/>
      <c r="C495" s="1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438"/>
      <c r="Q495" s="438"/>
      <c r="R495" s="437"/>
      <c r="S495" s="437"/>
      <c r="T495" s="438"/>
      <c r="U495" s="438"/>
      <c r="V495" s="437"/>
      <c r="W495" s="437"/>
      <c r="X495" s="438"/>
      <c r="Y495" s="438"/>
      <c r="Z495" s="940"/>
      <c r="AA495" s="940"/>
      <c r="AB495" s="438"/>
      <c r="AC495" s="438"/>
      <c r="AD495" s="940"/>
      <c r="AE495" s="940"/>
      <c r="AF495" s="438"/>
      <c r="AH495" s="438"/>
      <c r="AI495" s="437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</row>
    <row r="496" ht="14.25" customHeight="1">
      <c r="A496" s="1"/>
      <c r="B496" s="1"/>
      <c r="C496" s="1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438"/>
      <c r="Q496" s="438"/>
      <c r="R496" s="437"/>
      <c r="S496" s="437"/>
      <c r="T496" s="438"/>
      <c r="U496" s="438"/>
      <c r="V496" s="437"/>
      <c r="W496" s="437"/>
      <c r="X496" s="438"/>
      <c r="Y496" s="438"/>
      <c r="Z496" s="940"/>
      <c r="AA496" s="940"/>
      <c r="AB496" s="438"/>
      <c r="AC496" s="438"/>
      <c r="AD496" s="940"/>
      <c r="AE496" s="940"/>
      <c r="AF496" s="438"/>
      <c r="AH496" s="438"/>
      <c r="AI496" s="437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</row>
    <row r="497" ht="14.25" customHeight="1">
      <c r="A497" s="1"/>
      <c r="B497" s="1"/>
      <c r="C497" s="1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438"/>
      <c r="Q497" s="438"/>
      <c r="R497" s="437"/>
      <c r="S497" s="437"/>
      <c r="T497" s="438"/>
      <c r="U497" s="438"/>
      <c r="V497" s="437"/>
      <c r="W497" s="437"/>
      <c r="X497" s="438"/>
      <c r="Y497" s="438"/>
      <c r="Z497" s="940"/>
      <c r="AA497" s="940"/>
      <c r="AB497" s="438"/>
      <c r="AC497" s="438"/>
      <c r="AD497" s="940"/>
      <c r="AE497" s="940"/>
      <c r="AF497" s="438"/>
      <c r="AH497" s="438"/>
      <c r="AI497" s="437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</row>
    <row r="498" ht="14.25" customHeight="1">
      <c r="A498" s="1"/>
      <c r="B498" s="1"/>
      <c r="C498" s="1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438"/>
      <c r="Q498" s="438"/>
      <c r="R498" s="437"/>
      <c r="S498" s="437"/>
      <c r="T498" s="438"/>
      <c r="U498" s="438"/>
      <c r="V498" s="437"/>
      <c r="W498" s="437"/>
      <c r="X498" s="438"/>
      <c r="Y498" s="438"/>
      <c r="Z498" s="940"/>
      <c r="AA498" s="940"/>
      <c r="AB498" s="438"/>
      <c r="AC498" s="438"/>
      <c r="AD498" s="940"/>
      <c r="AE498" s="940"/>
      <c r="AF498" s="438"/>
      <c r="AH498" s="438"/>
      <c r="AI498" s="437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</row>
    <row r="499" ht="14.25" customHeight="1">
      <c r="A499" s="1"/>
      <c r="B499" s="1"/>
      <c r="C499" s="1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438"/>
      <c r="Q499" s="438"/>
      <c r="R499" s="437"/>
      <c r="S499" s="437"/>
      <c r="T499" s="438"/>
      <c r="U499" s="438"/>
      <c r="V499" s="437"/>
      <c r="W499" s="437"/>
      <c r="X499" s="438"/>
      <c r="Y499" s="438"/>
      <c r="Z499" s="940"/>
      <c r="AA499" s="940"/>
      <c r="AB499" s="438"/>
      <c r="AC499" s="438"/>
      <c r="AD499" s="940"/>
      <c r="AE499" s="940"/>
      <c r="AF499" s="438"/>
      <c r="AH499" s="438"/>
      <c r="AI499" s="437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</row>
    <row r="500" ht="14.25" customHeight="1">
      <c r="A500" s="1"/>
      <c r="B500" s="1"/>
      <c r="C500" s="1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438"/>
      <c r="Q500" s="438"/>
      <c r="R500" s="437"/>
      <c r="S500" s="437"/>
      <c r="T500" s="438"/>
      <c r="U500" s="438"/>
      <c r="V500" s="437"/>
      <c r="W500" s="437"/>
      <c r="X500" s="438"/>
      <c r="Y500" s="438"/>
      <c r="Z500" s="940"/>
      <c r="AA500" s="940"/>
      <c r="AB500" s="438"/>
      <c r="AC500" s="438"/>
      <c r="AD500" s="940"/>
      <c r="AE500" s="940"/>
      <c r="AF500" s="438"/>
      <c r="AH500" s="438"/>
      <c r="AI500" s="437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</row>
    <row r="501" ht="14.25" customHeight="1">
      <c r="A501" s="1"/>
      <c r="B501" s="1"/>
      <c r="C501" s="1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438"/>
      <c r="Q501" s="438"/>
      <c r="R501" s="437"/>
      <c r="S501" s="437"/>
      <c r="T501" s="438"/>
      <c r="U501" s="438"/>
      <c r="V501" s="437"/>
      <c r="W501" s="437"/>
      <c r="X501" s="438"/>
      <c r="Y501" s="438"/>
      <c r="Z501" s="940"/>
      <c r="AA501" s="940"/>
      <c r="AB501" s="438"/>
      <c r="AC501" s="438"/>
      <c r="AD501" s="940"/>
      <c r="AE501" s="940"/>
      <c r="AF501" s="438"/>
      <c r="AH501" s="438"/>
      <c r="AI501" s="437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</row>
    <row r="502" ht="14.25" customHeight="1">
      <c r="A502" s="1"/>
      <c r="B502" s="1"/>
      <c r="C502" s="1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438"/>
      <c r="Q502" s="438"/>
      <c r="R502" s="437"/>
      <c r="S502" s="437"/>
      <c r="T502" s="438"/>
      <c r="U502" s="438"/>
      <c r="V502" s="437"/>
      <c r="W502" s="437"/>
      <c r="X502" s="438"/>
      <c r="Y502" s="438"/>
      <c r="Z502" s="940"/>
      <c r="AA502" s="940"/>
      <c r="AB502" s="438"/>
      <c r="AC502" s="438"/>
      <c r="AD502" s="940"/>
      <c r="AE502" s="940"/>
      <c r="AF502" s="438"/>
      <c r="AH502" s="438"/>
      <c r="AI502" s="437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</row>
    <row r="503" ht="14.25" customHeight="1">
      <c r="A503" s="1"/>
      <c r="B503" s="1"/>
      <c r="C503" s="1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438"/>
      <c r="Q503" s="438"/>
      <c r="R503" s="437"/>
      <c r="S503" s="437"/>
      <c r="T503" s="438"/>
      <c r="U503" s="438"/>
      <c r="V503" s="437"/>
      <c r="W503" s="437"/>
      <c r="X503" s="438"/>
      <c r="Y503" s="438"/>
      <c r="Z503" s="940"/>
      <c r="AA503" s="940"/>
      <c r="AB503" s="438"/>
      <c r="AC503" s="438"/>
      <c r="AD503" s="940"/>
      <c r="AE503" s="940"/>
      <c r="AF503" s="438"/>
      <c r="AH503" s="438"/>
      <c r="AI503" s="437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</row>
    <row r="504" ht="14.25" customHeight="1">
      <c r="A504" s="1"/>
      <c r="B504" s="1"/>
      <c r="C504" s="1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438"/>
      <c r="Q504" s="438"/>
      <c r="R504" s="437"/>
      <c r="S504" s="437"/>
      <c r="T504" s="438"/>
      <c r="U504" s="438"/>
      <c r="V504" s="437"/>
      <c r="W504" s="437"/>
      <c r="X504" s="438"/>
      <c r="Y504" s="438"/>
      <c r="Z504" s="940"/>
      <c r="AA504" s="940"/>
      <c r="AB504" s="438"/>
      <c r="AC504" s="438"/>
      <c r="AD504" s="940"/>
      <c r="AE504" s="940"/>
      <c r="AF504" s="438"/>
      <c r="AH504" s="438"/>
      <c r="AI504" s="437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</row>
    <row r="505" ht="14.25" customHeight="1">
      <c r="A505" s="1"/>
      <c r="B505" s="1"/>
      <c r="C505" s="1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438"/>
      <c r="Q505" s="438"/>
      <c r="R505" s="437"/>
      <c r="S505" s="437"/>
      <c r="T505" s="438"/>
      <c r="U505" s="438"/>
      <c r="V505" s="437"/>
      <c r="W505" s="437"/>
      <c r="X505" s="438"/>
      <c r="Y505" s="438"/>
      <c r="Z505" s="940"/>
      <c r="AA505" s="940"/>
      <c r="AB505" s="438"/>
      <c r="AC505" s="438"/>
      <c r="AD505" s="940"/>
      <c r="AE505" s="940"/>
      <c r="AF505" s="438"/>
      <c r="AH505" s="438"/>
      <c r="AI505" s="437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</row>
    <row r="506" ht="14.25" customHeight="1">
      <c r="A506" s="1"/>
      <c r="B506" s="1"/>
      <c r="C506" s="1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438"/>
      <c r="Q506" s="438"/>
      <c r="R506" s="437"/>
      <c r="S506" s="437"/>
      <c r="T506" s="438"/>
      <c r="U506" s="438"/>
      <c r="V506" s="437"/>
      <c r="W506" s="437"/>
      <c r="X506" s="438"/>
      <c r="Y506" s="438"/>
      <c r="Z506" s="940"/>
      <c r="AA506" s="940"/>
      <c r="AB506" s="438"/>
      <c r="AC506" s="438"/>
      <c r="AD506" s="940"/>
      <c r="AE506" s="940"/>
      <c r="AF506" s="438"/>
      <c r="AH506" s="438"/>
      <c r="AI506" s="437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</row>
    <row r="507" ht="14.25" customHeight="1">
      <c r="A507" s="1"/>
      <c r="B507" s="1"/>
      <c r="C507" s="1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438"/>
      <c r="Q507" s="438"/>
      <c r="R507" s="437"/>
      <c r="S507" s="437"/>
      <c r="T507" s="438"/>
      <c r="U507" s="438"/>
      <c r="V507" s="437"/>
      <c r="W507" s="437"/>
      <c r="X507" s="438"/>
      <c r="Y507" s="438"/>
      <c r="Z507" s="940"/>
      <c r="AA507" s="940"/>
      <c r="AB507" s="438"/>
      <c r="AC507" s="438"/>
      <c r="AD507" s="940"/>
      <c r="AE507" s="940"/>
      <c r="AF507" s="438"/>
      <c r="AH507" s="438"/>
      <c r="AI507" s="437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</row>
    <row r="508" ht="14.25" customHeight="1">
      <c r="A508" s="1"/>
      <c r="B508" s="1"/>
      <c r="C508" s="1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438"/>
      <c r="Q508" s="438"/>
      <c r="R508" s="437"/>
      <c r="S508" s="437"/>
      <c r="T508" s="438"/>
      <c r="U508" s="438"/>
      <c r="V508" s="437"/>
      <c r="W508" s="437"/>
      <c r="X508" s="438"/>
      <c r="Y508" s="438"/>
      <c r="Z508" s="940"/>
      <c r="AA508" s="940"/>
      <c r="AB508" s="438"/>
      <c r="AC508" s="438"/>
      <c r="AD508" s="940"/>
      <c r="AE508" s="940"/>
      <c r="AF508" s="438"/>
      <c r="AH508" s="438"/>
      <c r="AI508" s="437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</row>
    <row r="509" ht="14.25" customHeight="1">
      <c r="A509" s="1"/>
      <c r="B509" s="1"/>
      <c r="C509" s="1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438"/>
      <c r="Q509" s="438"/>
      <c r="R509" s="437"/>
      <c r="S509" s="437"/>
      <c r="T509" s="438"/>
      <c r="U509" s="438"/>
      <c r="V509" s="437"/>
      <c r="W509" s="437"/>
      <c r="X509" s="438"/>
      <c r="Y509" s="438"/>
      <c r="Z509" s="940"/>
      <c r="AA509" s="940"/>
      <c r="AB509" s="438"/>
      <c r="AC509" s="438"/>
      <c r="AD509" s="940"/>
      <c r="AE509" s="940"/>
      <c r="AF509" s="438"/>
      <c r="AH509" s="438"/>
      <c r="AI509" s="437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</row>
    <row r="510" ht="14.25" customHeight="1">
      <c r="A510" s="1"/>
      <c r="B510" s="1"/>
      <c r="C510" s="1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438"/>
      <c r="Q510" s="438"/>
      <c r="R510" s="437"/>
      <c r="S510" s="437"/>
      <c r="T510" s="438"/>
      <c r="U510" s="438"/>
      <c r="V510" s="437"/>
      <c r="W510" s="437"/>
      <c r="X510" s="438"/>
      <c r="Y510" s="438"/>
      <c r="Z510" s="940"/>
      <c r="AA510" s="940"/>
      <c r="AB510" s="438"/>
      <c r="AC510" s="438"/>
      <c r="AD510" s="940"/>
      <c r="AE510" s="940"/>
      <c r="AF510" s="438"/>
      <c r="AH510" s="438"/>
      <c r="AI510" s="437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</row>
    <row r="511" ht="14.25" customHeight="1">
      <c r="A511" s="1"/>
      <c r="B511" s="1"/>
      <c r="C511" s="1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438"/>
      <c r="Q511" s="438"/>
      <c r="R511" s="437"/>
      <c r="S511" s="437"/>
      <c r="T511" s="438"/>
      <c r="U511" s="438"/>
      <c r="V511" s="437"/>
      <c r="W511" s="437"/>
      <c r="X511" s="438"/>
      <c r="Y511" s="438"/>
      <c r="Z511" s="940"/>
      <c r="AA511" s="940"/>
      <c r="AB511" s="438"/>
      <c r="AC511" s="438"/>
      <c r="AD511" s="940"/>
      <c r="AE511" s="940"/>
      <c r="AF511" s="438"/>
      <c r="AH511" s="438"/>
      <c r="AI511" s="437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</row>
    <row r="512" ht="14.25" customHeight="1">
      <c r="A512" s="1"/>
      <c r="B512" s="1"/>
      <c r="C512" s="1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438"/>
      <c r="Q512" s="438"/>
      <c r="R512" s="437"/>
      <c r="S512" s="437"/>
      <c r="T512" s="438"/>
      <c r="U512" s="438"/>
      <c r="V512" s="437"/>
      <c r="W512" s="437"/>
      <c r="X512" s="438"/>
      <c r="Y512" s="438"/>
      <c r="Z512" s="940"/>
      <c r="AA512" s="940"/>
      <c r="AB512" s="438"/>
      <c r="AC512" s="438"/>
      <c r="AD512" s="940"/>
      <c r="AE512" s="940"/>
      <c r="AF512" s="438"/>
      <c r="AH512" s="438"/>
      <c r="AI512" s="437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</row>
    <row r="513" ht="14.25" customHeight="1">
      <c r="A513" s="1"/>
      <c r="B513" s="1"/>
      <c r="C513" s="1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438"/>
      <c r="Q513" s="438"/>
      <c r="R513" s="437"/>
      <c r="S513" s="437"/>
      <c r="T513" s="438"/>
      <c r="U513" s="438"/>
      <c r="V513" s="437"/>
      <c r="W513" s="437"/>
      <c r="X513" s="438"/>
      <c r="Y513" s="438"/>
      <c r="Z513" s="940"/>
      <c r="AA513" s="940"/>
      <c r="AB513" s="438"/>
      <c r="AC513" s="438"/>
      <c r="AD513" s="940"/>
      <c r="AE513" s="940"/>
      <c r="AF513" s="438"/>
      <c r="AH513" s="438"/>
      <c r="AI513" s="437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</row>
    <row r="514" ht="14.25" customHeight="1">
      <c r="A514" s="1"/>
      <c r="B514" s="1"/>
      <c r="C514" s="1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438"/>
      <c r="Q514" s="438"/>
      <c r="R514" s="437"/>
      <c r="S514" s="437"/>
      <c r="T514" s="438"/>
      <c r="U514" s="438"/>
      <c r="V514" s="437"/>
      <c r="W514" s="437"/>
      <c r="X514" s="438"/>
      <c r="Y514" s="438"/>
      <c r="Z514" s="940"/>
      <c r="AA514" s="940"/>
      <c r="AB514" s="438"/>
      <c r="AC514" s="438"/>
      <c r="AD514" s="940"/>
      <c r="AE514" s="940"/>
      <c r="AF514" s="438"/>
      <c r="AH514" s="438"/>
      <c r="AI514" s="437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</row>
    <row r="515" ht="14.25" customHeight="1">
      <c r="A515" s="1"/>
      <c r="B515" s="1"/>
      <c r="C515" s="1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438"/>
      <c r="Q515" s="438"/>
      <c r="R515" s="437"/>
      <c r="S515" s="437"/>
      <c r="T515" s="438"/>
      <c r="U515" s="438"/>
      <c r="V515" s="437"/>
      <c r="W515" s="437"/>
      <c r="X515" s="438"/>
      <c r="Y515" s="438"/>
      <c r="Z515" s="940"/>
      <c r="AA515" s="940"/>
      <c r="AB515" s="438"/>
      <c r="AC515" s="438"/>
      <c r="AD515" s="940"/>
      <c r="AE515" s="940"/>
      <c r="AF515" s="438"/>
      <c r="AH515" s="438"/>
      <c r="AI515" s="437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</row>
    <row r="516" ht="14.25" customHeight="1">
      <c r="A516" s="1"/>
      <c r="B516" s="1"/>
      <c r="C516" s="1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438"/>
      <c r="Q516" s="438"/>
      <c r="R516" s="437"/>
      <c r="S516" s="437"/>
      <c r="T516" s="438"/>
      <c r="U516" s="438"/>
      <c r="V516" s="437"/>
      <c r="W516" s="437"/>
      <c r="X516" s="438"/>
      <c r="Y516" s="438"/>
      <c r="Z516" s="940"/>
      <c r="AA516" s="940"/>
      <c r="AB516" s="438"/>
      <c r="AC516" s="438"/>
      <c r="AD516" s="940"/>
      <c r="AE516" s="940"/>
      <c r="AF516" s="438"/>
      <c r="AH516" s="438"/>
      <c r="AI516" s="437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</row>
    <row r="517" ht="14.25" customHeight="1">
      <c r="A517" s="1"/>
      <c r="B517" s="1"/>
      <c r="C517" s="1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438"/>
      <c r="Q517" s="438"/>
      <c r="R517" s="437"/>
      <c r="S517" s="437"/>
      <c r="T517" s="438"/>
      <c r="U517" s="438"/>
      <c r="V517" s="437"/>
      <c r="W517" s="437"/>
      <c r="X517" s="438"/>
      <c r="Y517" s="438"/>
      <c r="Z517" s="940"/>
      <c r="AA517" s="940"/>
      <c r="AB517" s="438"/>
      <c r="AC517" s="438"/>
      <c r="AD517" s="940"/>
      <c r="AE517" s="940"/>
      <c r="AF517" s="438"/>
      <c r="AH517" s="438"/>
      <c r="AI517" s="437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</row>
    <row r="518" ht="14.25" customHeight="1">
      <c r="A518" s="1"/>
      <c r="B518" s="1"/>
      <c r="C518" s="1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438"/>
      <c r="Q518" s="438"/>
      <c r="R518" s="437"/>
      <c r="S518" s="437"/>
      <c r="T518" s="438"/>
      <c r="U518" s="438"/>
      <c r="V518" s="437"/>
      <c r="W518" s="437"/>
      <c r="X518" s="438"/>
      <c r="Y518" s="438"/>
      <c r="Z518" s="940"/>
      <c r="AA518" s="940"/>
      <c r="AB518" s="438"/>
      <c r="AC518" s="438"/>
      <c r="AD518" s="940"/>
      <c r="AE518" s="940"/>
      <c r="AF518" s="438"/>
      <c r="AH518" s="438"/>
      <c r="AI518" s="437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</row>
    <row r="519" ht="14.25" customHeight="1">
      <c r="A519" s="1"/>
      <c r="B519" s="1"/>
      <c r="C519" s="1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438"/>
      <c r="Q519" s="438"/>
      <c r="R519" s="437"/>
      <c r="S519" s="437"/>
      <c r="T519" s="438"/>
      <c r="U519" s="438"/>
      <c r="V519" s="437"/>
      <c r="W519" s="437"/>
      <c r="X519" s="438"/>
      <c r="Y519" s="438"/>
      <c r="Z519" s="940"/>
      <c r="AA519" s="940"/>
      <c r="AB519" s="438"/>
      <c r="AC519" s="438"/>
      <c r="AD519" s="940"/>
      <c r="AE519" s="940"/>
      <c r="AF519" s="438"/>
      <c r="AH519" s="438"/>
      <c r="AI519" s="437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</row>
    <row r="520" ht="14.25" customHeight="1">
      <c r="A520" s="1"/>
      <c r="B520" s="1"/>
      <c r="C520" s="1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438"/>
      <c r="Q520" s="438"/>
      <c r="R520" s="437"/>
      <c r="S520" s="437"/>
      <c r="T520" s="438"/>
      <c r="U520" s="438"/>
      <c r="V520" s="437"/>
      <c r="W520" s="437"/>
      <c r="X520" s="438"/>
      <c r="Y520" s="438"/>
      <c r="Z520" s="940"/>
      <c r="AA520" s="940"/>
      <c r="AB520" s="438"/>
      <c r="AC520" s="438"/>
      <c r="AD520" s="940"/>
      <c r="AE520" s="940"/>
      <c r="AF520" s="438"/>
      <c r="AH520" s="438"/>
      <c r="AI520" s="437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</row>
    <row r="521" ht="14.25" customHeight="1">
      <c r="A521" s="1"/>
      <c r="B521" s="1"/>
      <c r="C521" s="1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438"/>
      <c r="Q521" s="438"/>
      <c r="R521" s="437"/>
      <c r="S521" s="437"/>
      <c r="T521" s="438"/>
      <c r="U521" s="438"/>
      <c r="V521" s="437"/>
      <c r="W521" s="437"/>
      <c r="X521" s="438"/>
      <c r="Y521" s="438"/>
      <c r="Z521" s="940"/>
      <c r="AA521" s="940"/>
      <c r="AB521" s="438"/>
      <c r="AC521" s="438"/>
      <c r="AD521" s="940"/>
      <c r="AE521" s="940"/>
      <c r="AF521" s="438"/>
      <c r="AH521" s="438"/>
      <c r="AI521" s="437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</row>
    <row r="522" ht="14.25" customHeight="1">
      <c r="A522" s="1"/>
      <c r="B522" s="1"/>
      <c r="C522" s="1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438"/>
      <c r="Q522" s="438"/>
      <c r="R522" s="437"/>
      <c r="S522" s="437"/>
      <c r="T522" s="438"/>
      <c r="U522" s="438"/>
      <c r="V522" s="437"/>
      <c r="W522" s="437"/>
      <c r="X522" s="438"/>
      <c r="Y522" s="438"/>
      <c r="Z522" s="940"/>
      <c r="AA522" s="940"/>
      <c r="AB522" s="438"/>
      <c r="AC522" s="438"/>
      <c r="AD522" s="940"/>
      <c r="AE522" s="940"/>
      <c r="AF522" s="438"/>
      <c r="AH522" s="438"/>
      <c r="AI522" s="437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</row>
    <row r="523" ht="14.25" customHeight="1">
      <c r="A523" s="1"/>
      <c r="B523" s="1"/>
      <c r="C523" s="1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438"/>
      <c r="Q523" s="438"/>
      <c r="R523" s="437"/>
      <c r="S523" s="437"/>
      <c r="T523" s="438"/>
      <c r="U523" s="438"/>
      <c r="V523" s="437"/>
      <c r="W523" s="437"/>
      <c r="X523" s="438"/>
      <c r="Y523" s="438"/>
      <c r="Z523" s="940"/>
      <c r="AA523" s="940"/>
      <c r="AB523" s="438"/>
      <c r="AC523" s="438"/>
      <c r="AD523" s="940"/>
      <c r="AE523" s="940"/>
      <c r="AF523" s="438"/>
      <c r="AH523" s="438"/>
      <c r="AI523" s="437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</row>
    <row r="524" ht="14.25" customHeight="1">
      <c r="A524" s="1"/>
      <c r="B524" s="1"/>
      <c r="C524" s="1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438"/>
      <c r="Q524" s="438"/>
      <c r="R524" s="437"/>
      <c r="S524" s="437"/>
      <c r="T524" s="438"/>
      <c r="U524" s="438"/>
      <c r="V524" s="437"/>
      <c r="W524" s="437"/>
      <c r="X524" s="438"/>
      <c r="Y524" s="438"/>
      <c r="Z524" s="940"/>
      <c r="AA524" s="940"/>
      <c r="AB524" s="438"/>
      <c r="AC524" s="438"/>
      <c r="AD524" s="940"/>
      <c r="AE524" s="940"/>
      <c r="AF524" s="438"/>
      <c r="AH524" s="438"/>
      <c r="AI524" s="437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</row>
    <row r="525" ht="14.25" customHeight="1">
      <c r="A525" s="1"/>
      <c r="B525" s="1"/>
      <c r="C525" s="1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438"/>
      <c r="Q525" s="438"/>
      <c r="R525" s="437"/>
      <c r="S525" s="437"/>
      <c r="T525" s="438"/>
      <c r="U525" s="438"/>
      <c r="V525" s="437"/>
      <c r="W525" s="437"/>
      <c r="X525" s="438"/>
      <c r="Y525" s="438"/>
      <c r="Z525" s="940"/>
      <c r="AA525" s="940"/>
      <c r="AB525" s="438"/>
      <c r="AC525" s="438"/>
      <c r="AD525" s="940"/>
      <c r="AE525" s="940"/>
      <c r="AF525" s="438"/>
      <c r="AH525" s="438"/>
      <c r="AI525" s="437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</row>
    <row r="526" ht="14.25" customHeight="1">
      <c r="A526" s="1"/>
      <c r="B526" s="1"/>
      <c r="C526" s="1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438"/>
      <c r="Q526" s="438"/>
      <c r="R526" s="437"/>
      <c r="S526" s="437"/>
      <c r="T526" s="438"/>
      <c r="U526" s="438"/>
      <c r="V526" s="437"/>
      <c r="W526" s="437"/>
      <c r="X526" s="438"/>
      <c r="Y526" s="438"/>
      <c r="Z526" s="940"/>
      <c r="AA526" s="940"/>
      <c r="AB526" s="438"/>
      <c r="AC526" s="438"/>
      <c r="AD526" s="940"/>
      <c r="AE526" s="940"/>
      <c r="AF526" s="438"/>
      <c r="AH526" s="438"/>
      <c r="AI526" s="437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</row>
    <row r="527" ht="14.25" customHeight="1">
      <c r="A527" s="1"/>
      <c r="B527" s="1"/>
      <c r="C527" s="1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438"/>
      <c r="Q527" s="438"/>
      <c r="R527" s="437"/>
      <c r="S527" s="437"/>
      <c r="T527" s="438"/>
      <c r="U527" s="438"/>
      <c r="V527" s="437"/>
      <c r="W527" s="437"/>
      <c r="X527" s="438"/>
      <c r="Y527" s="438"/>
      <c r="Z527" s="940"/>
      <c r="AA527" s="940"/>
      <c r="AB527" s="438"/>
      <c r="AC527" s="438"/>
      <c r="AD527" s="940"/>
      <c r="AE527" s="940"/>
      <c r="AF527" s="438"/>
      <c r="AH527" s="438"/>
      <c r="AI527" s="437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</row>
    <row r="528" ht="14.25" customHeight="1">
      <c r="A528" s="1"/>
      <c r="B528" s="1"/>
      <c r="C528" s="1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438"/>
      <c r="Q528" s="438"/>
      <c r="R528" s="437"/>
      <c r="S528" s="437"/>
      <c r="T528" s="438"/>
      <c r="U528" s="438"/>
      <c r="V528" s="437"/>
      <c r="W528" s="437"/>
      <c r="X528" s="438"/>
      <c r="Y528" s="438"/>
      <c r="Z528" s="940"/>
      <c r="AA528" s="940"/>
      <c r="AB528" s="438"/>
      <c r="AC528" s="438"/>
      <c r="AD528" s="940"/>
      <c r="AE528" s="940"/>
      <c r="AF528" s="438"/>
      <c r="AH528" s="438"/>
      <c r="AI528" s="437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</row>
    <row r="529" ht="14.25" customHeight="1">
      <c r="A529" s="1"/>
      <c r="B529" s="1"/>
      <c r="C529" s="1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438"/>
      <c r="Q529" s="438"/>
      <c r="R529" s="437"/>
      <c r="S529" s="437"/>
      <c r="T529" s="438"/>
      <c r="U529" s="438"/>
      <c r="V529" s="437"/>
      <c r="W529" s="437"/>
      <c r="X529" s="438"/>
      <c r="Y529" s="438"/>
      <c r="Z529" s="940"/>
      <c r="AA529" s="940"/>
      <c r="AB529" s="438"/>
      <c r="AC529" s="438"/>
      <c r="AD529" s="940"/>
      <c r="AE529" s="940"/>
      <c r="AF529" s="438"/>
      <c r="AH529" s="438"/>
      <c r="AI529" s="437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</row>
    <row r="530" ht="14.25" customHeight="1">
      <c r="A530" s="1"/>
      <c r="B530" s="1"/>
      <c r="C530" s="1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438"/>
      <c r="Q530" s="438"/>
      <c r="R530" s="437"/>
      <c r="S530" s="437"/>
      <c r="T530" s="438"/>
      <c r="U530" s="438"/>
      <c r="V530" s="437"/>
      <c r="W530" s="437"/>
      <c r="X530" s="438"/>
      <c r="Y530" s="438"/>
      <c r="Z530" s="940"/>
      <c r="AA530" s="940"/>
      <c r="AB530" s="438"/>
      <c r="AC530" s="438"/>
      <c r="AD530" s="940"/>
      <c r="AE530" s="940"/>
      <c r="AF530" s="438"/>
      <c r="AH530" s="438"/>
      <c r="AI530" s="437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</row>
    <row r="531" ht="14.25" customHeight="1">
      <c r="A531" s="1"/>
      <c r="B531" s="1"/>
      <c r="C531" s="1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438"/>
      <c r="Q531" s="438"/>
      <c r="R531" s="437"/>
      <c r="S531" s="437"/>
      <c r="T531" s="438"/>
      <c r="U531" s="438"/>
      <c r="V531" s="437"/>
      <c r="W531" s="437"/>
      <c r="X531" s="438"/>
      <c r="Y531" s="438"/>
      <c r="Z531" s="940"/>
      <c r="AA531" s="940"/>
      <c r="AB531" s="438"/>
      <c r="AC531" s="438"/>
      <c r="AD531" s="940"/>
      <c r="AE531" s="940"/>
      <c r="AF531" s="438"/>
      <c r="AH531" s="438"/>
      <c r="AI531" s="437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</row>
    <row r="532" ht="14.25" customHeight="1">
      <c r="A532" s="1"/>
      <c r="B532" s="1"/>
      <c r="C532" s="1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438"/>
      <c r="Q532" s="438"/>
      <c r="R532" s="437"/>
      <c r="S532" s="437"/>
      <c r="T532" s="438"/>
      <c r="U532" s="438"/>
      <c r="V532" s="437"/>
      <c r="W532" s="437"/>
      <c r="X532" s="438"/>
      <c r="Y532" s="438"/>
      <c r="Z532" s="940"/>
      <c r="AA532" s="940"/>
      <c r="AB532" s="438"/>
      <c r="AC532" s="438"/>
      <c r="AD532" s="940"/>
      <c r="AE532" s="940"/>
      <c r="AF532" s="438"/>
      <c r="AH532" s="438"/>
      <c r="AI532" s="437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</row>
    <row r="533" ht="14.25" customHeight="1">
      <c r="A533" s="1"/>
      <c r="B533" s="1"/>
      <c r="C533" s="1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438"/>
      <c r="Q533" s="438"/>
      <c r="R533" s="437"/>
      <c r="S533" s="437"/>
      <c r="T533" s="438"/>
      <c r="U533" s="438"/>
      <c r="V533" s="437"/>
      <c r="W533" s="437"/>
      <c r="X533" s="438"/>
      <c r="Y533" s="438"/>
      <c r="Z533" s="940"/>
      <c r="AA533" s="940"/>
      <c r="AB533" s="438"/>
      <c r="AC533" s="438"/>
      <c r="AD533" s="940"/>
      <c r="AE533" s="940"/>
      <c r="AF533" s="438"/>
      <c r="AH533" s="438"/>
      <c r="AI533" s="437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</row>
    <row r="534" ht="14.25" customHeight="1">
      <c r="A534" s="1"/>
      <c r="B534" s="1"/>
      <c r="C534" s="1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438"/>
      <c r="Q534" s="438"/>
      <c r="R534" s="437"/>
      <c r="S534" s="437"/>
      <c r="T534" s="438"/>
      <c r="U534" s="438"/>
      <c r="V534" s="437"/>
      <c r="W534" s="437"/>
      <c r="X534" s="438"/>
      <c r="Y534" s="438"/>
      <c r="Z534" s="940"/>
      <c r="AA534" s="940"/>
      <c r="AB534" s="438"/>
      <c r="AC534" s="438"/>
      <c r="AD534" s="940"/>
      <c r="AE534" s="940"/>
      <c r="AF534" s="438"/>
      <c r="AH534" s="438"/>
      <c r="AI534" s="437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</row>
    <row r="535" ht="14.25" customHeight="1">
      <c r="A535" s="1"/>
      <c r="B535" s="1"/>
      <c r="C535" s="1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438"/>
      <c r="Q535" s="438"/>
      <c r="R535" s="437"/>
      <c r="S535" s="437"/>
      <c r="T535" s="438"/>
      <c r="U535" s="438"/>
      <c r="V535" s="437"/>
      <c r="W535" s="437"/>
      <c r="X535" s="438"/>
      <c r="Y535" s="438"/>
      <c r="Z535" s="940"/>
      <c r="AA535" s="940"/>
      <c r="AB535" s="438"/>
      <c r="AC535" s="438"/>
      <c r="AD535" s="940"/>
      <c r="AE535" s="940"/>
      <c r="AF535" s="438"/>
      <c r="AH535" s="438"/>
      <c r="AI535" s="437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</row>
    <row r="536" ht="14.25" customHeight="1">
      <c r="A536" s="1"/>
      <c r="B536" s="1"/>
      <c r="C536" s="1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438"/>
      <c r="Q536" s="438"/>
      <c r="R536" s="437"/>
      <c r="S536" s="437"/>
      <c r="T536" s="438"/>
      <c r="U536" s="438"/>
      <c r="V536" s="437"/>
      <c r="W536" s="437"/>
      <c r="X536" s="438"/>
      <c r="Y536" s="438"/>
      <c r="Z536" s="940"/>
      <c r="AA536" s="940"/>
      <c r="AB536" s="438"/>
      <c r="AC536" s="438"/>
      <c r="AD536" s="940"/>
      <c r="AE536" s="940"/>
      <c r="AF536" s="438"/>
      <c r="AH536" s="438"/>
      <c r="AI536" s="437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</row>
    <row r="537" ht="14.25" customHeight="1">
      <c r="A537" s="1"/>
      <c r="B537" s="1"/>
      <c r="C537" s="1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438"/>
      <c r="Q537" s="438"/>
      <c r="R537" s="437"/>
      <c r="S537" s="437"/>
      <c r="T537" s="438"/>
      <c r="U537" s="438"/>
      <c r="V537" s="437"/>
      <c r="W537" s="437"/>
      <c r="X537" s="438"/>
      <c r="Y537" s="438"/>
      <c r="Z537" s="940"/>
      <c r="AA537" s="940"/>
      <c r="AB537" s="438"/>
      <c r="AC537" s="438"/>
      <c r="AD537" s="940"/>
      <c r="AE537" s="940"/>
      <c r="AF537" s="438"/>
      <c r="AH537" s="438"/>
      <c r="AI537" s="437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</row>
    <row r="538" ht="14.25" customHeight="1">
      <c r="A538" s="1"/>
      <c r="B538" s="1"/>
      <c r="C538" s="1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438"/>
      <c r="Q538" s="438"/>
      <c r="R538" s="437"/>
      <c r="S538" s="437"/>
      <c r="T538" s="438"/>
      <c r="U538" s="438"/>
      <c r="V538" s="437"/>
      <c r="W538" s="437"/>
      <c r="X538" s="438"/>
      <c r="Y538" s="438"/>
      <c r="Z538" s="940"/>
      <c r="AA538" s="940"/>
      <c r="AB538" s="438"/>
      <c r="AC538" s="438"/>
      <c r="AD538" s="940"/>
      <c r="AE538" s="940"/>
      <c r="AF538" s="438"/>
      <c r="AH538" s="438"/>
      <c r="AI538" s="437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</row>
    <row r="539" ht="14.25" customHeight="1">
      <c r="A539" s="1"/>
      <c r="B539" s="1"/>
      <c r="C539" s="1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438"/>
      <c r="Q539" s="438"/>
      <c r="R539" s="437"/>
      <c r="S539" s="437"/>
      <c r="T539" s="438"/>
      <c r="U539" s="438"/>
      <c r="V539" s="437"/>
      <c r="W539" s="437"/>
      <c r="X539" s="438"/>
      <c r="Y539" s="438"/>
      <c r="Z539" s="940"/>
      <c r="AA539" s="940"/>
      <c r="AB539" s="438"/>
      <c r="AC539" s="438"/>
      <c r="AD539" s="940"/>
      <c r="AE539" s="940"/>
      <c r="AF539" s="438"/>
      <c r="AH539" s="438"/>
      <c r="AI539" s="437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</row>
    <row r="540" ht="14.25" customHeight="1">
      <c r="A540" s="1"/>
      <c r="B540" s="1"/>
      <c r="C540" s="1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438"/>
      <c r="Q540" s="438"/>
      <c r="R540" s="437"/>
      <c r="S540" s="437"/>
      <c r="T540" s="438"/>
      <c r="U540" s="438"/>
      <c r="V540" s="437"/>
      <c r="W540" s="437"/>
      <c r="X540" s="438"/>
      <c r="Y540" s="438"/>
      <c r="Z540" s="940"/>
      <c r="AA540" s="940"/>
      <c r="AB540" s="438"/>
      <c r="AC540" s="438"/>
      <c r="AD540" s="940"/>
      <c r="AE540" s="940"/>
      <c r="AF540" s="438"/>
      <c r="AH540" s="438"/>
      <c r="AI540" s="437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</row>
    <row r="541" ht="14.25" customHeight="1">
      <c r="A541" s="1"/>
      <c r="B541" s="1"/>
      <c r="C541" s="1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438"/>
      <c r="Q541" s="438"/>
      <c r="R541" s="437"/>
      <c r="S541" s="437"/>
      <c r="T541" s="438"/>
      <c r="U541" s="438"/>
      <c r="V541" s="437"/>
      <c r="W541" s="437"/>
      <c r="X541" s="438"/>
      <c r="Y541" s="438"/>
      <c r="Z541" s="940"/>
      <c r="AA541" s="940"/>
      <c r="AB541" s="438"/>
      <c r="AC541" s="438"/>
      <c r="AD541" s="940"/>
      <c r="AE541" s="940"/>
      <c r="AF541" s="438"/>
      <c r="AH541" s="438"/>
      <c r="AI541" s="437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</row>
    <row r="542" ht="14.25" customHeight="1">
      <c r="A542" s="1"/>
      <c r="B542" s="1"/>
      <c r="C542" s="1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438"/>
      <c r="Q542" s="438"/>
      <c r="R542" s="437"/>
      <c r="S542" s="437"/>
      <c r="T542" s="438"/>
      <c r="U542" s="438"/>
      <c r="V542" s="437"/>
      <c r="W542" s="437"/>
      <c r="X542" s="438"/>
      <c r="Y542" s="438"/>
      <c r="Z542" s="940"/>
      <c r="AA542" s="940"/>
      <c r="AB542" s="438"/>
      <c r="AC542" s="438"/>
      <c r="AD542" s="940"/>
      <c r="AE542" s="940"/>
      <c r="AF542" s="438"/>
      <c r="AH542" s="438"/>
      <c r="AI542" s="437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</row>
    <row r="543" ht="14.25" customHeight="1">
      <c r="A543" s="1"/>
      <c r="B543" s="1"/>
      <c r="C543" s="1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438"/>
      <c r="Q543" s="438"/>
      <c r="R543" s="437"/>
      <c r="S543" s="437"/>
      <c r="T543" s="438"/>
      <c r="U543" s="438"/>
      <c r="V543" s="437"/>
      <c r="W543" s="437"/>
      <c r="X543" s="438"/>
      <c r="Y543" s="438"/>
      <c r="Z543" s="940"/>
      <c r="AA543" s="940"/>
      <c r="AB543" s="438"/>
      <c r="AC543" s="438"/>
      <c r="AD543" s="940"/>
      <c r="AE543" s="940"/>
      <c r="AF543" s="438"/>
      <c r="AH543" s="438"/>
      <c r="AI543" s="437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</row>
    <row r="544" ht="14.25" customHeight="1">
      <c r="A544" s="1"/>
      <c r="B544" s="1"/>
      <c r="C544" s="1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438"/>
      <c r="Q544" s="438"/>
      <c r="R544" s="437"/>
      <c r="S544" s="437"/>
      <c r="T544" s="438"/>
      <c r="U544" s="438"/>
      <c r="V544" s="437"/>
      <c r="W544" s="437"/>
      <c r="X544" s="438"/>
      <c r="Y544" s="438"/>
      <c r="Z544" s="940"/>
      <c r="AA544" s="940"/>
      <c r="AB544" s="438"/>
      <c r="AC544" s="438"/>
      <c r="AD544" s="940"/>
      <c r="AE544" s="940"/>
      <c r="AF544" s="438"/>
      <c r="AH544" s="438"/>
      <c r="AI544" s="437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</row>
    <row r="545" ht="14.25" customHeight="1">
      <c r="A545" s="1"/>
      <c r="B545" s="1"/>
      <c r="C545" s="1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438"/>
      <c r="Q545" s="438"/>
      <c r="R545" s="437"/>
      <c r="S545" s="437"/>
      <c r="T545" s="438"/>
      <c r="U545" s="438"/>
      <c r="V545" s="437"/>
      <c r="W545" s="437"/>
      <c r="X545" s="438"/>
      <c r="Y545" s="438"/>
      <c r="Z545" s="940"/>
      <c r="AA545" s="940"/>
      <c r="AB545" s="438"/>
      <c r="AC545" s="438"/>
      <c r="AD545" s="940"/>
      <c r="AE545" s="940"/>
      <c r="AF545" s="438"/>
      <c r="AH545" s="438"/>
      <c r="AI545" s="437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</row>
    <row r="546" ht="14.25" customHeight="1">
      <c r="A546" s="1"/>
      <c r="B546" s="1"/>
      <c r="C546" s="1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438"/>
      <c r="Q546" s="438"/>
      <c r="R546" s="437"/>
      <c r="S546" s="437"/>
      <c r="T546" s="438"/>
      <c r="U546" s="438"/>
      <c r="V546" s="437"/>
      <c r="W546" s="437"/>
      <c r="X546" s="438"/>
      <c r="Y546" s="438"/>
      <c r="Z546" s="940"/>
      <c r="AA546" s="940"/>
      <c r="AB546" s="438"/>
      <c r="AC546" s="438"/>
      <c r="AD546" s="940"/>
      <c r="AE546" s="940"/>
      <c r="AF546" s="438"/>
      <c r="AH546" s="438"/>
      <c r="AI546" s="437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</row>
    <row r="547" ht="14.25" customHeight="1">
      <c r="A547" s="1"/>
      <c r="B547" s="1"/>
      <c r="C547" s="1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438"/>
      <c r="Q547" s="438"/>
      <c r="R547" s="437"/>
      <c r="S547" s="437"/>
      <c r="T547" s="438"/>
      <c r="U547" s="438"/>
      <c r="V547" s="437"/>
      <c r="W547" s="437"/>
      <c r="X547" s="438"/>
      <c r="Y547" s="438"/>
      <c r="Z547" s="940"/>
      <c r="AA547" s="940"/>
      <c r="AB547" s="438"/>
      <c r="AC547" s="438"/>
      <c r="AD547" s="940"/>
      <c r="AE547" s="940"/>
      <c r="AF547" s="438"/>
      <c r="AH547" s="438"/>
      <c r="AI547" s="437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</row>
    <row r="548" ht="14.25" customHeight="1">
      <c r="A548" s="1"/>
      <c r="B548" s="1"/>
      <c r="C548" s="1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438"/>
      <c r="Q548" s="438"/>
      <c r="R548" s="437"/>
      <c r="S548" s="437"/>
      <c r="T548" s="438"/>
      <c r="U548" s="438"/>
      <c r="V548" s="437"/>
      <c r="W548" s="437"/>
      <c r="X548" s="438"/>
      <c r="Y548" s="438"/>
      <c r="Z548" s="940"/>
      <c r="AA548" s="940"/>
      <c r="AB548" s="438"/>
      <c r="AC548" s="438"/>
      <c r="AD548" s="940"/>
      <c r="AE548" s="940"/>
      <c r="AF548" s="438"/>
      <c r="AH548" s="438"/>
      <c r="AI548" s="437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</row>
    <row r="549" ht="14.25" customHeight="1">
      <c r="A549" s="1"/>
      <c r="B549" s="1"/>
      <c r="C549" s="1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438"/>
      <c r="Q549" s="438"/>
      <c r="R549" s="437"/>
      <c r="S549" s="437"/>
      <c r="T549" s="438"/>
      <c r="U549" s="438"/>
      <c r="V549" s="437"/>
      <c r="W549" s="437"/>
      <c r="X549" s="438"/>
      <c r="Y549" s="438"/>
      <c r="Z549" s="940"/>
      <c r="AA549" s="940"/>
      <c r="AB549" s="438"/>
      <c r="AC549" s="438"/>
      <c r="AD549" s="940"/>
      <c r="AE549" s="940"/>
      <c r="AF549" s="438"/>
      <c r="AH549" s="438"/>
      <c r="AI549" s="437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</row>
    <row r="550" ht="14.25" customHeight="1">
      <c r="A550" s="1"/>
      <c r="B550" s="1"/>
      <c r="C550" s="1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438"/>
      <c r="Q550" s="438"/>
      <c r="R550" s="437"/>
      <c r="S550" s="437"/>
      <c r="T550" s="438"/>
      <c r="U550" s="438"/>
      <c r="V550" s="437"/>
      <c r="W550" s="437"/>
      <c r="X550" s="438"/>
      <c r="Y550" s="438"/>
      <c r="Z550" s="940"/>
      <c r="AA550" s="940"/>
      <c r="AB550" s="438"/>
      <c r="AC550" s="438"/>
      <c r="AD550" s="940"/>
      <c r="AE550" s="940"/>
      <c r="AF550" s="438"/>
      <c r="AH550" s="438"/>
      <c r="AI550" s="437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</row>
    <row r="551" ht="14.25" customHeight="1">
      <c r="A551" s="1"/>
      <c r="B551" s="1"/>
      <c r="C551" s="1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438"/>
      <c r="Q551" s="438"/>
      <c r="R551" s="437"/>
      <c r="S551" s="437"/>
      <c r="T551" s="438"/>
      <c r="U551" s="438"/>
      <c r="V551" s="437"/>
      <c r="W551" s="437"/>
      <c r="X551" s="438"/>
      <c r="Y551" s="438"/>
      <c r="Z551" s="940"/>
      <c r="AA551" s="940"/>
      <c r="AB551" s="438"/>
      <c r="AC551" s="438"/>
      <c r="AD551" s="940"/>
      <c r="AE551" s="940"/>
      <c r="AF551" s="438"/>
      <c r="AH551" s="438"/>
      <c r="AI551" s="437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</row>
    <row r="552" ht="14.25" customHeight="1">
      <c r="A552" s="1"/>
      <c r="B552" s="1"/>
      <c r="C552" s="1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438"/>
      <c r="Q552" s="438"/>
      <c r="R552" s="437"/>
      <c r="S552" s="437"/>
      <c r="T552" s="438"/>
      <c r="U552" s="438"/>
      <c r="V552" s="437"/>
      <c r="W552" s="437"/>
      <c r="X552" s="438"/>
      <c r="Y552" s="438"/>
      <c r="Z552" s="940"/>
      <c r="AA552" s="940"/>
      <c r="AB552" s="438"/>
      <c r="AC552" s="438"/>
      <c r="AD552" s="940"/>
      <c r="AE552" s="940"/>
      <c r="AF552" s="438"/>
      <c r="AH552" s="438"/>
      <c r="AI552" s="437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</row>
    <row r="553" ht="14.25" customHeight="1">
      <c r="A553" s="1"/>
      <c r="B553" s="1"/>
      <c r="C553" s="1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438"/>
      <c r="Q553" s="438"/>
      <c r="R553" s="437"/>
      <c r="S553" s="437"/>
      <c r="T553" s="438"/>
      <c r="U553" s="438"/>
      <c r="V553" s="437"/>
      <c r="W553" s="437"/>
      <c r="X553" s="438"/>
      <c r="Y553" s="438"/>
      <c r="Z553" s="940"/>
      <c r="AA553" s="940"/>
      <c r="AB553" s="438"/>
      <c r="AC553" s="438"/>
      <c r="AD553" s="940"/>
      <c r="AE553" s="940"/>
      <c r="AF553" s="438"/>
      <c r="AH553" s="438"/>
      <c r="AI553" s="437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</row>
    <row r="554" ht="14.25" customHeight="1">
      <c r="A554" s="1"/>
      <c r="B554" s="1"/>
      <c r="C554" s="1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438"/>
      <c r="Q554" s="438"/>
      <c r="R554" s="437"/>
      <c r="S554" s="437"/>
      <c r="T554" s="438"/>
      <c r="U554" s="438"/>
      <c r="V554" s="437"/>
      <c r="W554" s="437"/>
      <c r="X554" s="438"/>
      <c r="Y554" s="438"/>
      <c r="Z554" s="940"/>
      <c r="AA554" s="940"/>
      <c r="AB554" s="438"/>
      <c r="AC554" s="438"/>
      <c r="AD554" s="940"/>
      <c r="AE554" s="940"/>
      <c r="AF554" s="438"/>
      <c r="AH554" s="438"/>
      <c r="AI554" s="437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</row>
    <row r="555" ht="14.25" customHeight="1">
      <c r="A555" s="1"/>
      <c r="B555" s="1"/>
      <c r="C555" s="1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438"/>
      <c r="Q555" s="438"/>
      <c r="R555" s="437"/>
      <c r="S555" s="437"/>
      <c r="T555" s="438"/>
      <c r="U555" s="438"/>
      <c r="V555" s="437"/>
      <c r="W555" s="437"/>
      <c r="X555" s="438"/>
      <c r="Y555" s="438"/>
      <c r="Z555" s="940"/>
      <c r="AA555" s="940"/>
      <c r="AB555" s="438"/>
      <c r="AC555" s="438"/>
      <c r="AD555" s="940"/>
      <c r="AE555" s="940"/>
      <c r="AF555" s="438"/>
      <c r="AH555" s="438"/>
      <c r="AI555" s="437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</row>
    <row r="556" ht="14.25" customHeight="1">
      <c r="A556" s="1"/>
      <c r="B556" s="1"/>
      <c r="C556" s="1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438"/>
      <c r="Q556" s="438"/>
      <c r="R556" s="437"/>
      <c r="S556" s="437"/>
      <c r="T556" s="438"/>
      <c r="U556" s="438"/>
      <c r="V556" s="437"/>
      <c r="W556" s="437"/>
      <c r="X556" s="438"/>
      <c r="Y556" s="438"/>
      <c r="Z556" s="940"/>
      <c r="AA556" s="940"/>
      <c r="AB556" s="438"/>
      <c r="AC556" s="438"/>
      <c r="AD556" s="940"/>
      <c r="AE556" s="940"/>
      <c r="AF556" s="438"/>
      <c r="AH556" s="438"/>
      <c r="AI556" s="437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</row>
    <row r="557" ht="14.25" customHeight="1">
      <c r="A557" s="1"/>
      <c r="B557" s="1"/>
      <c r="C557" s="1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438"/>
      <c r="Q557" s="438"/>
      <c r="R557" s="437"/>
      <c r="S557" s="437"/>
      <c r="T557" s="438"/>
      <c r="U557" s="438"/>
      <c r="V557" s="437"/>
      <c r="W557" s="437"/>
      <c r="X557" s="438"/>
      <c r="Y557" s="438"/>
      <c r="Z557" s="940"/>
      <c r="AA557" s="940"/>
      <c r="AB557" s="438"/>
      <c r="AC557" s="438"/>
      <c r="AD557" s="940"/>
      <c r="AE557" s="940"/>
      <c r="AF557" s="438"/>
      <c r="AH557" s="438"/>
      <c r="AI557" s="437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</row>
    <row r="558" ht="14.25" customHeight="1">
      <c r="A558" s="1"/>
      <c r="B558" s="1"/>
      <c r="C558" s="1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438"/>
      <c r="Q558" s="438"/>
      <c r="R558" s="437"/>
      <c r="S558" s="437"/>
      <c r="T558" s="438"/>
      <c r="U558" s="438"/>
      <c r="V558" s="437"/>
      <c r="W558" s="437"/>
      <c r="X558" s="438"/>
      <c r="Y558" s="438"/>
      <c r="Z558" s="940"/>
      <c r="AA558" s="940"/>
      <c r="AB558" s="438"/>
      <c r="AC558" s="438"/>
      <c r="AD558" s="940"/>
      <c r="AE558" s="940"/>
      <c r="AF558" s="438"/>
      <c r="AH558" s="438"/>
      <c r="AI558" s="437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</row>
    <row r="559" ht="14.25" customHeight="1">
      <c r="A559" s="1"/>
      <c r="B559" s="1"/>
      <c r="C559" s="1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438"/>
      <c r="Q559" s="438"/>
      <c r="R559" s="437"/>
      <c r="S559" s="437"/>
      <c r="T559" s="438"/>
      <c r="U559" s="438"/>
      <c r="V559" s="437"/>
      <c r="W559" s="437"/>
      <c r="X559" s="438"/>
      <c r="Y559" s="438"/>
      <c r="Z559" s="940"/>
      <c r="AA559" s="940"/>
      <c r="AB559" s="438"/>
      <c r="AC559" s="438"/>
      <c r="AD559" s="940"/>
      <c r="AE559" s="940"/>
      <c r="AF559" s="438"/>
      <c r="AH559" s="438"/>
      <c r="AI559" s="437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</row>
    <row r="560" ht="14.25" customHeight="1">
      <c r="A560" s="1"/>
      <c r="B560" s="1"/>
      <c r="C560" s="1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438"/>
      <c r="Q560" s="438"/>
      <c r="R560" s="437"/>
      <c r="S560" s="437"/>
      <c r="T560" s="438"/>
      <c r="U560" s="438"/>
      <c r="V560" s="437"/>
      <c r="W560" s="437"/>
      <c r="X560" s="438"/>
      <c r="Y560" s="438"/>
      <c r="Z560" s="940"/>
      <c r="AA560" s="940"/>
      <c r="AB560" s="438"/>
      <c r="AC560" s="438"/>
      <c r="AD560" s="940"/>
      <c r="AE560" s="940"/>
      <c r="AF560" s="438"/>
      <c r="AH560" s="438"/>
      <c r="AI560" s="437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</row>
    <row r="561" ht="14.25" customHeight="1">
      <c r="A561" s="1"/>
      <c r="B561" s="1"/>
      <c r="C561" s="1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438"/>
      <c r="Q561" s="438"/>
      <c r="R561" s="437"/>
      <c r="S561" s="437"/>
      <c r="T561" s="438"/>
      <c r="U561" s="438"/>
      <c r="V561" s="437"/>
      <c r="W561" s="437"/>
      <c r="X561" s="438"/>
      <c r="Y561" s="438"/>
      <c r="Z561" s="940"/>
      <c r="AA561" s="940"/>
      <c r="AB561" s="438"/>
      <c r="AC561" s="438"/>
      <c r="AD561" s="940"/>
      <c r="AE561" s="940"/>
      <c r="AF561" s="438"/>
      <c r="AH561" s="438"/>
      <c r="AI561" s="437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</row>
    <row r="562" ht="14.25" customHeight="1">
      <c r="A562" s="1"/>
      <c r="B562" s="1"/>
      <c r="C562" s="1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438"/>
      <c r="Q562" s="438"/>
      <c r="R562" s="437"/>
      <c r="S562" s="437"/>
      <c r="T562" s="438"/>
      <c r="U562" s="438"/>
      <c r="V562" s="437"/>
      <c r="W562" s="437"/>
      <c r="X562" s="438"/>
      <c r="Y562" s="438"/>
      <c r="Z562" s="940"/>
      <c r="AA562" s="940"/>
      <c r="AB562" s="438"/>
      <c r="AC562" s="438"/>
      <c r="AD562" s="940"/>
      <c r="AE562" s="940"/>
      <c r="AF562" s="438"/>
      <c r="AH562" s="438"/>
      <c r="AI562" s="437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</row>
    <row r="563" ht="14.25" customHeight="1">
      <c r="A563" s="1"/>
      <c r="B563" s="1"/>
      <c r="C563" s="1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438"/>
      <c r="Q563" s="438"/>
      <c r="R563" s="437"/>
      <c r="S563" s="437"/>
      <c r="T563" s="438"/>
      <c r="U563" s="438"/>
      <c r="V563" s="437"/>
      <c r="W563" s="437"/>
      <c r="X563" s="438"/>
      <c r="Y563" s="438"/>
      <c r="Z563" s="940"/>
      <c r="AA563" s="940"/>
      <c r="AB563" s="438"/>
      <c r="AC563" s="438"/>
      <c r="AD563" s="940"/>
      <c r="AE563" s="940"/>
      <c r="AF563" s="438"/>
      <c r="AH563" s="438"/>
      <c r="AI563" s="437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</row>
    <row r="564" ht="14.25" customHeight="1">
      <c r="A564" s="1"/>
      <c r="B564" s="1"/>
      <c r="C564" s="1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438"/>
      <c r="Q564" s="438"/>
      <c r="R564" s="437"/>
      <c r="S564" s="437"/>
      <c r="T564" s="438"/>
      <c r="U564" s="438"/>
      <c r="V564" s="437"/>
      <c r="W564" s="437"/>
      <c r="X564" s="438"/>
      <c r="Y564" s="438"/>
      <c r="Z564" s="940"/>
      <c r="AA564" s="940"/>
      <c r="AB564" s="438"/>
      <c r="AC564" s="438"/>
      <c r="AD564" s="940"/>
      <c r="AE564" s="940"/>
      <c r="AF564" s="438"/>
      <c r="AH564" s="438"/>
      <c r="AI564" s="437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</row>
    <row r="565" ht="14.25" customHeight="1">
      <c r="A565" s="1"/>
      <c r="B565" s="1"/>
      <c r="C565" s="1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438"/>
      <c r="Q565" s="438"/>
      <c r="R565" s="437"/>
      <c r="S565" s="437"/>
      <c r="T565" s="438"/>
      <c r="U565" s="438"/>
      <c r="V565" s="437"/>
      <c r="W565" s="437"/>
      <c r="X565" s="438"/>
      <c r="Y565" s="438"/>
      <c r="Z565" s="940"/>
      <c r="AA565" s="940"/>
      <c r="AB565" s="438"/>
      <c r="AC565" s="438"/>
      <c r="AD565" s="940"/>
      <c r="AE565" s="940"/>
      <c r="AF565" s="438"/>
      <c r="AH565" s="438"/>
      <c r="AI565" s="437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</row>
    <row r="566" ht="14.25" customHeight="1">
      <c r="A566" s="1"/>
      <c r="B566" s="1"/>
      <c r="C566" s="1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438"/>
      <c r="Q566" s="438"/>
      <c r="R566" s="437"/>
      <c r="S566" s="437"/>
      <c r="T566" s="438"/>
      <c r="U566" s="438"/>
      <c r="V566" s="437"/>
      <c r="W566" s="437"/>
      <c r="X566" s="438"/>
      <c r="Y566" s="438"/>
      <c r="Z566" s="940"/>
      <c r="AA566" s="940"/>
      <c r="AB566" s="438"/>
      <c r="AC566" s="438"/>
      <c r="AD566" s="940"/>
      <c r="AE566" s="940"/>
      <c r="AF566" s="438"/>
      <c r="AH566" s="438"/>
      <c r="AI566" s="437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</row>
    <row r="567" ht="14.25" customHeight="1">
      <c r="A567" s="1"/>
      <c r="B567" s="1"/>
      <c r="C567" s="1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438"/>
      <c r="Q567" s="438"/>
      <c r="R567" s="437"/>
      <c r="S567" s="437"/>
      <c r="T567" s="438"/>
      <c r="U567" s="438"/>
      <c r="V567" s="437"/>
      <c r="W567" s="437"/>
      <c r="X567" s="438"/>
      <c r="Y567" s="438"/>
      <c r="Z567" s="940"/>
      <c r="AA567" s="940"/>
      <c r="AB567" s="438"/>
      <c r="AC567" s="438"/>
      <c r="AD567" s="940"/>
      <c r="AE567" s="940"/>
      <c r="AF567" s="438"/>
      <c r="AH567" s="438"/>
      <c r="AI567" s="437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</row>
    <row r="568" ht="14.25" customHeight="1">
      <c r="A568" s="1"/>
      <c r="B568" s="1"/>
      <c r="C568" s="1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438"/>
      <c r="Q568" s="438"/>
      <c r="R568" s="437"/>
      <c r="S568" s="437"/>
      <c r="T568" s="438"/>
      <c r="U568" s="438"/>
      <c r="V568" s="437"/>
      <c r="W568" s="437"/>
      <c r="X568" s="438"/>
      <c r="Y568" s="438"/>
      <c r="Z568" s="940"/>
      <c r="AA568" s="940"/>
      <c r="AB568" s="438"/>
      <c r="AC568" s="438"/>
      <c r="AD568" s="940"/>
      <c r="AE568" s="940"/>
      <c r="AF568" s="438"/>
      <c r="AH568" s="438"/>
      <c r="AI568" s="437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</row>
    <row r="569" ht="14.25" customHeight="1">
      <c r="A569" s="1"/>
      <c r="B569" s="1"/>
      <c r="C569" s="1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438"/>
      <c r="Q569" s="438"/>
      <c r="R569" s="437"/>
      <c r="S569" s="437"/>
      <c r="T569" s="438"/>
      <c r="U569" s="438"/>
      <c r="V569" s="437"/>
      <c r="W569" s="437"/>
      <c r="X569" s="438"/>
      <c r="Y569" s="438"/>
      <c r="Z569" s="940"/>
      <c r="AA569" s="940"/>
      <c r="AB569" s="438"/>
      <c r="AC569" s="438"/>
      <c r="AD569" s="940"/>
      <c r="AE569" s="940"/>
      <c r="AF569" s="438"/>
      <c r="AH569" s="438"/>
      <c r="AI569" s="437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</row>
    <row r="570" ht="14.25" customHeight="1">
      <c r="A570" s="1"/>
      <c r="B570" s="1"/>
      <c r="C570" s="1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438"/>
      <c r="Q570" s="438"/>
      <c r="R570" s="437"/>
      <c r="S570" s="437"/>
      <c r="T570" s="438"/>
      <c r="U570" s="438"/>
      <c r="V570" s="437"/>
      <c r="W570" s="437"/>
      <c r="X570" s="438"/>
      <c r="Y570" s="438"/>
      <c r="Z570" s="940"/>
      <c r="AA570" s="940"/>
      <c r="AB570" s="438"/>
      <c r="AC570" s="438"/>
      <c r="AD570" s="940"/>
      <c r="AE570" s="940"/>
      <c r="AF570" s="438"/>
      <c r="AH570" s="438"/>
      <c r="AI570" s="437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</row>
    <row r="571" ht="14.25" customHeight="1">
      <c r="A571" s="1"/>
      <c r="B571" s="1"/>
      <c r="C571" s="1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438"/>
      <c r="Q571" s="438"/>
      <c r="R571" s="437"/>
      <c r="S571" s="437"/>
      <c r="T571" s="438"/>
      <c r="U571" s="438"/>
      <c r="V571" s="437"/>
      <c r="W571" s="437"/>
      <c r="X571" s="438"/>
      <c r="Y571" s="438"/>
      <c r="Z571" s="940"/>
      <c r="AA571" s="940"/>
      <c r="AB571" s="438"/>
      <c r="AC571" s="438"/>
      <c r="AD571" s="940"/>
      <c r="AE571" s="940"/>
      <c r="AF571" s="438"/>
      <c r="AH571" s="438"/>
      <c r="AI571" s="437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</row>
    <row r="572" ht="14.25" customHeight="1">
      <c r="A572" s="1"/>
      <c r="B572" s="1"/>
      <c r="C572" s="1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438"/>
      <c r="Q572" s="438"/>
      <c r="R572" s="437"/>
      <c r="S572" s="437"/>
      <c r="T572" s="438"/>
      <c r="U572" s="438"/>
      <c r="V572" s="437"/>
      <c r="W572" s="437"/>
      <c r="X572" s="438"/>
      <c r="Y572" s="438"/>
      <c r="Z572" s="940"/>
      <c r="AA572" s="940"/>
      <c r="AB572" s="438"/>
      <c r="AC572" s="438"/>
      <c r="AD572" s="940"/>
      <c r="AE572" s="940"/>
      <c r="AF572" s="438"/>
      <c r="AH572" s="438"/>
      <c r="AI572" s="437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</row>
    <row r="573" ht="14.25" customHeight="1">
      <c r="A573" s="1"/>
      <c r="B573" s="1"/>
      <c r="C573" s="1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438"/>
      <c r="Q573" s="438"/>
      <c r="R573" s="437"/>
      <c r="S573" s="437"/>
      <c r="T573" s="438"/>
      <c r="U573" s="438"/>
      <c r="V573" s="437"/>
      <c r="W573" s="437"/>
      <c r="X573" s="438"/>
      <c r="Y573" s="438"/>
      <c r="Z573" s="940"/>
      <c r="AA573" s="940"/>
      <c r="AB573" s="438"/>
      <c r="AC573" s="438"/>
      <c r="AD573" s="940"/>
      <c r="AE573" s="940"/>
      <c r="AF573" s="438"/>
      <c r="AH573" s="438"/>
      <c r="AI573" s="437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</row>
    <row r="574" ht="14.25" customHeight="1">
      <c r="A574" s="1"/>
      <c r="B574" s="1"/>
      <c r="C574" s="1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438"/>
      <c r="Q574" s="438"/>
      <c r="R574" s="437"/>
      <c r="S574" s="437"/>
      <c r="T574" s="438"/>
      <c r="U574" s="438"/>
      <c r="V574" s="437"/>
      <c r="W574" s="437"/>
      <c r="X574" s="438"/>
      <c r="Y574" s="438"/>
      <c r="Z574" s="940"/>
      <c r="AA574" s="940"/>
      <c r="AB574" s="438"/>
      <c r="AC574" s="438"/>
      <c r="AD574" s="940"/>
      <c r="AE574" s="940"/>
      <c r="AF574" s="438"/>
      <c r="AH574" s="438"/>
      <c r="AI574" s="437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</row>
    <row r="575" ht="14.25" customHeight="1">
      <c r="A575" s="1"/>
      <c r="B575" s="1"/>
      <c r="C575" s="1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438"/>
      <c r="Q575" s="438"/>
      <c r="R575" s="437"/>
      <c r="S575" s="437"/>
      <c r="T575" s="438"/>
      <c r="U575" s="438"/>
      <c r="V575" s="437"/>
      <c r="W575" s="437"/>
      <c r="X575" s="438"/>
      <c r="Y575" s="438"/>
      <c r="Z575" s="940"/>
      <c r="AA575" s="940"/>
      <c r="AB575" s="438"/>
      <c r="AC575" s="438"/>
      <c r="AD575" s="940"/>
      <c r="AE575" s="940"/>
      <c r="AF575" s="438"/>
      <c r="AH575" s="438"/>
      <c r="AI575" s="437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</row>
    <row r="576" ht="14.25" customHeight="1">
      <c r="A576" s="1"/>
      <c r="B576" s="1"/>
      <c r="C576" s="1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438"/>
      <c r="Q576" s="438"/>
      <c r="R576" s="437"/>
      <c r="S576" s="437"/>
      <c r="T576" s="438"/>
      <c r="U576" s="438"/>
      <c r="V576" s="437"/>
      <c r="W576" s="437"/>
      <c r="X576" s="438"/>
      <c r="Y576" s="438"/>
      <c r="Z576" s="940"/>
      <c r="AA576" s="940"/>
      <c r="AB576" s="438"/>
      <c r="AC576" s="438"/>
      <c r="AD576" s="940"/>
      <c r="AE576" s="940"/>
      <c r="AF576" s="438"/>
      <c r="AH576" s="438"/>
      <c r="AI576" s="437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</row>
    <row r="577" ht="14.25" customHeight="1">
      <c r="A577" s="1"/>
      <c r="B577" s="1"/>
      <c r="C577" s="1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438"/>
      <c r="Q577" s="438"/>
      <c r="R577" s="437"/>
      <c r="S577" s="437"/>
      <c r="T577" s="438"/>
      <c r="U577" s="438"/>
      <c r="V577" s="437"/>
      <c r="W577" s="437"/>
      <c r="X577" s="438"/>
      <c r="Y577" s="438"/>
      <c r="Z577" s="940"/>
      <c r="AA577" s="940"/>
      <c r="AB577" s="438"/>
      <c r="AC577" s="438"/>
      <c r="AD577" s="940"/>
      <c r="AE577" s="940"/>
      <c r="AF577" s="438"/>
      <c r="AH577" s="438"/>
      <c r="AI577" s="437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</row>
    <row r="578" ht="14.25" customHeight="1">
      <c r="A578" s="1"/>
      <c r="B578" s="1"/>
      <c r="C578" s="1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438"/>
      <c r="Q578" s="438"/>
      <c r="R578" s="437"/>
      <c r="S578" s="437"/>
      <c r="T578" s="438"/>
      <c r="U578" s="438"/>
      <c r="V578" s="437"/>
      <c r="W578" s="437"/>
      <c r="X578" s="438"/>
      <c r="Y578" s="438"/>
      <c r="Z578" s="940"/>
      <c r="AA578" s="940"/>
      <c r="AB578" s="438"/>
      <c r="AC578" s="438"/>
      <c r="AD578" s="940"/>
      <c r="AE578" s="940"/>
      <c r="AF578" s="438"/>
      <c r="AH578" s="438"/>
      <c r="AI578" s="437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</row>
    <row r="579" ht="14.25" customHeight="1">
      <c r="A579" s="1"/>
      <c r="B579" s="1"/>
      <c r="C579" s="1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438"/>
      <c r="Q579" s="438"/>
      <c r="R579" s="437"/>
      <c r="S579" s="437"/>
      <c r="T579" s="438"/>
      <c r="U579" s="438"/>
      <c r="V579" s="437"/>
      <c r="W579" s="437"/>
      <c r="X579" s="438"/>
      <c r="Y579" s="438"/>
      <c r="Z579" s="940"/>
      <c r="AA579" s="940"/>
      <c r="AB579" s="438"/>
      <c r="AC579" s="438"/>
      <c r="AD579" s="940"/>
      <c r="AE579" s="940"/>
      <c r="AF579" s="438"/>
      <c r="AH579" s="438"/>
      <c r="AI579" s="437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</row>
    <row r="580" ht="14.25" customHeight="1">
      <c r="A580" s="1"/>
      <c r="B580" s="1"/>
      <c r="C580" s="1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438"/>
      <c r="Q580" s="438"/>
      <c r="R580" s="437"/>
      <c r="S580" s="437"/>
      <c r="T580" s="438"/>
      <c r="U580" s="438"/>
      <c r="V580" s="437"/>
      <c r="W580" s="437"/>
      <c r="X580" s="438"/>
      <c r="Y580" s="438"/>
      <c r="Z580" s="940"/>
      <c r="AA580" s="940"/>
      <c r="AB580" s="438"/>
      <c r="AC580" s="438"/>
      <c r="AD580" s="940"/>
      <c r="AE580" s="940"/>
      <c r="AF580" s="438"/>
      <c r="AH580" s="438"/>
      <c r="AI580" s="437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</row>
    <row r="581" ht="14.25" customHeight="1">
      <c r="A581" s="1"/>
      <c r="B581" s="1"/>
      <c r="C581" s="1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438"/>
      <c r="Q581" s="438"/>
      <c r="R581" s="437"/>
      <c r="S581" s="437"/>
      <c r="T581" s="438"/>
      <c r="U581" s="438"/>
      <c r="V581" s="437"/>
      <c r="W581" s="437"/>
      <c r="X581" s="438"/>
      <c r="Y581" s="438"/>
      <c r="Z581" s="940"/>
      <c r="AA581" s="940"/>
      <c r="AB581" s="438"/>
      <c r="AC581" s="438"/>
      <c r="AD581" s="940"/>
      <c r="AE581" s="940"/>
      <c r="AF581" s="438"/>
      <c r="AH581" s="438"/>
      <c r="AI581" s="437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</row>
    <row r="582" ht="14.25" customHeight="1">
      <c r="A582" s="1"/>
      <c r="B582" s="1"/>
      <c r="C582" s="1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438"/>
      <c r="Q582" s="438"/>
      <c r="R582" s="437"/>
      <c r="S582" s="437"/>
      <c r="T582" s="438"/>
      <c r="U582" s="438"/>
      <c r="V582" s="437"/>
      <c r="W582" s="437"/>
      <c r="X582" s="438"/>
      <c r="Y582" s="438"/>
      <c r="Z582" s="940"/>
      <c r="AA582" s="940"/>
      <c r="AB582" s="438"/>
      <c r="AC582" s="438"/>
      <c r="AD582" s="940"/>
      <c r="AE582" s="940"/>
      <c r="AF582" s="438"/>
      <c r="AH582" s="438"/>
      <c r="AI582" s="437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</row>
    <row r="583" ht="14.25" customHeight="1">
      <c r="A583" s="1"/>
      <c r="B583" s="1"/>
      <c r="C583" s="1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438"/>
      <c r="Q583" s="438"/>
      <c r="R583" s="437"/>
      <c r="S583" s="437"/>
      <c r="T583" s="438"/>
      <c r="U583" s="438"/>
      <c r="V583" s="437"/>
      <c r="W583" s="437"/>
      <c r="X583" s="438"/>
      <c r="Y583" s="438"/>
      <c r="Z583" s="940"/>
      <c r="AA583" s="940"/>
      <c r="AB583" s="438"/>
      <c r="AC583" s="438"/>
      <c r="AD583" s="940"/>
      <c r="AE583" s="940"/>
      <c r="AF583" s="438"/>
      <c r="AH583" s="438"/>
      <c r="AI583" s="437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</row>
    <row r="584" ht="14.25" customHeight="1">
      <c r="A584" s="1"/>
      <c r="B584" s="1"/>
      <c r="C584" s="1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438"/>
      <c r="Q584" s="438"/>
      <c r="R584" s="437"/>
      <c r="S584" s="437"/>
      <c r="T584" s="438"/>
      <c r="U584" s="438"/>
      <c r="V584" s="437"/>
      <c r="W584" s="437"/>
      <c r="X584" s="438"/>
      <c r="Y584" s="438"/>
      <c r="Z584" s="940"/>
      <c r="AA584" s="940"/>
      <c r="AB584" s="438"/>
      <c r="AC584" s="438"/>
      <c r="AD584" s="940"/>
      <c r="AE584" s="940"/>
      <c r="AF584" s="438"/>
      <c r="AH584" s="438"/>
      <c r="AI584" s="437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</row>
    <row r="585" ht="14.25" customHeight="1">
      <c r="A585" s="1"/>
      <c r="B585" s="1"/>
      <c r="C585" s="1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438"/>
      <c r="Q585" s="438"/>
      <c r="R585" s="437"/>
      <c r="S585" s="437"/>
      <c r="T585" s="438"/>
      <c r="U585" s="438"/>
      <c r="V585" s="437"/>
      <c r="W585" s="437"/>
      <c r="X585" s="438"/>
      <c r="Y585" s="438"/>
      <c r="Z585" s="940"/>
      <c r="AA585" s="940"/>
      <c r="AB585" s="438"/>
      <c r="AC585" s="438"/>
      <c r="AD585" s="940"/>
      <c r="AE585" s="940"/>
      <c r="AF585" s="438"/>
      <c r="AH585" s="438"/>
      <c r="AI585" s="437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</row>
    <row r="586" ht="14.25" customHeight="1">
      <c r="A586" s="1"/>
      <c r="B586" s="1"/>
      <c r="C586" s="1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438"/>
      <c r="Q586" s="438"/>
      <c r="R586" s="437"/>
      <c r="S586" s="437"/>
      <c r="T586" s="438"/>
      <c r="U586" s="438"/>
      <c r="V586" s="437"/>
      <c r="W586" s="437"/>
      <c r="X586" s="438"/>
      <c r="Y586" s="438"/>
      <c r="Z586" s="940"/>
      <c r="AA586" s="940"/>
      <c r="AB586" s="438"/>
      <c r="AC586" s="438"/>
      <c r="AD586" s="940"/>
      <c r="AE586" s="940"/>
      <c r="AF586" s="438"/>
      <c r="AH586" s="438"/>
      <c r="AI586" s="437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</row>
    <row r="587" ht="14.25" customHeight="1">
      <c r="A587" s="1"/>
      <c r="B587" s="1"/>
      <c r="C587" s="1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438"/>
      <c r="Q587" s="438"/>
      <c r="R587" s="437"/>
      <c r="S587" s="437"/>
      <c r="T587" s="438"/>
      <c r="U587" s="438"/>
      <c r="V587" s="437"/>
      <c r="W587" s="437"/>
      <c r="X587" s="438"/>
      <c r="Y587" s="438"/>
      <c r="Z587" s="940"/>
      <c r="AA587" s="940"/>
      <c r="AB587" s="438"/>
      <c r="AC587" s="438"/>
      <c r="AD587" s="940"/>
      <c r="AE587" s="940"/>
      <c r="AF587" s="438"/>
      <c r="AH587" s="438"/>
      <c r="AI587" s="437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</row>
    <row r="588" ht="14.25" customHeight="1">
      <c r="A588" s="1"/>
      <c r="B588" s="1"/>
      <c r="C588" s="1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438"/>
      <c r="Q588" s="438"/>
      <c r="R588" s="437"/>
      <c r="S588" s="437"/>
      <c r="T588" s="438"/>
      <c r="U588" s="438"/>
      <c r="V588" s="437"/>
      <c r="W588" s="437"/>
      <c r="X588" s="438"/>
      <c r="Y588" s="438"/>
      <c r="Z588" s="940"/>
      <c r="AA588" s="940"/>
      <c r="AB588" s="438"/>
      <c r="AC588" s="438"/>
      <c r="AD588" s="940"/>
      <c r="AE588" s="940"/>
      <c r="AF588" s="438"/>
      <c r="AH588" s="438"/>
      <c r="AI588" s="437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</row>
    <row r="589" ht="14.25" customHeight="1">
      <c r="A589" s="1"/>
      <c r="B589" s="1"/>
      <c r="C589" s="1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438"/>
      <c r="Q589" s="438"/>
      <c r="R589" s="437"/>
      <c r="S589" s="437"/>
      <c r="T589" s="438"/>
      <c r="U589" s="438"/>
      <c r="V589" s="437"/>
      <c r="W589" s="437"/>
      <c r="X589" s="438"/>
      <c r="Y589" s="438"/>
      <c r="Z589" s="940"/>
      <c r="AA589" s="940"/>
      <c r="AB589" s="438"/>
      <c r="AC589" s="438"/>
      <c r="AD589" s="940"/>
      <c r="AE589" s="940"/>
      <c r="AF589" s="438"/>
      <c r="AH589" s="438"/>
      <c r="AI589" s="437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</row>
    <row r="590" ht="14.25" customHeight="1">
      <c r="A590" s="1"/>
      <c r="B590" s="1"/>
      <c r="C590" s="1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438"/>
      <c r="Q590" s="438"/>
      <c r="R590" s="437"/>
      <c r="S590" s="437"/>
      <c r="T590" s="438"/>
      <c r="U590" s="438"/>
      <c r="V590" s="437"/>
      <c r="W590" s="437"/>
      <c r="X590" s="438"/>
      <c r="Y590" s="438"/>
      <c r="Z590" s="940"/>
      <c r="AA590" s="940"/>
      <c r="AB590" s="438"/>
      <c r="AC590" s="438"/>
      <c r="AD590" s="940"/>
      <c r="AE590" s="940"/>
      <c r="AF590" s="438"/>
      <c r="AH590" s="438"/>
      <c r="AI590" s="437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</row>
    <row r="591" ht="14.25" customHeight="1">
      <c r="A591" s="1"/>
      <c r="B591" s="1"/>
      <c r="C591" s="1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438"/>
      <c r="Q591" s="438"/>
      <c r="R591" s="437"/>
      <c r="S591" s="437"/>
      <c r="T591" s="438"/>
      <c r="U591" s="438"/>
      <c r="V591" s="437"/>
      <c r="W591" s="437"/>
      <c r="X591" s="438"/>
      <c r="Y591" s="438"/>
      <c r="Z591" s="940"/>
      <c r="AA591" s="940"/>
      <c r="AB591" s="438"/>
      <c r="AC591" s="438"/>
      <c r="AD591" s="940"/>
      <c r="AE591" s="940"/>
      <c r="AF591" s="438"/>
      <c r="AH591" s="438"/>
      <c r="AI591" s="437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</row>
    <row r="592" ht="14.25" customHeight="1">
      <c r="A592" s="1"/>
      <c r="B592" s="1"/>
      <c r="C592" s="1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438"/>
      <c r="Q592" s="438"/>
      <c r="R592" s="437"/>
      <c r="S592" s="437"/>
      <c r="T592" s="438"/>
      <c r="U592" s="438"/>
      <c r="V592" s="437"/>
      <c r="W592" s="437"/>
      <c r="X592" s="438"/>
      <c r="Y592" s="438"/>
      <c r="Z592" s="940"/>
      <c r="AA592" s="940"/>
      <c r="AB592" s="438"/>
      <c r="AC592" s="438"/>
      <c r="AD592" s="940"/>
      <c r="AE592" s="940"/>
      <c r="AF592" s="438"/>
      <c r="AH592" s="438"/>
      <c r="AI592" s="437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</row>
    <row r="593" ht="14.25" customHeight="1">
      <c r="A593" s="1"/>
      <c r="B593" s="1"/>
      <c r="C593" s="1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438"/>
      <c r="Q593" s="438"/>
      <c r="R593" s="437"/>
      <c r="S593" s="437"/>
      <c r="T593" s="438"/>
      <c r="U593" s="438"/>
      <c r="V593" s="437"/>
      <c r="W593" s="437"/>
      <c r="X593" s="438"/>
      <c r="Y593" s="438"/>
      <c r="Z593" s="940"/>
      <c r="AA593" s="940"/>
      <c r="AB593" s="438"/>
      <c r="AC593" s="438"/>
      <c r="AD593" s="940"/>
      <c r="AE593" s="940"/>
      <c r="AF593" s="438"/>
      <c r="AH593" s="438"/>
      <c r="AI593" s="437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</row>
    <row r="594" ht="14.25" customHeight="1">
      <c r="A594" s="1"/>
      <c r="B594" s="1"/>
      <c r="C594" s="1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438"/>
      <c r="Q594" s="438"/>
      <c r="R594" s="437"/>
      <c r="S594" s="437"/>
      <c r="T594" s="438"/>
      <c r="U594" s="438"/>
      <c r="V594" s="437"/>
      <c r="W594" s="437"/>
      <c r="X594" s="438"/>
      <c r="Y594" s="438"/>
      <c r="Z594" s="940"/>
      <c r="AA594" s="940"/>
      <c r="AB594" s="438"/>
      <c r="AC594" s="438"/>
      <c r="AD594" s="940"/>
      <c r="AE594" s="940"/>
      <c r="AF594" s="438"/>
      <c r="AH594" s="438"/>
      <c r="AI594" s="437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</row>
    <row r="595" ht="14.25" customHeight="1">
      <c r="A595" s="1"/>
      <c r="B595" s="1"/>
      <c r="C595" s="1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438"/>
      <c r="Q595" s="438"/>
      <c r="R595" s="437"/>
      <c r="S595" s="437"/>
      <c r="T595" s="438"/>
      <c r="U595" s="438"/>
      <c r="V595" s="437"/>
      <c r="W595" s="437"/>
      <c r="X595" s="438"/>
      <c r="Y595" s="438"/>
      <c r="Z595" s="940"/>
      <c r="AA595" s="940"/>
      <c r="AB595" s="438"/>
      <c r="AC595" s="438"/>
      <c r="AD595" s="940"/>
      <c r="AE595" s="940"/>
      <c r="AF595" s="438"/>
      <c r="AH595" s="438"/>
      <c r="AI595" s="437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</row>
    <row r="596" ht="14.25" customHeight="1">
      <c r="A596" s="1"/>
      <c r="B596" s="1"/>
      <c r="C596" s="1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438"/>
      <c r="Q596" s="438"/>
      <c r="R596" s="437"/>
      <c r="S596" s="437"/>
      <c r="T596" s="438"/>
      <c r="U596" s="438"/>
      <c r="V596" s="437"/>
      <c r="W596" s="437"/>
      <c r="X596" s="438"/>
      <c r="Y596" s="438"/>
      <c r="Z596" s="940"/>
      <c r="AA596" s="940"/>
      <c r="AB596" s="438"/>
      <c r="AC596" s="438"/>
      <c r="AD596" s="940"/>
      <c r="AE596" s="940"/>
      <c r="AF596" s="438"/>
      <c r="AH596" s="438"/>
      <c r="AI596" s="437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</row>
    <row r="597" ht="14.25" customHeight="1">
      <c r="A597" s="1"/>
      <c r="B597" s="1"/>
      <c r="C597" s="1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438"/>
      <c r="Q597" s="438"/>
      <c r="R597" s="437"/>
      <c r="S597" s="437"/>
      <c r="T597" s="438"/>
      <c r="U597" s="438"/>
      <c r="V597" s="437"/>
      <c r="W597" s="437"/>
      <c r="X597" s="438"/>
      <c r="Y597" s="438"/>
      <c r="Z597" s="940"/>
      <c r="AA597" s="940"/>
      <c r="AB597" s="438"/>
      <c r="AC597" s="438"/>
      <c r="AD597" s="940"/>
      <c r="AE597" s="940"/>
      <c r="AF597" s="438"/>
      <c r="AH597" s="438"/>
      <c r="AI597" s="437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</row>
    <row r="598" ht="14.25" customHeight="1">
      <c r="A598" s="1"/>
      <c r="B598" s="1"/>
      <c r="C598" s="1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438"/>
      <c r="Q598" s="438"/>
      <c r="R598" s="437"/>
      <c r="S598" s="437"/>
      <c r="T598" s="438"/>
      <c r="U598" s="438"/>
      <c r="V598" s="437"/>
      <c r="W598" s="437"/>
      <c r="X598" s="438"/>
      <c r="Y598" s="438"/>
      <c r="Z598" s="940"/>
      <c r="AA598" s="940"/>
      <c r="AB598" s="438"/>
      <c r="AC598" s="438"/>
      <c r="AD598" s="940"/>
      <c r="AE598" s="940"/>
      <c r="AF598" s="438"/>
      <c r="AH598" s="438"/>
      <c r="AI598" s="437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</row>
    <row r="599" ht="14.25" customHeight="1">
      <c r="A599" s="1"/>
      <c r="B599" s="1"/>
      <c r="C599" s="1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438"/>
      <c r="Q599" s="438"/>
      <c r="R599" s="437"/>
      <c r="S599" s="437"/>
      <c r="T599" s="438"/>
      <c r="U599" s="438"/>
      <c r="V599" s="437"/>
      <c r="W599" s="437"/>
      <c r="X599" s="438"/>
      <c r="Y599" s="438"/>
      <c r="Z599" s="940"/>
      <c r="AA599" s="940"/>
      <c r="AB599" s="438"/>
      <c r="AC599" s="438"/>
      <c r="AD599" s="940"/>
      <c r="AE599" s="940"/>
      <c r="AF599" s="438"/>
      <c r="AH599" s="438"/>
      <c r="AI599" s="437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</row>
    <row r="600" ht="14.25" customHeight="1">
      <c r="A600" s="1"/>
      <c r="B600" s="1"/>
      <c r="C600" s="1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438"/>
      <c r="Q600" s="438"/>
      <c r="R600" s="437"/>
      <c r="S600" s="437"/>
      <c r="T600" s="438"/>
      <c r="U600" s="438"/>
      <c r="V600" s="437"/>
      <c r="W600" s="437"/>
      <c r="X600" s="438"/>
      <c r="Y600" s="438"/>
      <c r="Z600" s="940"/>
      <c r="AA600" s="940"/>
      <c r="AB600" s="438"/>
      <c r="AC600" s="438"/>
      <c r="AD600" s="940"/>
      <c r="AE600" s="940"/>
      <c r="AF600" s="438"/>
      <c r="AH600" s="438"/>
      <c r="AI600" s="437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</row>
    <row r="601" ht="14.25" customHeight="1">
      <c r="A601" s="1"/>
      <c r="B601" s="1"/>
      <c r="C601" s="1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438"/>
      <c r="Q601" s="438"/>
      <c r="R601" s="437"/>
      <c r="S601" s="437"/>
      <c r="T601" s="438"/>
      <c r="U601" s="438"/>
      <c r="V601" s="437"/>
      <c r="W601" s="437"/>
      <c r="X601" s="438"/>
      <c r="Y601" s="438"/>
      <c r="Z601" s="940"/>
      <c r="AA601" s="940"/>
      <c r="AB601" s="438"/>
      <c r="AC601" s="438"/>
      <c r="AD601" s="940"/>
      <c r="AE601" s="940"/>
      <c r="AF601" s="438"/>
      <c r="AH601" s="438"/>
      <c r="AI601" s="437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</row>
    <row r="602" ht="14.25" customHeight="1">
      <c r="A602" s="1"/>
      <c r="B602" s="1"/>
      <c r="C602" s="1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438"/>
      <c r="Q602" s="438"/>
      <c r="R602" s="437"/>
      <c r="S602" s="437"/>
      <c r="T602" s="438"/>
      <c r="U602" s="438"/>
      <c r="V602" s="437"/>
      <c r="W602" s="437"/>
      <c r="X602" s="438"/>
      <c r="Y602" s="438"/>
      <c r="Z602" s="940"/>
      <c r="AA602" s="940"/>
      <c r="AB602" s="438"/>
      <c r="AC602" s="438"/>
      <c r="AD602" s="940"/>
      <c r="AE602" s="940"/>
      <c r="AF602" s="438"/>
      <c r="AH602" s="438"/>
      <c r="AI602" s="437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</row>
    <row r="603" ht="14.25" customHeight="1">
      <c r="A603" s="1"/>
      <c r="B603" s="1"/>
      <c r="C603" s="1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438"/>
      <c r="Q603" s="438"/>
      <c r="R603" s="437"/>
      <c r="S603" s="437"/>
      <c r="T603" s="438"/>
      <c r="U603" s="438"/>
      <c r="V603" s="437"/>
      <c r="W603" s="437"/>
      <c r="X603" s="438"/>
      <c r="Y603" s="438"/>
      <c r="Z603" s="940"/>
      <c r="AA603" s="940"/>
      <c r="AB603" s="438"/>
      <c r="AC603" s="438"/>
      <c r="AD603" s="940"/>
      <c r="AE603" s="940"/>
      <c r="AF603" s="438"/>
      <c r="AH603" s="438"/>
      <c r="AI603" s="437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</row>
    <row r="604" ht="14.25" customHeight="1">
      <c r="A604" s="1"/>
      <c r="B604" s="1"/>
      <c r="C604" s="1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438"/>
      <c r="Q604" s="438"/>
      <c r="R604" s="437"/>
      <c r="S604" s="437"/>
      <c r="T604" s="438"/>
      <c r="U604" s="438"/>
      <c r="V604" s="437"/>
      <c r="W604" s="437"/>
      <c r="X604" s="438"/>
      <c r="Y604" s="438"/>
      <c r="Z604" s="940"/>
      <c r="AA604" s="940"/>
      <c r="AB604" s="438"/>
      <c r="AC604" s="438"/>
      <c r="AD604" s="940"/>
      <c r="AE604" s="940"/>
      <c r="AF604" s="438"/>
      <c r="AH604" s="438"/>
      <c r="AI604" s="437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</row>
    <row r="605" ht="14.25" customHeight="1">
      <c r="A605" s="1"/>
      <c r="B605" s="1"/>
      <c r="C605" s="1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438"/>
      <c r="Q605" s="438"/>
      <c r="R605" s="437"/>
      <c r="S605" s="437"/>
      <c r="T605" s="438"/>
      <c r="U605" s="438"/>
      <c r="V605" s="437"/>
      <c r="W605" s="437"/>
      <c r="X605" s="438"/>
      <c r="Y605" s="438"/>
      <c r="Z605" s="940"/>
      <c r="AA605" s="940"/>
      <c r="AB605" s="438"/>
      <c r="AC605" s="438"/>
      <c r="AD605" s="940"/>
      <c r="AE605" s="940"/>
      <c r="AF605" s="438"/>
      <c r="AH605" s="438"/>
      <c r="AI605" s="437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</row>
    <row r="606" ht="14.25" customHeight="1">
      <c r="A606" s="1"/>
      <c r="B606" s="1"/>
      <c r="C606" s="1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438"/>
      <c r="Q606" s="438"/>
      <c r="R606" s="437"/>
      <c r="S606" s="437"/>
      <c r="T606" s="438"/>
      <c r="U606" s="438"/>
      <c r="V606" s="437"/>
      <c r="W606" s="437"/>
      <c r="X606" s="438"/>
      <c r="Y606" s="438"/>
      <c r="Z606" s="940"/>
      <c r="AA606" s="940"/>
      <c r="AB606" s="438"/>
      <c r="AC606" s="438"/>
      <c r="AD606" s="940"/>
      <c r="AE606" s="940"/>
      <c r="AF606" s="438"/>
      <c r="AH606" s="438"/>
      <c r="AI606" s="437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</row>
    <row r="607" ht="14.25" customHeight="1">
      <c r="A607" s="1"/>
      <c r="B607" s="1"/>
      <c r="C607" s="1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438"/>
      <c r="Q607" s="438"/>
      <c r="R607" s="437"/>
      <c r="S607" s="437"/>
      <c r="T607" s="438"/>
      <c r="U607" s="438"/>
      <c r="V607" s="437"/>
      <c r="W607" s="437"/>
      <c r="X607" s="438"/>
      <c r="Y607" s="438"/>
      <c r="Z607" s="940"/>
      <c r="AA607" s="940"/>
      <c r="AB607" s="438"/>
      <c r="AC607" s="438"/>
      <c r="AD607" s="940"/>
      <c r="AE607" s="940"/>
      <c r="AF607" s="438"/>
      <c r="AH607" s="438"/>
      <c r="AI607" s="437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</row>
    <row r="608" ht="14.25" customHeight="1">
      <c r="A608" s="1"/>
      <c r="B608" s="1"/>
      <c r="C608" s="1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438"/>
      <c r="Q608" s="438"/>
      <c r="R608" s="437"/>
      <c r="S608" s="437"/>
      <c r="T608" s="438"/>
      <c r="U608" s="438"/>
      <c r="V608" s="437"/>
      <c r="W608" s="437"/>
      <c r="X608" s="438"/>
      <c r="Y608" s="438"/>
      <c r="Z608" s="940"/>
      <c r="AA608" s="940"/>
      <c r="AB608" s="438"/>
      <c r="AC608" s="438"/>
      <c r="AD608" s="940"/>
      <c r="AE608" s="940"/>
      <c r="AF608" s="438"/>
      <c r="AH608" s="438"/>
      <c r="AI608" s="437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</row>
    <row r="609" ht="14.25" customHeight="1">
      <c r="A609" s="1"/>
      <c r="B609" s="1"/>
      <c r="C609" s="1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438"/>
      <c r="Q609" s="438"/>
      <c r="R609" s="437"/>
      <c r="S609" s="437"/>
      <c r="T609" s="438"/>
      <c r="U609" s="438"/>
      <c r="V609" s="437"/>
      <c r="W609" s="437"/>
      <c r="X609" s="438"/>
      <c r="Y609" s="438"/>
      <c r="Z609" s="940"/>
      <c r="AA609" s="940"/>
      <c r="AB609" s="438"/>
      <c r="AC609" s="438"/>
      <c r="AD609" s="940"/>
      <c r="AE609" s="940"/>
      <c r="AF609" s="438"/>
      <c r="AH609" s="438"/>
      <c r="AI609" s="437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</row>
    <row r="610" ht="14.25" customHeight="1">
      <c r="A610" s="1"/>
      <c r="B610" s="1"/>
      <c r="C610" s="1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438"/>
      <c r="Q610" s="438"/>
      <c r="R610" s="437"/>
      <c r="S610" s="437"/>
      <c r="T610" s="438"/>
      <c r="U610" s="438"/>
      <c r="V610" s="437"/>
      <c r="W610" s="437"/>
      <c r="X610" s="438"/>
      <c r="Y610" s="438"/>
      <c r="Z610" s="940"/>
      <c r="AA610" s="940"/>
      <c r="AB610" s="438"/>
      <c r="AC610" s="438"/>
      <c r="AD610" s="940"/>
      <c r="AE610" s="940"/>
      <c r="AF610" s="438"/>
      <c r="AH610" s="438"/>
      <c r="AI610" s="437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</row>
    <row r="611" ht="14.25" customHeight="1">
      <c r="A611" s="1"/>
      <c r="B611" s="1"/>
      <c r="C611" s="1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438"/>
      <c r="Q611" s="438"/>
      <c r="R611" s="437"/>
      <c r="S611" s="437"/>
      <c r="T611" s="438"/>
      <c r="U611" s="438"/>
      <c r="V611" s="437"/>
      <c r="W611" s="437"/>
      <c r="X611" s="438"/>
      <c r="Y611" s="438"/>
      <c r="Z611" s="940"/>
      <c r="AA611" s="940"/>
      <c r="AB611" s="438"/>
      <c r="AC611" s="438"/>
      <c r="AD611" s="940"/>
      <c r="AE611" s="940"/>
      <c r="AF611" s="438"/>
      <c r="AH611" s="438"/>
      <c r="AI611" s="437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</row>
    <row r="612" ht="14.25" customHeight="1">
      <c r="A612" s="1"/>
      <c r="B612" s="1"/>
      <c r="C612" s="1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438"/>
      <c r="Q612" s="438"/>
      <c r="R612" s="437"/>
      <c r="S612" s="437"/>
      <c r="T612" s="438"/>
      <c r="U612" s="438"/>
      <c r="V612" s="437"/>
      <c r="W612" s="437"/>
      <c r="X612" s="438"/>
      <c r="Y612" s="438"/>
      <c r="Z612" s="940"/>
      <c r="AA612" s="940"/>
      <c r="AB612" s="438"/>
      <c r="AC612" s="438"/>
      <c r="AD612" s="940"/>
      <c r="AE612" s="940"/>
      <c r="AF612" s="438"/>
      <c r="AH612" s="438"/>
      <c r="AI612" s="437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</row>
    <row r="613" ht="14.25" customHeight="1">
      <c r="A613" s="1"/>
      <c r="B613" s="1"/>
      <c r="C613" s="1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438"/>
      <c r="Q613" s="438"/>
      <c r="R613" s="437"/>
      <c r="S613" s="437"/>
      <c r="T613" s="438"/>
      <c r="U613" s="438"/>
      <c r="V613" s="437"/>
      <c r="W613" s="437"/>
      <c r="X613" s="438"/>
      <c r="Y613" s="438"/>
      <c r="Z613" s="940"/>
      <c r="AA613" s="940"/>
      <c r="AB613" s="438"/>
      <c r="AC613" s="438"/>
      <c r="AD613" s="940"/>
      <c r="AE613" s="940"/>
      <c r="AF613" s="438"/>
      <c r="AH613" s="438"/>
      <c r="AI613" s="437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</row>
    <row r="614" ht="14.25" customHeight="1">
      <c r="A614" s="1"/>
      <c r="B614" s="1"/>
      <c r="C614" s="1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438"/>
      <c r="Q614" s="438"/>
      <c r="R614" s="437"/>
      <c r="S614" s="437"/>
      <c r="T614" s="438"/>
      <c r="U614" s="438"/>
      <c r="V614" s="437"/>
      <c r="W614" s="437"/>
      <c r="X614" s="438"/>
      <c r="Y614" s="438"/>
      <c r="Z614" s="940"/>
      <c r="AA614" s="940"/>
      <c r="AB614" s="438"/>
      <c r="AC614" s="438"/>
      <c r="AD614" s="940"/>
      <c r="AE614" s="940"/>
      <c r="AF614" s="438"/>
      <c r="AH614" s="438"/>
      <c r="AI614" s="437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</row>
    <row r="615" ht="14.25" customHeight="1">
      <c r="A615" s="1"/>
      <c r="B615" s="1"/>
      <c r="C615" s="1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438"/>
      <c r="Q615" s="438"/>
      <c r="R615" s="437"/>
      <c r="S615" s="437"/>
      <c r="T615" s="438"/>
      <c r="U615" s="438"/>
      <c r="V615" s="437"/>
      <c r="W615" s="437"/>
      <c r="X615" s="438"/>
      <c r="Y615" s="438"/>
      <c r="Z615" s="940"/>
      <c r="AA615" s="940"/>
      <c r="AB615" s="438"/>
      <c r="AC615" s="438"/>
      <c r="AD615" s="940"/>
      <c r="AE615" s="940"/>
      <c r="AF615" s="438"/>
      <c r="AH615" s="438"/>
      <c r="AI615" s="437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</row>
    <row r="616" ht="14.25" customHeight="1">
      <c r="A616" s="1"/>
      <c r="B616" s="1"/>
      <c r="C616" s="1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438"/>
      <c r="Q616" s="438"/>
      <c r="R616" s="437"/>
      <c r="S616" s="437"/>
      <c r="T616" s="438"/>
      <c r="U616" s="438"/>
      <c r="V616" s="437"/>
      <c r="W616" s="437"/>
      <c r="X616" s="438"/>
      <c r="Y616" s="438"/>
      <c r="Z616" s="940"/>
      <c r="AA616" s="940"/>
      <c r="AB616" s="438"/>
      <c r="AC616" s="438"/>
      <c r="AD616" s="940"/>
      <c r="AE616" s="940"/>
      <c r="AF616" s="438"/>
      <c r="AH616" s="438"/>
      <c r="AI616" s="437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</row>
    <row r="617" ht="14.25" customHeight="1">
      <c r="A617" s="1"/>
      <c r="B617" s="1"/>
      <c r="C617" s="1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438"/>
      <c r="Q617" s="438"/>
      <c r="R617" s="437"/>
      <c r="S617" s="437"/>
      <c r="T617" s="438"/>
      <c r="U617" s="438"/>
      <c r="V617" s="437"/>
      <c r="W617" s="437"/>
      <c r="X617" s="438"/>
      <c r="Y617" s="438"/>
      <c r="Z617" s="940"/>
      <c r="AA617" s="940"/>
      <c r="AB617" s="438"/>
      <c r="AC617" s="438"/>
      <c r="AD617" s="940"/>
      <c r="AE617" s="940"/>
      <c r="AF617" s="438"/>
      <c r="AH617" s="438"/>
      <c r="AI617" s="437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</row>
    <row r="618" ht="14.25" customHeight="1">
      <c r="A618" s="1"/>
      <c r="B618" s="1"/>
      <c r="C618" s="1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438"/>
      <c r="Q618" s="438"/>
      <c r="R618" s="437"/>
      <c r="S618" s="437"/>
      <c r="T618" s="438"/>
      <c r="U618" s="438"/>
      <c r="V618" s="437"/>
      <c r="W618" s="437"/>
      <c r="X618" s="438"/>
      <c r="Y618" s="438"/>
      <c r="Z618" s="940"/>
      <c r="AA618" s="940"/>
      <c r="AB618" s="438"/>
      <c r="AC618" s="438"/>
      <c r="AD618" s="940"/>
      <c r="AE618" s="940"/>
      <c r="AF618" s="438"/>
      <c r="AH618" s="438"/>
      <c r="AI618" s="437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</row>
    <row r="619" ht="14.25" customHeight="1">
      <c r="A619" s="1"/>
      <c r="B619" s="1"/>
      <c r="C619" s="1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438"/>
      <c r="Q619" s="438"/>
      <c r="R619" s="437"/>
      <c r="S619" s="437"/>
      <c r="T619" s="438"/>
      <c r="U619" s="438"/>
      <c r="V619" s="437"/>
      <c r="W619" s="437"/>
      <c r="X619" s="438"/>
      <c r="Y619" s="438"/>
      <c r="Z619" s="940"/>
      <c r="AA619" s="940"/>
      <c r="AB619" s="438"/>
      <c r="AC619" s="438"/>
      <c r="AD619" s="940"/>
      <c r="AE619" s="940"/>
      <c r="AF619" s="438"/>
      <c r="AH619" s="438"/>
      <c r="AI619" s="437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</row>
    <row r="620" ht="14.25" customHeight="1">
      <c r="A620" s="1"/>
      <c r="B620" s="1"/>
      <c r="C620" s="1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438"/>
      <c r="Q620" s="438"/>
      <c r="R620" s="437"/>
      <c r="S620" s="437"/>
      <c r="T620" s="438"/>
      <c r="U620" s="438"/>
      <c r="V620" s="437"/>
      <c r="W620" s="437"/>
      <c r="X620" s="438"/>
      <c r="Y620" s="438"/>
      <c r="Z620" s="940"/>
      <c r="AA620" s="940"/>
      <c r="AB620" s="438"/>
      <c r="AC620" s="438"/>
      <c r="AD620" s="940"/>
      <c r="AE620" s="940"/>
      <c r="AF620" s="438"/>
      <c r="AH620" s="438"/>
      <c r="AI620" s="437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</row>
    <row r="621" ht="14.25" customHeight="1">
      <c r="A621" s="1"/>
      <c r="B621" s="1"/>
      <c r="C621" s="1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438"/>
      <c r="Q621" s="438"/>
      <c r="R621" s="437"/>
      <c r="S621" s="437"/>
      <c r="T621" s="438"/>
      <c r="U621" s="438"/>
      <c r="V621" s="437"/>
      <c r="W621" s="437"/>
      <c r="X621" s="438"/>
      <c r="Y621" s="438"/>
      <c r="Z621" s="940"/>
      <c r="AA621" s="940"/>
      <c r="AB621" s="438"/>
      <c r="AC621" s="438"/>
      <c r="AD621" s="940"/>
      <c r="AE621" s="940"/>
      <c r="AF621" s="438"/>
      <c r="AH621" s="438"/>
      <c r="AI621" s="437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</row>
    <row r="622" ht="14.25" customHeight="1">
      <c r="A622" s="1"/>
      <c r="B622" s="1"/>
      <c r="C622" s="1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438"/>
      <c r="Q622" s="438"/>
      <c r="R622" s="437"/>
      <c r="S622" s="437"/>
      <c r="T622" s="438"/>
      <c r="U622" s="438"/>
      <c r="V622" s="437"/>
      <c r="W622" s="437"/>
      <c r="X622" s="438"/>
      <c r="Y622" s="438"/>
      <c r="Z622" s="940"/>
      <c r="AA622" s="940"/>
      <c r="AB622" s="438"/>
      <c r="AC622" s="438"/>
      <c r="AD622" s="940"/>
      <c r="AE622" s="940"/>
      <c r="AF622" s="438"/>
      <c r="AH622" s="438"/>
      <c r="AI622" s="437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</row>
    <row r="623" ht="14.25" customHeight="1">
      <c r="A623" s="1"/>
      <c r="B623" s="1"/>
      <c r="C623" s="1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438"/>
      <c r="Q623" s="438"/>
      <c r="R623" s="437"/>
      <c r="S623" s="437"/>
      <c r="T623" s="438"/>
      <c r="U623" s="438"/>
      <c r="V623" s="437"/>
      <c r="W623" s="437"/>
      <c r="X623" s="438"/>
      <c r="Y623" s="438"/>
      <c r="Z623" s="940"/>
      <c r="AA623" s="940"/>
      <c r="AB623" s="438"/>
      <c r="AC623" s="438"/>
      <c r="AD623" s="940"/>
      <c r="AE623" s="940"/>
      <c r="AF623" s="438"/>
      <c r="AH623" s="438"/>
      <c r="AI623" s="437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</row>
    <row r="624" ht="14.25" customHeight="1">
      <c r="A624" s="1"/>
      <c r="B624" s="1"/>
      <c r="C624" s="1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438"/>
      <c r="Q624" s="438"/>
      <c r="R624" s="437"/>
      <c r="S624" s="437"/>
      <c r="T624" s="438"/>
      <c r="U624" s="438"/>
      <c r="V624" s="437"/>
      <c r="W624" s="437"/>
      <c r="X624" s="438"/>
      <c r="Y624" s="438"/>
      <c r="Z624" s="940"/>
      <c r="AA624" s="940"/>
      <c r="AB624" s="438"/>
      <c r="AC624" s="438"/>
      <c r="AD624" s="940"/>
      <c r="AE624" s="940"/>
      <c r="AF624" s="438"/>
      <c r="AH624" s="438"/>
      <c r="AI624" s="437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</row>
    <row r="625" ht="14.25" customHeight="1">
      <c r="A625" s="1"/>
      <c r="B625" s="1"/>
      <c r="C625" s="1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438"/>
      <c r="Q625" s="438"/>
      <c r="R625" s="437"/>
      <c r="S625" s="437"/>
      <c r="T625" s="438"/>
      <c r="U625" s="438"/>
      <c r="V625" s="437"/>
      <c r="W625" s="437"/>
      <c r="X625" s="438"/>
      <c r="Y625" s="438"/>
      <c r="Z625" s="940"/>
      <c r="AA625" s="940"/>
      <c r="AB625" s="438"/>
      <c r="AC625" s="438"/>
      <c r="AD625" s="940"/>
      <c r="AE625" s="940"/>
      <c r="AF625" s="438"/>
      <c r="AH625" s="438"/>
      <c r="AI625" s="437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</row>
    <row r="626" ht="14.25" customHeight="1">
      <c r="A626" s="1"/>
      <c r="B626" s="1"/>
      <c r="C626" s="1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438"/>
      <c r="Q626" s="438"/>
      <c r="R626" s="437"/>
      <c r="S626" s="437"/>
      <c r="T626" s="438"/>
      <c r="U626" s="438"/>
      <c r="V626" s="437"/>
      <c r="W626" s="437"/>
      <c r="X626" s="438"/>
      <c r="Y626" s="438"/>
      <c r="Z626" s="940"/>
      <c r="AA626" s="940"/>
      <c r="AB626" s="438"/>
      <c r="AC626" s="438"/>
      <c r="AD626" s="940"/>
      <c r="AE626" s="940"/>
      <c r="AF626" s="438"/>
      <c r="AH626" s="438"/>
      <c r="AI626" s="437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</row>
    <row r="627" ht="14.25" customHeight="1">
      <c r="A627" s="1"/>
      <c r="B627" s="1"/>
      <c r="C627" s="1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438"/>
      <c r="Q627" s="438"/>
      <c r="R627" s="437"/>
      <c r="S627" s="437"/>
      <c r="T627" s="438"/>
      <c r="U627" s="438"/>
      <c r="V627" s="437"/>
      <c r="W627" s="437"/>
      <c r="X627" s="438"/>
      <c r="Y627" s="438"/>
      <c r="Z627" s="940"/>
      <c r="AA627" s="940"/>
      <c r="AB627" s="438"/>
      <c r="AC627" s="438"/>
      <c r="AD627" s="940"/>
      <c r="AE627" s="940"/>
      <c r="AF627" s="438"/>
      <c r="AH627" s="438"/>
      <c r="AI627" s="437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</row>
    <row r="628" ht="14.25" customHeight="1">
      <c r="A628" s="1"/>
      <c r="B628" s="1"/>
      <c r="C628" s="1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438"/>
      <c r="Q628" s="438"/>
      <c r="R628" s="437"/>
      <c r="S628" s="437"/>
      <c r="T628" s="438"/>
      <c r="U628" s="438"/>
      <c r="V628" s="437"/>
      <c r="W628" s="437"/>
      <c r="X628" s="438"/>
      <c r="Y628" s="438"/>
      <c r="Z628" s="940"/>
      <c r="AA628" s="940"/>
      <c r="AB628" s="438"/>
      <c r="AC628" s="438"/>
      <c r="AD628" s="940"/>
      <c r="AE628" s="940"/>
      <c r="AF628" s="438"/>
      <c r="AH628" s="438"/>
      <c r="AI628" s="437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</row>
    <row r="629" ht="14.25" customHeight="1">
      <c r="A629" s="1"/>
      <c r="B629" s="1"/>
      <c r="C629" s="1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438"/>
      <c r="Q629" s="438"/>
      <c r="R629" s="437"/>
      <c r="S629" s="437"/>
      <c r="T629" s="438"/>
      <c r="U629" s="438"/>
      <c r="V629" s="437"/>
      <c r="W629" s="437"/>
      <c r="X629" s="438"/>
      <c r="Y629" s="438"/>
      <c r="Z629" s="940"/>
      <c r="AA629" s="940"/>
      <c r="AB629" s="438"/>
      <c r="AC629" s="438"/>
      <c r="AD629" s="940"/>
      <c r="AE629" s="940"/>
      <c r="AF629" s="438"/>
      <c r="AH629" s="438"/>
      <c r="AI629" s="437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</row>
    <row r="630" ht="14.25" customHeight="1">
      <c r="A630" s="1"/>
      <c r="B630" s="1"/>
      <c r="C630" s="1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438"/>
      <c r="Q630" s="438"/>
      <c r="R630" s="437"/>
      <c r="S630" s="437"/>
      <c r="T630" s="438"/>
      <c r="U630" s="438"/>
      <c r="V630" s="437"/>
      <c r="W630" s="437"/>
      <c r="X630" s="438"/>
      <c r="Y630" s="438"/>
      <c r="Z630" s="940"/>
      <c r="AA630" s="940"/>
      <c r="AB630" s="438"/>
      <c r="AC630" s="438"/>
      <c r="AD630" s="940"/>
      <c r="AE630" s="940"/>
      <c r="AF630" s="438"/>
      <c r="AH630" s="438"/>
      <c r="AI630" s="437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</row>
    <row r="631" ht="14.25" customHeight="1">
      <c r="A631" s="1"/>
      <c r="B631" s="1"/>
      <c r="C631" s="1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438"/>
      <c r="Q631" s="438"/>
      <c r="R631" s="437"/>
      <c r="S631" s="437"/>
      <c r="T631" s="438"/>
      <c r="U631" s="438"/>
      <c r="V631" s="437"/>
      <c r="W631" s="437"/>
      <c r="X631" s="438"/>
      <c r="Y631" s="438"/>
      <c r="Z631" s="940"/>
      <c r="AA631" s="940"/>
      <c r="AB631" s="438"/>
      <c r="AC631" s="438"/>
      <c r="AD631" s="940"/>
      <c r="AE631" s="940"/>
      <c r="AF631" s="438"/>
      <c r="AH631" s="438"/>
      <c r="AI631" s="437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</row>
    <row r="632" ht="14.25" customHeight="1">
      <c r="A632" s="1"/>
      <c r="B632" s="1"/>
      <c r="C632" s="1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438"/>
      <c r="Q632" s="438"/>
      <c r="R632" s="437"/>
      <c r="S632" s="437"/>
      <c r="T632" s="438"/>
      <c r="U632" s="438"/>
      <c r="V632" s="437"/>
      <c r="W632" s="437"/>
      <c r="X632" s="438"/>
      <c r="Y632" s="438"/>
      <c r="Z632" s="940"/>
      <c r="AA632" s="940"/>
      <c r="AB632" s="438"/>
      <c r="AC632" s="438"/>
      <c r="AD632" s="940"/>
      <c r="AE632" s="940"/>
      <c r="AF632" s="438"/>
      <c r="AH632" s="438"/>
      <c r="AI632" s="437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</row>
    <row r="633" ht="14.25" customHeight="1">
      <c r="A633" s="1"/>
      <c r="B633" s="1"/>
      <c r="C633" s="1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438"/>
      <c r="Q633" s="438"/>
      <c r="R633" s="437"/>
      <c r="S633" s="437"/>
      <c r="T633" s="438"/>
      <c r="U633" s="438"/>
      <c r="V633" s="437"/>
      <c r="W633" s="437"/>
      <c r="X633" s="438"/>
      <c r="Y633" s="438"/>
      <c r="Z633" s="940"/>
      <c r="AA633" s="940"/>
      <c r="AB633" s="438"/>
      <c r="AC633" s="438"/>
      <c r="AD633" s="940"/>
      <c r="AE633" s="940"/>
      <c r="AF633" s="438"/>
      <c r="AH633" s="438"/>
      <c r="AI633" s="437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</row>
    <row r="634" ht="14.25" customHeight="1">
      <c r="A634" s="1"/>
      <c r="B634" s="1"/>
      <c r="C634" s="1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438"/>
      <c r="Q634" s="438"/>
      <c r="R634" s="437"/>
      <c r="S634" s="437"/>
      <c r="T634" s="438"/>
      <c r="U634" s="438"/>
      <c r="V634" s="437"/>
      <c r="W634" s="437"/>
      <c r="X634" s="438"/>
      <c r="Y634" s="438"/>
      <c r="Z634" s="940"/>
      <c r="AA634" s="940"/>
      <c r="AB634" s="438"/>
      <c r="AC634" s="438"/>
      <c r="AD634" s="940"/>
      <c r="AE634" s="940"/>
      <c r="AF634" s="438"/>
      <c r="AH634" s="438"/>
      <c r="AI634" s="437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</row>
    <row r="635" ht="14.25" customHeight="1">
      <c r="A635" s="1"/>
      <c r="B635" s="1"/>
      <c r="C635" s="1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438"/>
      <c r="Q635" s="438"/>
      <c r="R635" s="437"/>
      <c r="S635" s="437"/>
      <c r="T635" s="438"/>
      <c r="U635" s="438"/>
      <c r="V635" s="437"/>
      <c r="W635" s="437"/>
      <c r="X635" s="438"/>
      <c r="Y635" s="438"/>
      <c r="Z635" s="940"/>
      <c r="AA635" s="940"/>
      <c r="AB635" s="438"/>
      <c r="AC635" s="438"/>
      <c r="AD635" s="940"/>
      <c r="AE635" s="940"/>
      <c r="AF635" s="438"/>
      <c r="AH635" s="438"/>
      <c r="AI635" s="437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</row>
    <row r="636" ht="14.25" customHeight="1">
      <c r="A636" s="1"/>
      <c r="B636" s="1"/>
      <c r="C636" s="1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438"/>
      <c r="Q636" s="438"/>
      <c r="R636" s="437"/>
      <c r="S636" s="437"/>
      <c r="T636" s="438"/>
      <c r="U636" s="438"/>
      <c r="V636" s="437"/>
      <c r="W636" s="437"/>
      <c r="X636" s="438"/>
      <c r="Y636" s="438"/>
      <c r="Z636" s="940"/>
      <c r="AA636" s="940"/>
      <c r="AB636" s="438"/>
      <c r="AC636" s="438"/>
      <c r="AD636" s="940"/>
      <c r="AE636" s="940"/>
      <c r="AF636" s="438"/>
      <c r="AH636" s="438"/>
      <c r="AI636" s="437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</row>
    <row r="637" ht="14.25" customHeight="1">
      <c r="A637" s="1"/>
      <c r="B637" s="1"/>
      <c r="C637" s="1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438"/>
      <c r="Q637" s="438"/>
      <c r="R637" s="437"/>
      <c r="S637" s="437"/>
      <c r="T637" s="438"/>
      <c r="U637" s="438"/>
      <c r="V637" s="437"/>
      <c r="W637" s="437"/>
      <c r="X637" s="438"/>
      <c r="Y637" s="438"/>
      <c r="Z637" s="940"/>
      <c r="AA637" s="940"/>
      <c r="AB637" s="438"/>
      <c r="AC637" s="438"/>
      <c r="AD637" s="940"/>
      <c r="AE637" s="940"/>
      <c r="AF637" s="438"/>
      <c r="AH637" s="438"/>
      <c r="AI637" s="437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</row>
    <row r="638" ht="14.25" customHeight="1">
      <c r="A638" s="1"/>
      <c r="B638" s="1"/>
      <c r="C638" s="1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438"/>
      <c r="Q638" s="438"/>
      <c r="R638" s="437"/>
      <c r="S638" s="437"/>
      <c r="T638" s="438"/>
      <c r="U638" s="438"/>
      <c r="V638" s="437"/>
      <c r="W638" s="437"/>
      <c r="X638" s="438"/>
      <c r="Y638" s="438"/>
      <c r="Z638" s="940"/>
      <c r="AA638" s="940"/>
      <c r="AB638" s="438"/>
      <c r="AC638" s="438"/>
      <c r="AD638" s="940"/>
      <c r="AE638" s="940"/>
      <c r="AF638" s="438"/>
      <c r="AH638" s="438"/>
      <c r="AI638" s="437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</row>
    <row r="639" ht="14.25" customHeight="1">
      <c r="A639" s="1"/>
      <c r="B639" s="1"/>
      <c r="C639" s="1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438"/>
      <c r="Q639" s="438"/>
      <c r="R639" s="437"/>
      <c r="S639" s="437"/>
      <c r="T639" s="438"/>
      <c r="U639" s="438"/>
      <c r="V639" s="437"/>
      <c r="W639" s="437"/>
      <c r="X639" s="438"/>
      <c r="Y639" s="438"/>
      <c r="Z639" s="940"/>
      <c r="AA639" s="940"/>
      <c r="AB639" s="438"/>
      <c r="AC639" s="438"/>
      <c r="AD639" s="940"/>
      <c r="AE639" s="940"/>
      <c r="AF639" s="438"/>
      <c r="AH639" s="438"/>
      <c r="AI639" s="437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</row>
    <row r="640" ht="14.25" customHeight="1">
      <c r="A640" s="1"/>
      <c r="B640" s="1"/>
      <c r="C640" s="1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438"/>
      <c r="Q640" s="438"/>
      <c r="R640" s="437"/>
      <c r="S640" s="437"/>
      <c r="T640" s="438"/>
      <c r="U640" s="438"/>
      <c r="V640" s="437"/>
      <c r="W640" s="437"/>
      <c r="X640" s="438"/>
      <c r="Y640" s="438"/>
      <c r="Z640" s="940"/>
      <c r="AA640" s="940"/>
      <c r="AB640" s="438"/>
      <c r="AC640" s="438"/>
      <c r="AD640" s="940"/>
      <c r="AE640" s="940"/>
      <c r="AF640" s="438"/>
      <c r="AH640" s="438"/>
      <c r="AI640" s="437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</row>
    <row r="641" ht="14.25" customHeight="1">
      <c r="A641" s="1"/>
      <c r="B641" s="1"/>
      <c r="C641" s="1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438"/>
      <c r="Q641" s="438"/>
      <c r="R641" s="437"/>
      <c r="S641" s="437"/>
      <c r="T641" s="438"/>
      <c r="U641" s="438"/>
      <c r="V641" s="437"/>
      <c r="W641" s="437"/>
      <c r="X641" s="438"/>
      <c r="Y641" s="438"/>
      <c r="Z641" s="940"/>
      <c r="AA641" s="940"/>
      <c r="AB641" s="438"/>
      <c r="AC641" s="438"/>
      <c r="AD641" s="940"/>
      <c r="AE641" s="940"/>
      <c r="AF641" s="438"/>
      <c r="AH641" s="438"/>
      <c r="AI641" s="437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</row>
    <row r="642" ht="14.25" customHeight="1">
      <c r="A642" s="1"/>
      <c r="B642" s="1"/>
      <c r="C642" s="1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438"/>
      <c r="Q642" s="438"/>
      <c r="R642" s="437"/>
      <c r="S642" s="437"/>
      <c r="T642" s="438"/>
      <c r="U642" s="438"/>
      <c r="V642" s="437"/>
      <c r="W642" s="437"/>
      <c r="X642" s="438"/>
      <c r="Y642" s="438"/>
      <c r="Z642" s="940"/>
      <c r="AA642" s="940"/>
      <c r="AB642" s="438"/>
      <c r="AC642" s="438"/>
      <c r="AD642" s="940"/>
      <c r="AE642" s="940"/>
      <c r="AF642" s="438"/>
      <c r="AH642" s="438"/>
      <c r="AI642" s="437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</row>
    <row r="643" ht="14.25" customHeight="1">
      <c r="A643" s="1"/>
      <c r="B643" s="1"/>
      <c r="C643" s="1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438"/>
      <c r="Q643" s="438"/>
      <c r="R643" s="437"/>
      <c r="S643" s="437"/>
      <c r="T643" s="438"/>
      <c r="U643" s="438"/>
      <c r="V643" s="437"/>
      <c r="W643" s="437"/>
      <c r="X643" s="438"/>
      <c r="Y643" s="438"/>
      <c r="Z643" s="940"/>
      <c r="AA643" s="940"/>
      <c r="AB643" s="438"/>
      <c r="AC643" s="438"/>
      <c r="AD643" s="940"/>
      <c r="AE643" s="940"/>
      <c r="AF643" s="438"/>
      <c r="AH643" s="438"/>
      <c r="AI643" s="437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</row>
    <row r="644" ht="14.25" customHeight="1">
      <c r="A644" s="1"/>
      <c r="B644" s="1"/>
      <c r="C644" s="1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438"/>
      <c r="Q644" s="438"/>
      <c r="R644" s="437"/>
      <c r="S644" s="437"/>
      <c r="T644" s="438"/>
      <c r="U644" s="438"/>
      <c r="V644" s="437"/>
      <c r="W644" s="437"/>
      <c r="X644" s="438"/>
      <c r="Y644" s="438"/>
      <c r="Z644" s="940"/>
      <c r="AA644" s="940"/>
      <c r="AB644" s="438"/>
      <c r="AC644" s="438"/>
      <c r="AD644" s="940"/>
      <c r="AE644" s="940"/>
      <c r="AF644" s="438"/>
      <c r="AH644" s="438"/>
      <c r="AI644" s="437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</row>
    <row r="645" ht="14.25" customHeight="1">
      <c r="A645" s="1"/>
      <c r="B645" s="1"/>
      <c r="C645" s="1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438"/>
      <c r="Q645" s="438"/>
      <c r="R645" s="437"/>
      <c r="S645" s="437"/>
      <c r="T645" s="438"/>
      <c r="U645" s="438"/>
      <c r="V645" s="437"/>
      <c r="W645" s="437"/>
      <c r="X645" s="438"/>
      <c r="Y645" s="438"/>
      <c r="Z645" s="940"/>
      <c r="AA645" s="940"/>
      <c r="AB645" s="438"/>
      <c r="AC645" s="438"/>
      <c r="AD645" s="940"/>
      <c r="AE645" s="940"/>
      <c r="AF645" s="438"/>
      <c r="AH645" s="438"/>
      <c r="AI645" s="437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</row>
    <row r="646" ht="14.25" customHeight="1">
      <c r="A646" s="1"/>
      <c r="B646" s="1"/>
      <c r="C646" s="1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438"/>
      <c r="Q646" s="438"/>
      <c r="R646" s="437"/>
      <c r="S646" s="437"/>
      <c r="T646" s="438"/>
      <c r="U646" s="438"/>
      <c r="V646" s="437"/>
      <c r="W646" s="437"/>
      <c r="X646" s="438"/>
      <c r="Y646" s="438"/>
      <c r="Z646" s="940"/>
      <c r="AA646" s="940"/>
      <c r="AB646" s="438"/>
      <c r="AC646" s="438"/>
      <c r="AD646" s="940"/>
      <c r="AE646" s="940"/>
      <c r="AF646" s="438"/>
      <c r="AH646" s="438"/>
      <c r="AI646" s="437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</row>
    <row r="647" ht="14.25" customHeight="1">
      <c r="A647" s="1"/>
      <c r="B647" s="1"/>
      <c r="C647" s="1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438"/>
      <c r="Q647" s="438"/>
      <c r="R647" s="437"/>
      <c r="S647" s="437"/>
      <c r="T647" s="438"/>
      <c r="U647" s="438"/>
      <c r="V647" s="437"/>
      <c r="W647" s="437"/>
      <c r="X647" s="438"/>
      <c r="Y647" s="438"/>
      <c r="Z647" s="940"/>
      <c r="AA647" s="940"/>
      <c r="AB647" s="438"/>
      <c r="AC647" s="438"/>
      <c r="AD647" s="940"/>
      <c r="AE647" s="940"/>
      <c r="AF647" s="438"/>
      <c r="AH647" s="438"/>
      <c r="AI647" s="437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</row>
    <row r="648" ht="14.25" customHeight="1">
      <c r="A648" s="1"/>
      <c r="B648" s="1"/>
      <c r="C648" s="1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438"/>
      <c r="Q648" s="438"/>
      <c r="R648" s="437"/>
      <c r="S648" s="437"/>
      <c r="T648" s="438"/>
      <c r="U648" s="438"/>
      <c r="V648" s="437"/>
      <c r="W648" s="437"/>
      <c r="X648" s="438"/>
      <c r="Y648" s="438"/>
      <c r="Z648" s="940"/>
      <c r="AA648" s="940"/>
      <c r="AB648" s="438"/>
      <c r="AC648" s="438"/>
      <c r="AD648" s="940"/>
      <c r="AE648" s="940"/>
      <c r="AF648" s="438"/>
      <c r="AH648" s="438"/>
      <c r="AI648" s="437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</row>
    <row r="649" ht="14.25" customHeight="1">
      <c r="A649" s="1"/>
      <c r="B649" s="1"/>
      <c r="C649" s="1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438"/>
      <c r="Q649" s="438"/>
      <c r="R649" s="437"/>
      <c r="S649" s="437"/>
      <c r="T649" s="438"/>
      <c r="U649" s="438"/>
      <c r="V649" s="437"/>
      <c r="W649" s="437"/>
      <c r="X649" s="438"/>
      <c r="Y649" s="438"/>
      <c r="Z649" s="940"/>
      <c r="AA649" s="940"/>
      <c r="AB649" s="438"/>
      <c r="AC649" s="438"/>
      <c r="AD649" s="940"/>
      <c r="AE649" s="940"/>
      <c r="AF649" s="438"/>
      <c r="AH649" s="438"/>
      <c r="AI649" s="437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</row>
    <row r="650" ht="14.25" customHeight="1">
      <c r="A650" s="1"/>
      <c r="B650" s="1"/>
      <c r="C650" s="1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438"/>
      <c r="Q650" s="438"/>
      <c r="R650" s="437"/>
      <c r="S650" s="437"/>
      <c r="T650" s="438"/>
      <c r="U650" s="438"/>
      <c r="V650" s="437"/>
      <c r="W650" s="437"/>
      <c r="X650" s="438"/>
      <c r="Y650" s="438"/>
      <c r="Z650" s="940"/>
      <c r="AA650" s="940"/>
      <c r="AB650" s="438"/>
      <c r="AC650" s="438"/>
      <c r="AD650" s="940"/>
      <c r="AE650" s="940"/>
      <c r="AF650" s="438"/>
      <c r="AH650" s="438"/>
      <c r="AI650" s="437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</row>
    <row r="651" ht="14.25" customHeight="1">
      <c r="A651" s="1"/>
      <c r="B651" s="1"/>
      <c r="C651" s="1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438"/>
      <c r="Q651" s="438"/>
      <c r="R651" s="437"/>
      <c r="S651" s="437"/>
      <c r="T651" s="438"/>
      <c r="U651" s="438"/>
      <c r="V651" s="437"/>
      <c r="W651" s="437"/>
      <c r="X651" s="438"/>
      <c r="Y651" s="438"/>
      <c r="Z651" s="940"/>
      <c r="AA651" s="940"/>
      <c r="AB651" s="438"/>
      <c r="AC651" s="438"/>
      <c r="AD651" s="940"/>
      <c r="AE651" s="940"/>
      <c r="AF651" s="438"/>
      <c r="AH651" s="438"/>
      <c r="AI651" s="437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</row>
    <row r="652" ht="14.25" customHeight="1">
      <c r="A652" s="1"/>
      <c r="B652" s="1"/>
      <c r="C652" s="1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438"/>
      <c r="Q652" s="438"/>
      <c r="R652" s="437"/>
      <c r="S652" s="437"/>
      <c r="T652" s="438"/>
      <c r="U652" s="438"/>
      <c r="V652" s="437"/>
      <c r="W652" s="437"/>
      <c r="X652" s="438"/>
      <c r="Y652" s="438"/>
      <c r="Z652" s="940"/>
      <c r="AA652" s="940"/>
      <c r="AB652" s="438"/>
      <c r="AC652" s="438"/>
      <c r="AD652" s="940"/>
      <c r="AE652" s="940"/>
      <c r="AF652" s="438"/>
      <c r="AH652" s="438"/>
      <c r="AI652" s="437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</row>
    <row r="653" ht="14.25" customHeight="1">
      <c r="A653" s="1"/>
      <c r="B653" s="1"/>
      <c r="C653" s="1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438"/>
      <c r="Q653" s="438"/>
      <c r="R653" s="437"/>
      <c r="S653" s="437"/>
      <c r="T653" s="438"/>
      <c r="U653" s="438"/>
      <c r="V653" s="437"/>
      <c r="W653" s="437"/>
      <c r="X653" s="438"/>
      <c r="Y653" s="438"/>
      <c r="Z653" s="940"/>
      <c r="AA653" s="940"/>
      <c r="AB653" s="438"/>
      <c r="AC653" s="438"/>
      <c r="AD653" s="940"/>
      <c r="AE653" s="940"/>
      <c r="AF653" s="438"/>
      <c r="AH653" s="438"/>
      <c r="AI653" s="437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</row>
    <row r="654" ht="14.25" customHeight="1">
      <c r="A654" s="1"/>
      <c r="B654" s="1"/>
      <c r="C654" s="1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438"/>
      <c r="Q654" s="438"/>
      <c r="R654" s="437"/>
      <c r="S654" s="437"/>
      <c r="T654" s="438"/>
      <c r="U654" s="438"/>
      <c r="V654" s="437"/>
      <c r="W654" s="437"/>
      <c r="X654" s="438"/>
      <c r="Y654" s="438"/>
      <c r="Z654" s="940"/>
      <c r="AA654" s="940"/>
      <c r="AB654" s="438"/>
      <c r="AC654" s="438"/>
      <c r="AD654" s="940"/>
      <c r="AE654" s="940"/>
      <c r="AF654" s="438"/>
      <c r="AH654" s="438"/>
      <c r="AI654" s="437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</row>
    <row r="655" ht="14.25" customHeight="1">
      <c r="A655" s="1"/>
      <c r="B655" s="1"/>
      <c r="C655" s="1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438"/>
      <c r="Q655" s="438"/>
      <c r="R655" s="437"/>
      <c r="S655" s="437"/>
      <c r="T655" s="438"/>
      <c r="U655" s="438"/>
      <c r="V655" s="437"/>
      <c r="W655" s="437"/>
      <c r="X655" s="438"/>
      <c r="Y655" s="438"/>
      <c r="Z655" s="940"/>
      <c r="AA655" s="940"/>
      <c r="AB655" s="438"/>
      <c r="AC655" s="438"/>
      <c r="AD655" s="940"/>
      <c r="AE655" s="940"/>
      <c r="AF655" s="438"/>
      <c r="AH655" s="438"/>
      <c r="AI655" s="437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</row>
    <row r="656" ht="14.25" customHeight="1">
      <c r="A656" s="1"/>
      <c r="B656" s="1"/>
      <c r="C656" s="1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438"/>
      <c r="Q656" s="438"/>
      <c r="R656" s="437"/>
      <c r="S656" s="437"/>
      <c r="T656" s="438"/>
      <c r="U656" s="438"/>
      <c r="V656" s="437"/>
      <c r="W656" s="437"/>
      <c r="X656" s="438"/>
      <c r="Y656" s="438"/>
      <c r="Z656" s="940"/>
      <c r="AA656" s="940"/>
      <c r="AB656" s="438"/>
      <c r="AC656" s="438"/>
      <c r="AD656" s="940"/>
      <c r="AE656" s="940"/>
      <c r="AF656" s="438"/>
      <c r="AH656" s="438"/>
      <c r="AI656" s="437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</row>
    <row r="657" ht="14.25" customHeight="1">
      <c r="A657" s="1"/>
      <c r="B657" s="1"/>
      <c r="C657" s="1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438"/>
      <c r="Q657" s="438"/>
      <c r="R657" s="437"/>
      <c r="S657" s="437"/>
      <c r="T657" s="438"/>
      <c r="U657" s="438"/>
      <c r="V657" s="437"/>
      <c r="W657" s="437"/>
      <c r="X657" s="438"/>
      <c r="Y657" s="438"/>
      <c r="Z657" s="940"/>
      <c r="AA657" s="940"/>
      <c r="AB657" s="438"/>
      <c r="AC657" s="438"/>
      <c r="AD657" s="940"/>
      <c r="AE657" s="940"/>
      <c r="AF657" s="438"/>
      <c r="AH657" s="438"/>
      <c r="AI657" s="437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</row>
    <row r="658" ht="14.25" customHeight="1">
      <c r="A658" s="1"/>
      <c r="B658" s="1"/>
      <c r="C658" s="1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438"/>
      <c r="Q658" s="438"/>
      <c r="R658" s="437"/>
      <c r="S658" s="437"/>
      <c r="T658" s="438"/>
      <c r="U658" s="438"/>
      <c r="V658" s="437"/>
      <c r="W658" s="437"/>
      <c r="X658" s="438"/>
      <c r="Y658" s="438"/>
      <c r="Z658" s="940"/>
      <c r="AA658" s="940"/>
      <c r="AB658" s="438"/>
      <c r="AC658" s="438"/>
      <c r="AD658" s="940"/>
      <c r="AE658" s="940"/>
      <c r="AF658" s="438"/>
      <c r="AH658" s="438"/>
      <c r="AI658" s="437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</row>
    <row r="659" ht="14.25" customHeight="1">
      <c r="A659" s="1"/>
      <c r="B659" s="1"/>
      <c r="C659" s="1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438"/>
      <c r="Q659" s="438"/>
      <c r="R659" s="437"/>
      <c r="S659" s="437"/>
      <c r="T659" s="438"/>
      <c r="U659" s="438"/>
      <c r="V659" s="437"/>
      <c r="W659" s="437"/>
      <c r="X659" s="438"/>
      <c r="Y659" s="438"/>
      <c r="Z659" s="940"/>
      <c r="AA659" s="940"/>
      <c r="AB659" s="438"/>
      <c r="AC659" s="438"/>
      <c r="AD659" s="940"/>
      <c r="AE659" s="940"/>
      <c r="AF659" s="438"/>
      <c r="AH659" s="438"/>
      <c r="AI659" s="437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</row>
    <row r="660" ht="14.25" customHeight="1">
      <c r="A660" s="1"/>
      <c r="B660" s="1"/>
      <c r="C660" s="1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438"/>
      <c r="Q660" s="438"/>
      <c r="R660" s="437"/>
      <c r="S660" s="437"/>
      <c r="T660" s="438"/>
      <c r="U660" s="438"/>
      <c r="V660" s="437"/>
      <c r="W660" s="437"/>
      <c r="X660" s="438"/>
      <c r="Y660" s="438"/>
      <c r="Z660" s="940"/>
      <c r="AA660" s="940"/>
      <c r="AB660" s="438"/>
      <c r="AC660" s="438"/>
      <c r="AD660" s="940"/>
      <c r="AE660" s="940"/>
      <c r="AF660" s="438"/>
      <c r="AH660" s="438"/>
      <c r="AI660" s="437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</row>
    <row r="661" ht="14.25" customHeight="1">
      <c r="A661" s="1"/>
      <c r="B661" s="1"/>
      <c r="C661" s="1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438"/>
      <c r="Q661" s="438"/>
      <c r="R661" s="437"/>
      <c r="S661" s="437"/>
      <c r="T661" s="438"/>
      <c r="U661" s="438"/>
      <c r="V661" s="437"/>
      <c r="W661" s="437"/>
      <c r="X661" s="438"/>
      <c r="Y661" s="438"/>
      <c r="Z661" s="940"/>
      <c r="AA661" s="940"/>
      <c r="AB661" s="438"/>
      <c r="AC661" s="438"/>
      <c r="AD661" s="940"/>
      <c r="AE661" s="940"/>
      <c r="AF661" s="438"/>
      <c r="AH661" s="438"/>
      <c r="AI661" s="437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</row>
    <row r="662" ht="14.25" customHeight="1">
      <c r="A662" s="1"/>
      <c r="B662" s="1"/>
      <c r="C662" s="1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438"/>
      <c r="Q662" s="438"/>
      <c r="R662" s="437"/>
      <c r="S662" s="437"/>
      <c r="T662" s="438"/>
      <c r="U662" s="438"/>
      <c r="V662" s="437"/>
      <c r="W662" s="437"/>
      <c r="X662" s="438"/>
      <c r="Y662" s="438"/>
      <c r="Z662" s="940"/>
      <c r="AA662" s="940"/>
      <c r="AB662" s="438"/>
      <c r="AC662" s="438"/>
      <c r="AD662" s="940"/>
      <c r="AE662" s="940"/>
      <c r="AF662" s="438"/>
      <c r="AH662" s="438"/>
      <c r="AI662" s="437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</row>
    <row r="663" ht="14.25" customHeight="1">
      <c r="A663" s="1"/>
      <c r="B663" s="1"/>
      <c r="C663" s="1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438"/>
      <c r="Q663" s="438"/>
      <c r="R663" s="437"/>
      <c r="S663" s="437"/>
      <c r="T663" s="438"/>
      <c r="U663" s="438"/>
      <c r="V663" s="437"/>
      <c r="W663" s="437"/>
      <c r="X663" s="438"/>
      <c r="Y663" s="438"/>
      <c r="Z663" s="940"/>
      <c r="AA663" s="940"/>
      <c r="AB663" s="438"/>
      <c r="AC663" s="438"/>
      <c r="AD663" s="940"/>
      <c r="AE663" s="940"/>
      <c r="AF663" s="438"/>
      <c r="AH663" s="438"/>
      <c r="AI663" s="437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</row>
    <row r="664" ht="14.25" customHeight="1">
      <c r="A664" s="1"/>
      <c r="B664" s="1"/>
      <c r="C664" s="1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438"/>
      <c r="Q664" s="438"/>
      <c r="R664" s="437"/>
      <c r="S664" s="437"/>
      <c r="T664" s="438"/>
      <c r="U664" s="438"/>
      <c r="V664" s="437"/>
      <c r="W664" s="437"/>
      <c r="X664" s="438"/>
      <c r="Y664" s="438"/>
      <c r="Z664" s="940"/>
      <c r="AA664" s="940"/>
      <c r="AB664" s="438"/>
      <c r="AC664" s="438"/>
      <c r="AD664" s="940"/>
      <c r="AE664" s="940"/>
      <c r="AF664" s="438"/>
      <c r="AH664" s="438"/>
      <c r="AI664" s="437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</row>
    <row r="665" ht="14.25" customHeight="1">
      <c r="A665" s="1"/>
      <c r="B665" s="1"/>
      <c r="C665" s="1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438"/>
      <c r="Q665" s="438"/>
      <c r="R665" s="437"/>
      <c r="S665" s="437"/>
      <c r="T665" s="438"/>
      <c r="U665" s="438"/>
      <c r="V665" s="437"/>
      <c r="W665" s="437"/>
      <c r="X665" s="438"/>
      <c r="Y665" s="438"/>
      <c r="Z665" s="940"/>
      <c r="AA665" s="940"/>
      <c r="AB665" s="438"/>
      <c r="AC665" s="438"/>
      <c r="AD665" s="940"/>
      <c r="AE665" s="940"/>
      <c r="AF665" s="438"/>
      <c r="AH665" s="438"/>
      <c r="AI665" s="437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</row>
    <row r="666" ht="14.25" customHeight="1">
      <c r="A666" s="1"/>
      <c r="B666" s="1"/>
      <c r="C666" s="1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438"/>
      <c r="Q666" s="438"/>
      <c r="R666" s="437"/>
      <c r="S666" s="437"/>
      <c r="T666" s="438"/>
      <c r="U666" s="438"/>
      <c r="V666" s="437"/>
      <c r="W666" s="437"/>
      <c r="X666" s="438"/>
      <c r="Y666" s="438"/>
      <c r="Z666" s="940"/>
      <c r="AA666" s="940"/>
      <c r="AB666" s="438"/>
      <c r="AC666" s="438"/>
      <c r="AD666" s="940"/>
      <c r="AE666" s="940"/>
      <c r="AF666" s="438"/>
      <c r="AH666" s="438"/>
      <c r="AI666" s="437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</row>
    <row r="667" ht="14.25" customHeight="1">
      <c r="A667" s="1"/>
      <c r="B667" s="1"/>
      <c r="C667" s="1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438"/>
      <c r="Q667" s="438"/>
      <c r="R667" s="437"/>
      <c r="S667" s="437"/>
      <c r="T667" s="438"/>
      <c r="U667" s="438"/>
      <c r="V667" s="437"/>
      <c r="W667" s="437"/>
      <c r="X667" s="438"/>
      <c r="Y667" s="438"/>
      <c r="Z667" s="940"/>
      <c r="AA667" s="940"/>
      <c r="AB667" s="438"/>
      <c r="AC667" s="438"/>
      <c r="AD667" s="940"/>
      <c r="AE667" s="940"/>
      <c r="AF667" s="438"/>
      <c r="AH667" s="438"/>
      <c r="AI667" s="437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</row>
    <row r="668" ht="14.25" customHeight="1">
      <c r="A668" s="1"/>
      <c r="B668" s="1"/>
      <c r="C668" s="1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438"/>
      <c r="Q668" s="438"/>
      <c r="R668" s="437"/>
      <c r="S668" s="437"/>
      <c r="T668" s="438"/>
      <c r="U668" s="438"/>
      <c r="V668" s="437"/>
      <c r="W668" s="437"/>
      <c r="X668" s="438"/>
      <c r="Y668" s="438"/>
      <c r="Z668" s="940"/>
      <c r="AA668" s="940"/>
      <c r="AB668" s="438"/>
      <c r="AC668" s="438"/>
      <c r="AD668" s="940"/>
      <c r="AE668" s="940"/>
      <c r="AF668" s="438"/>
      <c r="AH668" s="438"/>
      <c r="AI668" s="437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</row>
    <row r="669" ht="14.25" customHeight="1">
      <c r="A669" s="1"/>
      <c r="B669" s="1"/>
      <c r="C669" s="1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438"/>
      <c r="Q669" s="438"/>
      <c r="R669" s="437"/>
      <c r="S669" s="437"/>
      <c r="T669" s="438"/>
      <c r="U669" s="438"/>
      <c r="V669" s="437"/>
      <c r="W669" s="437"/>
      <c r="X669" s="438"/>
      <c r="Y669" s="438"/>
      <c r="Z669" s="940"/>
      <c r="AA669" s="940"/>
      <c r="AB669" s="438"/>
      <c r="AC669" s="438"/>
      <c r="AD669" s="940"/>
      <c r="AE669" s="940"/>
      <c r="AF669" s="438"/>
      <c r="AH669" s="438"/>
      <c r="AI669" s="437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</row>
    <row r="670" ht="14.25" customHeight="1">
      <c r="A670" s="1"/>
      <c r="B670" s="1"/>
      <c r="C670" s="1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438"/>
      <c r="Q670" s="438"/>
      <c r="R670" s="437"/>
      <c r="S670" s="437"/>
      <c r="T670" s="438"/>
      <c r="U670" s="438"/>
      <c r="V670" s="437"/>
      <c r="W670" s="437"/>
      <c r="X670" s="438"/>
      <c r="Y670" s="438"/>
      <c r="Z670" s="940"/>
      <c r="AA670" s="940"/>
      <c r="AB670" s="438"/>
      <c r="AC670" s="438"/>
      <c r="AD670" s="940"/>
      <c r="AE670" s="940"/>
      <c r="AF670" s="438"/>
      <c r="AH670" s="438"/>
      <c r="AI670" s="437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</row>
    <row r="671" ht="14.25" customHeight="1">
      <c r="A671" s="1"/>
      <c r="B671" s="1"/>
      <c r="C671" s="1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438"/>
      <c r="Q671" s="438"/>
      <c r="R671" s="437"/>
      <c r="S671" s="437"/>
      <c r="T671" s="438"/>
      <c r="U671" s="438"/>
      <c r="V671" s="437"/>
      <c r="W671" s="437"/>
      <c r="X671" s="438"/>
      <c r="Y671" s="438"/>
      <c r="Z671" s="940"/>
      <c r="AA671" s="940"/>
      <c r="AB671" s="438"/>
      <c r="AC671" s="438"/>
      <c r="AD671" s="940"/>
      <c r="AE671" s="940"/>
      <c r="AF671" s="438"/>
      <c r="AH671" s="438"/>
      <c r="AI671" s="437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</row>
    <row r="672" ht="14.25" customHeight="1">
      <c r="A672" s="1"/>
      <c r="B672" s="1"/>
      <c r="C672" s="1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438"/>
      <c r="Q672" s="438"/>
      <c r="R672" s="437"/>
      <c r="S672" s="437"/>
      <c r="T672" s="438"/>
      <c r="U672" s="438"/>
      <c r="V672" s="437"/>
      <c r="W672" s="437"/>
      <c r="X672" s="438"/>
      <c r="Y672" s="438"/>
      <c r="Z672" s="940"/>
      <c r="AA672" s="940"/>
      <c r="AB672" s="438"/>
      <c r="AC672" s="438"/>
      <c r="AD672" s="940"/>
      <c r="AE672" s="940"/>
      <c r="AF672" s="438"/>
      <c r="AH672" s="438"/>
      <c r="AI672" s="437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</row>
    <row r="673" ht="14.25" customHeight="1">
      <c r="A673" s="1"/>
      <c r="B673" s="1"/>
      <c r="C673" s="1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438"/>
      <c r="Q673" s="438"/>
      <c r="R673" s="437"/>
      <c r="S673" s="437"/>
      <c r="T673" s="438"/>
      <c r="U673" s="438"/>
      <c r="V673" s="437"/>
      <c r="W673" s="437"/>
      <c r="X673" s="438"/>
      <c r="Y673" s="438"/>
      <c r="Z673" s="940"/>
      <c r="AA673" s="940"/>
      <c r="AB673" s="438"/>
      <c r="AC673" s="438"/>
      <c r="AD673" s="940"/>
      <c r="AE673" s="940"/>
      <c r="AF673" s="438"/>
      <c r="AH673" s="438"/>
      <c r="AI673" s="437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</row>
    <row r="674" ht="14.25" customHeight="1">
      <c r="A674" s="1"/>
      <c r="B674" s="1"/>
      <c r="C674" s="1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438"/>
      <c r="Q674" s="438"/>
      <c r="R674" s="437"/>
      <c r="S674" s="437"/>
      <c r="T674" s="438"/>
      <c r="U674" s="438"/>
      <c r="V674" s="437"/>
      <c r="W674" s="437"/>
      <c r="X674" s="438"/>
      <c r="Y674" s="438"/>
      <c r="Z674" s="940"/>
      <c r="AA674" s="940"/>
      <c r="AB674" s="438"/>
      <c r="AC674" s="438"/>
      <c r="AD674" s="940"/>
      <c r="AE674" s="940"/>
      <c r="AF674" s="438"/>
      <c r="AH674" s="438"/>
      <c r="AI674" s="437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</row>
    <row r="675" ht="14.25" customHeight="1">
      <c r="A675" s="1"/>
      <c r="B675" s="1"/>
      <c r="C675" s="1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438"/>
      <c r="Q675" s="438"/>
      <c r="R675" s="437"/>
      <c r="S675" s="437"/>
      <c r="T675" s="438"/>
      <c r="U675" s="438"/>
      <c r="V675" s="437"/>
      <c r="W675" s="437"/>
      <c r="X675" s="438"/>
      <c r="Y675" s="438"/>
      <c r="Z675" s="940"/>
      <c r="AA675" s="940"/>
      <c r="AB675" s="438"/>
      <c r="AC675" s="438"/>
      <c r="AD675" s="940"/>
      <c r="AE675" s="940"/>
      <c r="AF675" s="438"/>
      <c r="AH675" s="438"/>
      <c r="AI675" s="437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</row>
    <row r="676" ht="14.25" customHeight="1">
      <c r="A676" s="1"/>
      <c r="B676" s="1"/>
      <c r="C676" s="1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438"/>
      <c r="Q676" s="438"/>
      <c r="R676" s="437"/>
      <c r="S676" s="437"/>
      <c r="T676" s="438"/>
      <c r="U676" s="438"/>
      <c r="V676" s="437"/>
      <c r="W676" s="437"/>
      <c r="X676" s="438"/>
      <c r="Y676" s="438"/>
      <c r="Z676" s="940"/>
      <c r="AA676" s="940"/>
      <c r="AB676" s="438"/>
      <c r="AC676" s="438"/>
      <c r="AD676" s="940"/>
      <c r="AE676" s="940"/>
      <c r="AF676" s="438"/>
      <c r="AH676" s="438"/>
      <c r="AI676" s="437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</row>
    <row r="677" ht="14.25" customHeight="1">
      <c r="A677" s="1"/>
      <c r="B677" s="1"/>
      <c r="C677" s="1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438"/>
      <c r="Q677" s="438"/>
      <c r="R677" s="437"/>
      <c r="S677" s="437"/>
      <c r="T677" s="438"/>
      <c r="U677" s="438"/>
      <c r="V677" s="437"/>
      <c r="W677" s="437"/>
      <c r="X677" s="438"/>
      <c r="Y677" s="438"/>
      <c r="Z677" s="940"/>
      <c r="AA677" s="940"/>
      <c r="AB677" s="438"/>
      <c r="AC677" s="438"/>
      <c r="AD677" s="940"/>
      <c r="AE677" s="940"/>
      <c r="AF677" s="438"/>
      <c r="AH677" s="438"/>
      <c r="AI677" s="437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</row>
    <row r="678" ht="14.25" customHeight="1">
      <c r="A678" s="1"/>
      <c r="B678" s="1"/>
      <c r="C678" s="1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438"/>
      <c r="Q678" s="438"/>
      <c r="R678" s="437"/>
      <c r="S678" s="437"/>
      <c r="T678" s="438"/>
      <c r="U678" s="438"/>
      <c r="V678" s="437"/>
      <c r="W678" s="437"/>
      <c r="X678" s="438"/>
      <c r="Y678" s="438"/>
      <c r="Z678" s="940"/>
      <c r="AA678" s="940"/>
      <c r="AB678" s="438"/>
      <c r="AC678" s="438"/>
      <c r="AD678" s="940"/>
      <c r="AE678" s="940"/>
      <c r="AF678" s="438"/>
      <c r="AH678" s="438"/>
      <c r="AI678" s="437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</row>
    <row r="679" ht="14.25" customHeight="1">
      <c r="A679" s="1"/>
      <c r="B679" s="1"/>
      <c r="C679" s="1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438"/>
      <c r="Q679" s="438"/>
      <c r="R679" s="437"/>
      <c r="S679" s="437"/>
      <c r="T679" s="438"/>
      <c r="U679" s="438"/>
      <c r="V679" s="437"/>
      <c r="W679" s="437"/>
      <c r="X679" s="438"/>
      <c r="Y679" s="438"/>
      <c r="Z679" s="940"/>
      <c r="AA679" s="940"/>
      <c r="AB679" s="438"/>
      <c r="AC679" s="438"/>
      <c r="AD679" s="940"/>
      <c r="AE679" s="940"/>
      <c r="AF679" s="438"/>
      <c r="AH679" s="438"/>
      <c r="AI679" s="437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</row>
    <row r="680" ht="14.25" customHeight="1">
      <c r="A680" s="1"/>
      <c r="B680" s="1"/>
      <c r="C680" s="1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438"/>
      <c r="Q680" s="438"/>
      <c r="R680" s="437"/>
      <c r="S680" s="437"/>
      <c r="T680" s="438"/>
      <c r="U680" s="438"/>
      <c r="V680" s="437"/>
      <c r="W680" s="437"/>
      <c r="X680" s="438"/>
      <c r="Y680" s="438"/>
      <c r="Z680" s="940"/>
      <c r="AA680" s="940"/>
      <c r="AB680" s="438"/>
      <c r="AC680" s="438"/>
      <c r="AD680" s="940"/>
      <c r="AE680" s="940"/>
      <c r="AF680" s="438"/>
      <c r="AH680" s="438"/>
      <c r="AI680" s="437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</row>
    <row r="681" ht="14.25" customHeight="1">
      <c r="A681" s="1"/>
      <c r="B681" s="1"/>
      <c r="C681" s="1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438"/>
      <c r="Q681" s="438"/>
      <c r="R681" s="437"/>
      <c r="S681" s="437"/>
      <c r="T681" s="438"/>
      <c r="U681" s="438"/>
      <c r="V681" s="437"/>
      <c r="W681" s="437"/>
      <c r="X681" s="438"/>
      <c r="Y681" s="438"/>
      <c r="Z681" s="940"/>
      <c r="AA681" s="940"/>
      <c r="AB681" s="438"/>
      <c r="AC681" s="438"/>
      <c r="AD681" s="940"/>
      <c r="AE681" s="940"/>
      <c r="AF681" s="438"/>
      <c r="AH681" s="438"/>
      <c r="AI681" s="437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</row>
    <row r="682" ht="14.25" customHeight="1">
      <c r="A682" s="1"/>
      <c r="B682" s="1"/>
      <c r="C682" s="1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438"/>
      <c r="Q682" s="438"/>
      <c r="R682" s="437"/>
      <c r="S682" s="437"/>
      <c r="T682" s="438"/>
      <c r="U682" s="438"/>
      <c r="V682" s="437"/>
      <c r="W682" s="437"/>
      <c r="X682" s="438"/>
      <c r="Y682" s="438"/>
      <c r="Z682" s="940"/>
      <c r="AA682" s="940"/>
      <c r="AB682" s="438"/>
      <c r="AC682" s="438"/>
      <c r="AD682" s="940"/>
      <c r="AE682" s="940"/>
      <c r="AF682" s="438"/>
      <c r="AH682" s="438"/>
      <c r="AI682" s="437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</row>
    <row r="683" ht="14.25" customHeight="1">
      <c r="A683" s="1"/>
      <c r="B683" s="1"/>
      <c r="C683" s="1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438"/>
      <c r="Q683" s="438"/>
      <c r="R683" s="437"/>
      <c r="S683" s="437"/>
      <c r="T683" s="438"/>
      <c r="U683" s="438"/>
      <c r="V683" s="437"/>
      <c r="W683" s="437"/>
      <c r="X683" s="438"/>
      <c r="Y683" s="438"/>
      <c r="Z683" s="940"/>
      <c r="AA683" s="940"/>
      <c r="AB683" s="438"/>
      <c r="AC683" s="438"/>
      <c r="AD683" s="940"/>
      <c r="AE683" s="940"/>
      <c r="AF683" s="438"/>
      <c r="AH683" s="438"/>
      <c r="AI683" s="437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</row>
    <row r="684" ht="14.25" customHeight="1">
      <c r="A684" s="1"/>
      <c r="B684" s="1"/>
      <c r="C684" s="1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438"/>
      <c r="Q684" s="438"/>
      <c r="R684" s="437"/>
      <c r="S684" s="437"/>
      <c r="T684" s="438"/>
      <c r="U684" s="438"/>
      <c r="V684" s="437"/>
      <c r="W684" s="437"/>
      <c r="X684" s="438"/>
      <c r="Y684" s="438"/>
      <c r="Z684" s="940"/>
      <c r="AA684" s="940"/>
      <c r="AB684" s="438"/>
      <c r="AC684" s="438"/>
      <c r="AD684" s="940"/>
      <c r="AE684" s="940"/>
      <c r="AF684" s="438"/>
      <c r="AH684" s="438"/>
      <c r="AI684" s="437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</row>
    <row r="685" ht="14.25" customHeight="1">
      <c r="A685" s="1"/>
      <c r="B685" s="1"/>
      <c r="C685" s="1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438"/>
      <c r="Q685" s="438"/>
      <c r="R685" s="437"/>
      <c r="S685" s="437"/>
      <c r="T685" s="438"/>
      <c r="U685" s="438"/>
      <c r="V685" s="437"/>
      <c r="W685" s="437"/>
      <c r="X685" s="438"/>
      <c r="Y685" s="438"/>
      <c r="Z685" s="940"/>
      <c r="AA685" s="940"/>
      <c r="AB685" s="438"/>
      <c r="AC685" s="438"/>
      <c r="AD685" s="940"/>
      <c r="AE685" s="940"/>
      <c r="AF685" s="438"/>
      <c r="AH685" s="438"/>
      <c r="AI685" s="437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</row>
    <row r="686" ht="14.25" customHeight="1">
      <c r="A686" s="1"/>
      <c r="B686" s="1"/>
      <c r="C686" s="1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438"/>
      <c r="Q686" s="438"/>
      <c r="R686" s="437"/>
      <c r="S686" s="437"/>
      <c r="T686" s="438"/>
      <c r="U686" s="438"/>
      <c r="V686" s="437"/>
      <c r="W686" s="437"/>
      <c r="X686" s="438"/>
      <c r="Y686" s="438"/>
      <c r="Z686" s="940"/>
      <c r="AA686" s="940"/>
      <c r="AB686" s="438"/>
      <c r="AC686" s="438"/>
      <c r="AD686" s="940"/>
      <c r="AE686" s="940"/>
      <c r="AF686" s="438"/>
      <c r="AH686" s="438"/>
      <c r="AI686" s="437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</row>
    <row r="687" ht="14.25" customHeight="1">
      <c r="A687" s="1"/>
      <c r="B687" s="1"/>
      <c r="C687" s="1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438"/>
      <c r="Q687" s="438"/>
      <c r="R687" s="437"/>
      <c r="S687" s="437"/>
      <c r="T687" s="438"/>
      <c r="U687" s="438"/>
      <c r="V687" s="437"/>
      <c r="W687" s="437"/>
      <c r="X687" s="438"/>
      <c r="Y687" s="438"/>
      <c r="Z687" s="940"/>
      <c r="AA687" s="940"/>
      <c r="AB687" s="438"/>
      <c r="AC687" s="438"/>
      <c r="AD687" s="940"/>
      <c r="AE687" s="940"/>
      <c r="AF687" s="438"/>
      <c r="AH687" s="438"/>
      <c r="AI687" s="437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</row>
    <row r="688" ht="14.25" customHeight="1">
      <c r="A688" s="1"/>
      <c r="B688" s="1"/>
      <c r="C688" s="1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438"/>
      <c r="Q688" s="438"/>
      <c r="R688" s="437"/>
      <c r="S688" s="437"/>
      <c r="T688" s="438"/>
      <c r="U688" s="438"/>
      <c r="V688" s="437"/>
      <c r="W688" s="437"/>
      <c r="X688" s="438"/>
      <c r="Y688" s="438"/>
      <c r="Z688" s="940"/>
      <c r="AA688" s="940"/>
      <c r="AB688" s="438"/>
      <c r="AC688" s="438"/>
      <c r="AD688" s="940"/>
      <c r="AE688" s="940"/>
      <c r="AF688" s="438"/>
      <c r="AH688" s="438"/>
      <c r="AI688" s="437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</row>
    <row r="689" ht="14.25" customHeight="1">
      <c r="A689" s="1"/>
      <c r="B689" s="1"/>
      <c r="C689" s="1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438"/>
      <c r="Q689" s="438"/>
      <c r="R689" s="437"/>
      <c r="S689" s="437"/>
      <c r="T689" s="438"/>
      <c r="U689" s="438"/>
      <c r="V689" s="437"/>
      <c r="W689" s="437"/>
      <c r="X689" s="438"/>
      <c r="Y689" s="438"/>
      <c r="Z689" s="940"/>
      <c r="AA689" s="940"/>
      <c r="AB689" s="438"/>
      <c r="AC689" s="438"/>
      <c r="AD689" s="940"/>
      <c r="AE689" s="940"/>
      <c r="AF689" s="438"/>
      <c r="AH689" s="438"/>
      <c r="AI689" s="437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</row>
    <row r="690" ht="14.25" customHeight="1">
      <c r="A690" s="1"/>
      <c r="B690" s="1"/>
      <c r="C690" s="1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438"/>
      <c r="Q690" s="438"/>
      <c r="R690" s="437"/>
      <c r="S690" s="437"/>
      <c r="T690" s="438"/>
      <c r="U690" s="438"/>
      <c r="V690" s="437"/>
      <c r="W690" s="437"/>
      <c r="X690" s="438"/>
      <c r="Y690" s="438"/>
      <c r="Z690" s="940"/>
      <c r="AA690" s="940"/>
      <c r="AB690" s="438"/>
      <c r="AC690" s="438"/>
      <c r="AD690" s="940"/>
      <c r="AE690" s="940"/>
      <c r="AF690" s="438"/>
      <c r="AH690" s="438"/>
      <c r="AI690" s="437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</row>
    <row r="691" ht="14.25" customHeight="1">
      <c r="A691" s="1"/>
      <c r="B691" s="1"/>
      <c r="C691" s="1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438"/>
      <c r="Q691" s="438"/>
      <c r="R691" s="437"/>
      <c r="S691" s="437"/>
      <c r="T691" s="438"/>
      <c r="U691" s="438"/>
      <c r="V691" s="437"/>
      <c r="W691" s="437"/>
      <c r="X691" s="438"/>
      <c r="Y691" s="438"/>
      <c r="Z691" s="940"/>
      <c r="AA691" s="940"/>
      <c r="AB691" s="438"/>
      <c r="AC691" s="438"/>
      <c r="AD691" s="940"/>
      <c r="AE691" s="940"/>
      <c r="AF691" s="438"/>
      <c r="AH691" s="438"/>
      <c r="AI691" s="437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</row>
    <row r="692" ht="14.25" customHeight="1">
      <c r="A692" s="1"/>
      <c r="B692" s="1"/>
      <c r="C692" s="1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438"/>
      <c r="Q692" s="438"/>
      <c r="R692" s="437"/>
      <c r="S692" s="437"/>
      <c r="T692" s="438"/>
      <c r="U692" s="438"/>
      <c r="V692" s="437"/>
      <c r="W692" s="437"/>
      <c r="X692" s="438"/>
      <c r="Y692" s="438"/>
      <c r="Z692" s="940"/>
      <c r="AA692" s="940"/>
      <c r="AB692" s="438"/>
      <c r="AC692" s="438"/>
      <c r="AD692" s="940"/>
      <c r="AE692" s="940"/>
      <c r="AF692" s="438"/>
      <c r="AH692" s="438"/>
      <c r="AI692" s="437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</row>
    <row r="693" ht="14.25" customHeight="1">
      <c r="A693" s="1"/>
      <c r="B693" s="1"/>
      <c r="C693" s="1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438"/>
      <c r="Q693" s="438"/>
      <c r="R693" s="437"/>
      <c r="S693" s="437"/>
      <c r="T693" s="438"/>
      <c r="U693" s="438"/>
      <c r="V693" s="437"/>
      <c r="W693" s="437"/>
      <c r="X693" s="438"/>
      <c r="Y693" s="438"/>
      <c r="Z693" s="940"/>
      <c r="AA693" s="940"/>
      <c r="AB693" s="438"/>
      <c r="AC693" s="438"/>
      <c r="AD693" s="940"/>
      <c r="AE693" s="940"/>
      <c r="AF693" s="438"/>
      <c r="AH693" s="438"/>
      <c r="AI693" s="437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</row>
    <row r="694" ht="14.25" customHeight="1">
      <c r="A694" s="1"/>
      <c r="B694" s="1"/>
      <c r="C694" s="1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438"/>
      <c r="Q694" s="438"/>
      <c r="R694" s="437"/>
      <c r="S694" s="437"/>
      <c r="T694" s="438"/>
      <c r="U694" s="438"/>
      <c r="V694" s="437"/>
      <c r="W694" s="437"/>
      <c r="X694" s="438"/>
      <c r="Y694" s="438"/>
      <c r="Z694" s="940"/>
      <c r="AA694" s="940"/>
      <c r="AB694" s="438"/>
      <c r="AC694" s="438"/>
      <c r="AD694" s="940"/>
      <c r="AE694" s="940"/>
      <c r="AF694" s="438"/>
      <c r="AH694" s="438"/>
      <c r="AI694" s="437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</row>
    <row r="695" ht="14.25" customHeight="1">
      <c r="A695" s="1"/>
      <c r="B695" s="1"/>
      <c r="C695" s="1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438"/>
      <c r="Q695" s="438"/>
      <c r="R695" s="437"/>
      <c r="S695" s="437"/>
      <c r="T695" s="438"/>
      <c r="U695" s="438"/>
      <c r="V695" s="437"/>
      <c r="W695" s="437"/>
      <c r="X695" s="438"/>
      <c r="Y695" s="438"/>
      <c r="Z695" s="940"/>
      <c r="AA695" s="940"/>
      <c r="AB695" s="438"/>
      <c r="AC695" s="438"/>
      <c r="AD695" s="940"/>
      <c r="AE695" s="940"/>
      <c r="AF695" s="438"/>
      <c r="AH695" s="438"/>
      <c r="AI695" s="437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</row>
    <row r="696" ht="14.25" customHeight="1">
      <c r="A696" s="1"/>
      <c r="B696" s="1"/>
      <c r="C696" s="1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438"/>
      <c r="Q696" s="438"/>
      <c r="R696" s="437"/>
      <c r="S696" s="437"/>
      <c r="T696" s="438"/>
      <c r="U696" s="438"/>
      <c r="V696" s="437"/>
      <c r="W696" s="437"/>
      <c r="X696" s="438"/>
      <c r="Y696" s="438"/>
      <c r="Z696" s="940"/>
      <c r="AA696" s="940"/>
      <c r="AB696" s="438"/>
      <c r="AC696" s="438"/>
      <c r="AD696" s="940"/>
      <c r="AE696" s="940"/>
      <c r="AF696" s="438"/>
      <c r="AH696" s="438"/>
      <c r="AI696" s="437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</row>
    <row r="697" ht="14.25" customHeight="1">
      <c r="A697" s="1"/>
      <c r="B697" s="1"/>
      <c r="C697" s="1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438"/>
      <c r="Q697" s="438"/>
      <c r="R697" s="437"/>
      <c r="S697" s="437"/>
      <c r="T697" s="438"/>
      <c r="U697" s="438"/>
      <c r="V697" s="437"/>
      <c r="W697" s="437"/>
      <c r="X697" s="438"/>
      <c r="Y697" s="438"/>
      <c r="Z697" s="940"/>
      <c r="AA697" s="940"/>
      <c r="AB697" s="438"/>
      <c r="AC697" s="438"/>
      <c r="AD697" s="940"/>
      <c r="AE697" s="940"/>
      <c r="AF697" s="438"/>
      <c r="AH697" s="438"/>
      <c r="AI697" s="437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</row>
    <row r="698" ht="14.25" customHeight="1">
      <c r="A698" s="1"/>
      <c r="B698" s="1"/>
      <c r="C698" s="1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438"/>
      <c r="Q698" s="438"/>
      <c r="R698" s="437"/>
      <c r="S698" s="437"/>
      <c r="T698" s="438"/>
      <c r="U698" s="438"/>
      <c r="V698" s="437"/>
      <c r="W698" s="437"/>
      <c r="X698" s="438"/>
      <c r="Y698" s="438"/>
      <c r="Z698" s="940"/>
      <c r="AA698" s="940"/>
      <c r="AB698" s="438"/>
      <c r="AC698" s="438"/>
      <c r="AD698" s="940"/>
      <c r="AE698" s="940"/>
      <c r="AF698" s="438"/>
      <c r="AH698" s="438"/>
      <c r="AI698" s="437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</row>
    <row r="699" ht="14.25" customHeight="1">
      <c r="A699" s="1"/>
      <c r="B699" s="1"/>
      <c r="C699" s="1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438"/>
      <c r="Q699" s="438"/>
      <c r="R699" s="437"/>
      <c r="S699" s="437"/>
      <c r="T699" s="438"/>
      <c r="U699" s="438"/>
      <c r="V699" s="437"/>
      <c r="W699" s="437"/>
      <c r="X699" s="438"/>
      <c r="Y699" s="438"/>
      <c r="Z699" s="940"/>
      <c r="AA699" s="940"/>
      <c r="AB699" s="438"/>
      <c r="AC699" s="438"/>
      <c r="AD699" s="940"/>
      <c r="AE699" s="940"/>
      <c r="AF699" s="438"/>
      <c r="AH699" s="438"/>
      <c r="AI699" s="437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</row>
    <row r="700" ht="14.25" customHeight="1">
      <c r="A700" s="1"/>
      <c r="B700" s="1"/>
      <c r="C700" s="1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438"/>
      <c r="Q700" s="438"/>
      <c r="R700" s="437"/>
      <c r="S700" s="437"/>
      <c r="T700" s="438"/>
      <c r="U700" s="438"/>
      <c r="V700" s="437"/>
      <c r="W700" s="437"/>
      <c r="X700" s="438"/>
      <c r="Y700" s="438"/>
      <c r="Z700" s="940"/>
      <c r="AA700" s="940"/>
      <c r="AB700" s="438"/>
      <c r="AC700" s="438"/>
      <c r="AD700" s="940"/>
      <c r="AE700" s="940"/>
      <c r="AF700" s="438"/>
      <c r="AH700" s="438"/>
      <c r="AI700" s="437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</row>
    <row r="701" ht="14.25" customHeight="1">
      <c r="A701" s="1"/>
      <c r="B701" s="1"/>
      <c r="C701" s="1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438"/>
      <c r="Q701" s="438"/>
      <c r="R701" s="437"/>
      <c r="S701" s="437"/>
      <c r="T701" s="438"/>
      <c r="U701" s="438"/>
      <c r="V701" s="437"/>
      <c r="W701" s="437"/>
      <c r="X701" s="438"/>
      <c r="Y701" s="438"/>
      <c r="Z701" s="940"/>
      <c r="AA701" s="940"/>
      <c r="AB701" s="438"/>
      <c r="AC701" s="438"/>
      <c r="AD701" s="940"/>
      <c r="AE701" s="940"/>
      <c r="AF701" s="438"/>
      <c r="AH701" s="438"/>
      <c r="AI701" s="437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</row>
    <row r="702" ht="14.25" customHeight="1">
      <c r="A702" s="1"/>
      <c r="B702" s="1"/>
      <c r="C702" s="1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438"/>
      <c r="Q702" s="438"/>
      <c r="R702" s="437"/>
      <c r="S702" s="437"/>
      <c r="T702" s="438"/>
      <c r="U702" s="438"/>
      <c r="V702" s="437"/>
      <c r="W702" s="437"/>
      <c r="X702" s="438"/>
      <c r="Y702" s="438"/>
      <c r="Z702" s="940"/>
      <c r="AA702" s="940"/>
      <c r="AB702" s="438"/>
      <c r="AC702" s="438"/>
      <c r="AD702" s="940"/>
      <c r="AE702" s="940"/>
      <c r="AF702" s="438"/>
      <c r="AH702" s="438"/>
      <c r="AI702" s="437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</row>
    <row r="703" ht="14.25" customHeight="1">
      <c r="A703" s="1"/>
      <c r="B703" s="1"/>
      <c r="C703" s="1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438"/>
      <c r="Q703" s="438"/>
      <c r="R703" s="437"/>
      <c r="S703" s="437"/>
      <c r="T703" s="438"/>
      <c r="U703" s="438"/>
      <c r="V703" s="437"/>
      <c r="W703" s="437"/>
      <c r="X703" s="438"/>
      <c r="Y703" s="438"/>
      <c r="Z703" s="940"/>
      <c r="AA703" s="940"/>
      <c r="AB703" s="438"/>
      <c r="AC703" s="438"/>
      <c r="AD703" s="940"/>
      <c r="AE703" s="940"/>
      <c r="AF703" s="438"/>
      <c r="AH703" s="438"/>
      <c r="AI703" s="437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</row>
    <row r="704" ht="14.25" customHeight="1">
      <c r="A704" s="1"/>
      <c r="B704" s="1"/>
      <c r="C704" s="1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438"/>
      <c r="Q704" s="438"/>
      <c r="R704" s="437"/>
      <c r="S704" s="437"/>
      <c r="T704" s="438"/>
      <c r="U704" s="438"/>
      <c r="V704" s="437"/>
      <c r="W704" s="437"/>
      <c r="X704" s="438"/>
      <c r="Y704" s="438"/>
      <c r="Z704" s="940"/>
      <c r="AA704" s="940"/>
      <c r="AB704" s="438"/>
      <c r="AC704" s="438"/>
      <c r="AD704" s="940"/>
      <c r="AE704" s="940"/>
      <c r="AF704" s="438"/>
      <c r="AH704" s="438"/>
      <c r="AI704" s="437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</row>
    <row r="705" ht="14.25" customHeight="1">
      <c r="A705" s="1"/>
      <c r="B705" s="1"/>
      <c r="C705" s="1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438"/>
      <c r="Q705" s="438"/>
      <c r="R705" s="437"/>
      <c r="S705" s="437"/>
      <c r="T705" s="438"/>
      <c r="U705" s="438"/>
      <c r="V705" s="437"/>
      <c r="W705" s="437"/>
      <c r="X705" s="438"/>
      <c r="Y705" s="438"/>
      <c r="Z705" s="940"/>
      <c r="AA705" s="940"/>
      <c r="AB705" s="438"/>
      <c r="AC705" s="438"/>
      <c r="AD705" s="940"/>
      <c r="AE705" s="940"/>
      <c r="AF705" s="438"/>
      <c r="AH705" s="438"/>
      <c r="AI705" s="437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</row>
    <row r="706" ht="14.25" customHeight="1">
      <c r="A706" s="1"/>
      <c r="B706" s="1"/>
      <c r="C706" s="1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438"/>
      <c r="Q706" s="438"/>
      <c r="R706" s="437"/>
      <c r="S706" s="437"/>
      <c r="T706" s="438"/>
      <c r="U706" s="438"/>
      <c r="V706" s="437"/>
      <c r="W706" s="437"/>
      <c r="X706" s="438"/>
      <c r="Y706" s="438"/>
      <c r="Z706" s="940"/>
      <c r="AA706" s="940"/>
      <c r="AB706" s="438"/>
      <c r="AC706" s="438"/>
      <c r="AD706" s="940"/>
      <c r="AE706" s="940"/>
      <c r="AF706" s="438"/>
      <c r="AH706" s="438"/>
      <c r="AI706" s="437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</row>
    <row r="707" ht="14.25" customHeight="1">
      <c r="A707" s="1"/>
      <c r="B707" s="1"/>
      <c r="C707" s="1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438"/>
      <c r="Q707" s="438"/>
      <c r="R707" s="437"/>
      <c r="S707" s="437"/>
      <c r="T707" s="438"/>
      <c r="U707" s="438"/>
      <c r="V707" s="437"/>
      <c r="W707" s="437"/>
      <c r="X707" s="438"/>
      <c r="Y707" s="438"/>
      <c r="Z707" s="940"/>
      <c r="AA707" s="940"/>
      <c r="AB707" s="438"/>
      <c r="AC707" s="438"/>
      <c r="AD707" s="940"/>
      <c r="AE707" s="940"/>
      <c r="AF707" s="438"/>
      <c r="AH707" s="438"/>
      <c r="AI707" s="437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</row>
    <row r="708" ht="14.25" customHeight="1">
      <c r="A708" s="1"/>
      <c r="B708" s="1"/>
      <c r="C708" s="1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438"/>
      <c r="Q708" s="438"/>
      <c r="R708" s="437"/>
      <c r="S708" s="437"/>
      <c r="T708" s="438"/>
      <c r="U708" s="438"/>
      <c r="V708" s="437"/>
      <c r="W708" s="437"/>
      <c r="X708" s="438"/>
      <c r="Y708" s="438"/>
      <c r="Z708" s="940"/>
      <c r="AA708" s="940"/>
      <c r="AB708" s="438"/>
      <c r="AC708" s="438"/>
      <c r="AD708" s="940"/>
      <c r="AE708" s="940"/>
      <c r="AF708" s="438"/>
      <c r="AH708" s="438"/>
      <c r="AI708" s="437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</row>
    <row r="709" ht="14.25" customHeight="1">
      <c r="A709" s="1"/>
      <c r="B709" s="1"/>
      <c r="C709" s="1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438"/>
      <c r="Q709" s="438"/>
      <c r="R709" s="437"/>
      <c r="S709" s="437"/>
      <c r="T709" s="438"/>
      <c r="U709" s="438"/>
      <c r="V709" s="437"/>
      <c r="W709" s="437"/>
      <c r="X709" s="438"/>
      <c r="Y709" s="438"/>
      <c r="Z709" s="940"/>
      <c r="AA709" s="940"/>
      <c r="AB709" s="438"/>
      <c r="AC709" s="438"/>
      <c r="AD709" s="940"/>
      <c r="AE709" s="940"/>
      <c r="AF709" s="438"/>
      <c r="AH709" s="438"/>
      <c r="AI709" s="437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</row>
    <row r="710" ht="14.25" customHeight="1">
      <c r="A710" s="1"/>
      <c r="B710" s="1"/>
      <c r="C710" s="1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438"/>
      <c r="Q710" s="438"/>
      <c r="R710" s="437"/>
      <c r="S710" s="437"/>
      <c r="T710" s="438"/>
      <c r="U710" s="438"/>
      <c r="V710" s="437"/>
      <c r="W710" s="437"/>
      <c r="X710" s="438"/>
      <c r="Y710" s="438"/>
      <c r="Z710" s="940"/>
      <c r="AA710" s="940"/>
      <c r="AB710" s="438"/>
      <c r="AC710" s="438"/>
      <c r="AD710" s="940"/>
      <c r="AE710" s="940"/>
      <c r="AF710" s="438"/>
      <c r="AH710" s="438"/>
      <c r="AI710" s="437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</row>
    <row r="711" ht="14.25" customHeight="1">
      <c r="A711" s="1"/>
      <c r="B711" s="1"/>
      <c r="C711" s="1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438"/>
      <c r="Q711" s="438"/>
      <c r="R711" s="437"/>
      <c r="S711" s="437"/>
      <c r="T711" s="438"/>
      <c r="U711" s="438"/>
      <c r="V711" s="437"/>
      <c r="W711" s="437"/>
      <c r="X711" s="438"/>
      <c r="Y711" s="438"/>
      <c r="Z711" s="940"/>
      <c r="AA711" s="940"/>
      <c r="AB711" s="438"/>
      <c r="AC711" s="438"/>
      <c r="AD711" s="940"/>
      <c r="AE711" s="940"/>
      <c r="AF711" s="438"/>
      <c r="AH711" s="438"/>
      <c r="AI711" s="437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</row>
    <row r="712" ht="14.25" customHeight="1">
      <c r="A712" s="1"/>
      <c r="B712" s="1"/>
      <c r="C712" s="1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438"/>
      <c r="Q712" s="438"/>
      <c r="R712" s="437"/>
      <c r="S712" s="437"/>
      <c r="T712" s="438"/>
      <c r="U712" s="438"/>
      <c r="V712" s="437"/>
      <c r="W712" s="437"/>
      <c r="X712" s="438"/>
      <c r="Y712" s="438"/>
      <c r="Z712" s="940"/>
      <c r="AA712" s="940"/>
      <c r="AB712" s="438"/>
      <c r="AC712" s="438"/>
      <c r="AD712" s="940"/>
      <c r="AE712" s="940"/>
      <c r="AF712" s="438"/>
      <c r="AH712" s="438"/>
      <c r="AI712" s="437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</row>
    <row r="713" ht="14.25" customHeight="1">
      <c r="A713" s="1"/>
      <c r="B713" s="1"/>
      <c r="C713" s="1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438"/>
      <c r="Q713" s="438"/>
      <c r="R713" s="437"/>
      <c r="S713" s="437"/>
      <c r="T713" s="438"/>
      <c r="U713" s="438"/>
      <c r="V713" s="437"/>
      <c r="W713" s="437"/>
      <c r="X713" s="438"/>
      <c r="Y713" s="438"/>
      <c r="Z713" s="940"/>
      <c r="AA713" s="940"/>
      <c r="AB713" s="438"/>
      <c r="AC713" s="438"/>
      <c r="AD713" s="940"/>
      <c r="AE713" s="940"/>
      <c r="AF713" s="438"/>
      <c r="AH713" s="438"/>
      <c r="AI713" s="437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</row>
    <row r="714" ht="14.25" customHeight="1">
      <c r="A714" s="1"/>
      <c r="B714" s="1"/>
      <c r="C714" s="1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438"/>
      <c r="Q714" s="438"/>
      <c r="R714" s="437"/>
      <c r="S714" s="437"/>
      <c r="T714" s="438"/>
      <c r="U714" s="438"/>
      <c r="V714" s="437"/>
      <c r="W714" s="437"/>
      <c r="X714" s="438"/>
      <c r="Y714" s="438"/>
      <c r="Z714" s="940"/>
      <c r="AA714" s="940"/>
      <c r="AB714" s="438"/>
      <c r="AC714" s="438"/>
      <c r="AD714" s="940"/>
      <c r="AE714" s="940"/>
      <c r="AF714" s="438"/>
      <c r="AH714" s="438"/>
      <c r="AI714" s="437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</row>
    <row r="715" ht="14.25" customHeight="1">
      <c r="A715" s="1"/>
      <c r="B715" s="1"/>
      <c r="C715" s="1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438"/>
      <c r="Q715" s="438"/>
      <c r="R715" s="437"/>
      <c r="S715" s="437"/>
      <c r="T715" s="438"/>
      <c r="U715" s="438"/>
      <c r="V715" s="437"/>
      <c r="W715" s="437"/>
      <c r="X715" s="438"/>
      <c r="Y715" s="438"/>
      <c r="Z715" s="940"/>
      <c r="AA715" s="940"/>
      <c r="AB715" s="438"/>
      <c r="AC715" s="438"/>
      <c r="AD715" s="940"/>
      <c r="AE715" s="940"/>
      <c r="AF715" s="438"/>
      <c r="AH715" s="438"/>
      <c r="AI715" s="437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</row>
    <row r="716" ht="14.25" customHeight="1">
      <c r="A716" s="1"/>
      <c r="B716" s="1"/>
      <c r="C716" s="1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438"/>
      <c r="Q716" s="438"/>
      <c r="R716" s="437"/>
      <c r="S716" s="437"/>
      <c r="T716" s="438"/>
      <c r="U716" s="438"/>
      <c r="V716" s="437"/>
      <c r="W716" s="437"/>
      <c r="X716" s="438"/>
      <c r="Y716" s="438"/>
      <c r="Z716" s="940"/>
      <c r="AA716" s="940"/>
      <c r="AB716" s="438"/>
      <c r="AC716" s="438"/>
      <c r="AD716" s="940"/>
      <c r="AE716" s="940"/>
      <c r="AF716" s="438"/>
      <c r="AH716" s="438"/>
      <c r="AI716" s="437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</row>
    <row r="717" ht="14.25" customHeight="1">
      <c r="A717" s="1"/>
      <c r="B717" s="1"/>
      <c r="C717" s="1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438"/>
      <c r="Q717" s="438"/>
      <c r="R717" s="437"/>
      <c r="S717" s="437"/>
      <c r="T717" s="438"/>
      <c r="U717" s="438"/>
      <c r="V717" s="437"/>
      <c r="W717" s="437"/>
      <c r="X717" s="438"/>
      <c r="Y717" s="438"/>
      <c r="Z717" s="940"/>
      <c r="AA717" s="940"/>
      <c r="AB717" s="438"/>
      <c r="AC717" s="438"/>
      <c r="AD717" s="940"/>
      <c r="AE717" s="940"/>
      <c r="AF717" s="438"/>
      <c r="AH717" s="438"/>
      <c r="AI717" s="437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</row>
    <row r="718" ht="14.25" customHeight="1">
      <c r="A718" s="1"/>
      <c r="B718" s="1"/>
      <c r="C718" s="1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438"/>
      <c r="Q718" s="438"/>
      <c r="R718" s="437"/>
      <c r="S718" s="437"/>
      <c r="T718" s="438"/>
      <c r="U718" s="438"/>
      <c r="V718" s="437"/>
      <c r="W718" s="437"/>
      <c r="X718" s="438"/>
      <c r="Y718" s="438"/>
      <c r="Z718" s="940"/>
      <c r="AA718" s="940"/>
      <c r="AB718" s="438"/>
      <c r="AC718" s="438"/>
      <c r="AD718" s="940"/>
      <c r="AE718" s="940"/>
      <c r="AF718" s="438"/>
      <c r="AH718" s="438"/>
      <c r="AI718" s="437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</row>
    <row r="719" ht="14.25" customHeight="1">
      <c r="A719" s="1"/>
      <c r="B719" s="1"/>
      <c r="C719" s="1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438"/>
      <c r="Q719" s="438"/>
      <c r="R719" s="437"/>
      <c r="S719" s="437"/>
      <c r="T719" s="438"/>
      <c r="U719" s="438"/>
      <c r="V719" s="437"/>
      <c r="W719" s="437"/>
      <c r="X719" s="438"/>
      <c r="Y719" s="438"/>
      <c r="Z719" s="940"/>
      <c r="AA719" s="940"/>
      <c r="AB719" s="438"/>
      <c r="AC719" s="438"/>
      <c r="AD719" s="940"/>
      <c r="AE719" s="940"/>
      <c r="AF719" s="438"/>
      <c r="AH719" s="438"/>
      <c r="AI719" s="437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</row>
    <row r="720" ht="14.25" customHeight="1">
      <c r="A720" s="1"/>
      <c r="B720" s="1"/>
      <c r="C720" s="1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438"/>
      <c r="Q720" s="438"/>
      <c r="R720" s="437"/>
      <c r="S720" s="437"/>
      <c r="T720" s="438"/>
      <c r="U720" s="438"/>
      <c r="V720" s="437"/>
      <c r="W720" s="437"/>
      <c r="X720" s="438"/>
      <c r="Y720" s="438"/>
      <c r="Z720" s="940"/>
      <c r="AA720" s="940"/>
      <c r="AB720" s="438"/>
      <c r="AC720" s="438"/>
      <c r="AD720" s="940"/>
      <c r="AE720" s="940"/>
      <c r="AF720" s="438"/>
      <c r="AH720" s="438"/>
      <c r="AI720" s="437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</row>
    <row r="721" ht="14.25" customHeight="1">
      <c r="A721" s="1"/>
      <c r="B721" s="1"/>
      <c r="C721" s="1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438"/>
      <c r="Q721" s="438"/>
      <c r="R721" s="437"/>
      <c r="S721" s="437"/>
      <c r="T721" s="438"/>
      <c r="U721" s="438"/>
      <c r="V721" s="437"/>
      <c r="W721" s="437"/>
      <c r="X721" s="438"/>
      <c r="Y721" s="438"/>
      <c r="Z721" s="940"/>
      <c r="AA721" s="940"/>
      <c r="AB721" s="438"/>
      <c r="AC721" s="438"/>
      <c r="AD721" s="940"/>
      <c r="AE721" s="940"/>
      <c r="AF721" s="438"/>
      <c r="AH721" s="438"/>
      <c r="AI721" s="437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</row>
    <row r="722" ht="14.25" customHeight="1">
      <c r="A722" s="1"/>
      <c r="B722" s="1"/>
      <c r="C722" s="1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438"/>
      <c r="Q722" s="438"/>
      <c r="R722" s="437"/>
      <c r="S722" s="437"/>
      <c r="T722" s="438"/>
      <c r="U722" s="438"/>
      <c r="V722" s="437"/>
      <c r="W722" s="437"/>
      <c r="X722" s="438"/>
      <c r="Y722" s="438"/>
      <c r="Z722" s="940"/>
      <c r="AA722" s="940"/>
      <c r="AB722" s="438"/>
      <c r="AC722" s="438"/>
      <c r="AD722" s="940"/>
      <c r="AE722" s="940"/>
      <c r="AF722" s="438"/>
      <c r="AH722" s="438"/>
      <c r="AI722" s="437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</row>
    <row r="723" ht="14.25" customHeight="1">
      <c r="A723" s="1"/>
      <c r="B723" s="1"/>
      <c r="C723" s="1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438"/>
      <c r="Q723" s="438"/>
      <c r="R723" s="437"/>
      <c r="S723" s="437"/>
      <c r="T723" s="438"/>
      <c r="U723" s="438"/>
      <c r="V723" s="437"/>
      <c r="W723" s="437"/>
      <c r="X723" s="438"/>
      <c r="Y723" s="438"/>
      <c r="Z723" s="940"/>
      <c r="AA723" s="940"/>
      <c r="AB723" s="438"/>
      <c r="AC723" s="438"/>
      <c r="AD723" s="940"/>
      <c r="AE723" s="940"/>
      <c r="AF723" s="438"/>
      <c r="AH723" s="438"/>
      <c r="AI723" s="437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</row>
    <row r="724" ht="14.25" customHeight="1">
      <c r="A724" s="1"/>
      <c r="B724" s="1"/>
      <c r="C724" s="1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438"/>
      <c r="Q724" s="438"/>
      <c r="R724" s="437"/>
      <c r="S724" s="437"/>
      <c r="T724" s="438"/>
      <c r="U724" s="438"/>
      <c r="V724" s="437"/>
      <c r="W724" s="437"/>
      <c r="X724" s="438"/>
      <c r="Y724" s="438"/>
      <c r="Z724" s="940"/>
      <c r="AA724" s="940"/>
      <c r="AB724" s="438"/>
      <c r="AC724" s="438"/>
      <c r="AD724" s="940"/>
      <c r="AE724" s="940"/>
      <c r="AF724" s="438"/>
      <c r="AH724" s="438"/>
      <c r="AI724" s="437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</row>
    <row r="725" ht="14.25" customHeight="1">
      <c r="A725" s="1"/>
      <c r="B725" s="1"/>
      <c r="C725" s="1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438"/>
      <c r="Q725" s="438"/>
      <c r="R725" s="437"/>
      <c r="S725" s="437"/>
      <c r="T725" s="438"/>
      <c r="U725" s="438"/>
      <c r="V725" s="437"/>
      <c r="W725" s="437"/>
      <c r="X725" s="438"/>
      <c r="Y725" s="438"/>
      <c r="Z725" s="940"/>
      <c r="AA725" s="940"/>
      <c r="AB725" s="438"/>
      <c r="AC725" s="438"/>
      <c r="AD725" s="940"/>
      <c r="AE725" s="940"/>
      <c r="AF725" s="438"/>
      <c r="AH725" s="438"/>
      <c r="AI725" s="437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</row>
    <row r="726" ht="14.25" customHeight="1">
      <c r="A726" s="1"/>
      <c r="B726" s="1"/>
      <c r="C726" s="1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438"/>
      <c r="Q726" s="438"/>
      <c r="R726" s="437"/>
      <c r="S726" s="437"/>
      <c r="T726" s="438"/>
      <c r="U726" s="438"/>
      <c r="V726" s="437"/>
      <c r="W726" s="437"/>
      <c r="X726" s="438"/>
      <c r="Y726" s="438"/>
      <c r="Z726" s="940"/>
      <c r="AA726" s="940"/>
      <c r="AB726" s="438"/>
      <c r="AC726" s="438"/>
      <c r="AD726" s="940"/>
      <c r="AE726" s="940"/>
      <c r="AF726" s="438"/>
      <c r="AH726" s="438"/>
      <c r="AI726" s="437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</row>
    <row r="727" ht="14.25" customHeight="1">
      <c r="A727" s="1"/>
      <c r="B727" s="1"/>
      <c r="C727" s="1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438"/>
      <c r="Q727" s="438"/>
      <c r="R727" s="437"/>
      <c r="S727" s="437"/>
      <c r="T727" s="438"/>
      <c r="U727" s="438"/>
      <c r="V727" s="437"/>
      <c r="W727" s="437"/>
      <c r="X727" s="438"/>
      <c r="Y727" s="438"/>
      <c r="Z727" s="940"/>
      <c r="AA727" s="940"/>
      <c r="AB727" s="438"/>
      <c r="AC727" s="438"/>
      <c r="AD727" s="940"/>
      <c r="AE727" s="940"/>
      <c r="AF727" s="438"/>
      <c r="AH727" s="438"/>
      <c r="AI727" s="437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</row>
    <row r="728" ht="14.25" customHeight="1">
      <c r="A728" s="1"/>
      <c r="B728" s="1"/>
      <c r="C728" s="1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438"/>
      <c r="Q728" s="438"/>
      <c r="R728" s="437"/>
      <c r="S728" s="437"/>
      <c r="T728" s="438"/>
      <c r="U728" s="438"/>
      <c r="V728" s="437"/>
      <c r="W728" s="437"/>
      <c r="X728" s="438"/>
      <c r="Y728" s="438"/>
      <c r="Z728" s="940"/>
      <c r="AA728" s="940"/>
      <c r="AB728" s="438"/>
      <c r="AC728" s="438"/>
      <c r="AD728" s="940"/>
      <c r="AE728" s="940"/>
      <c r="AF728" s="438"/>
      <c r="AH728" s="438"/>
      <c r="AI728" s="437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</row>
    <row r="729" ht="14.25" customHeight="1">
      <c r="A729" s="1"/>
      <c r="B729" s="1"/>
      <c r="C729" s="1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438"/>
      <c r="Q729" s="438"/>
      <c r="R729" s="437"/>
      <c r="S729" s="437"/>
      <c r="T729" s="438"/>
      <c r="U729" s="438"/>
      <c r="V729" s="437"/>
      <c r="W729" s="437"/>
      <c r="X729" s="438"/>
      <c r="Y729" s="438"/>
      <c r="Z729" s="940"/>
      <c r="AA729" s="940"/>
      <c r="AB729" s="438"/>
      <c r="AC729" s="438"/>
      <c r="AD729" s="940"/>
      <c r="AE729" s="940"/>
      <c r="AF729" s="438"/>
      <c r="AH729" s="438"/>
      <c r="AI729" s="437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</row>
    <row r="730" ht="14.25" customHeight="1">
      <c r="A730" s="1"/>
      <c r="B730" s="1"/>
      <c r="C730" s="1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438"/>
      <c r="Q730" s="438"/>
      <c r="R730" s="437"/>
      <c r="S730" s="437"/>
      <c r="T730" s="438"/>
      <c r="U730" s="438"/>
      <c r="V730" s="437"/>
      <c r="W730" s="437"/>
      <c r="X730" s="438"/>
      <c r="Y730" s="438"/>
      <c r="Z730" s="940"/>
      <c r="AA730" s="940"/>
      <c r="AB730" s="438"/>
      <c r="AC730" s="438"/>
      <c r="AD730" s="940"/>
      <c r="AE730" s="940"/>
      <c r="AF730" s="438"/>
      <c r="AH730" s="438"/>
      <c r="AI730" s="437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</row>
    <row r="731" ht="14.25" customHeight="1">
      <c r="A731" s="1"/>
      <c r="B731" s="1"/>
      <c r="C731" s="1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438"/>
      <c r="Q731" s="438"/>
      <c r="R731" s="437"/>
      <c r="S731" s="437"/>
      <c r="T731" s="438"/>
      <c r="U731" s="438"/>
      <c r="V731" s="437"/>
      <c r="W731" s="437"/>
      <c r="X731" s="438"/>
      <c r="Y731" s="438"/>
      <c r="Z731" s="940"/>
      <c r="AA731" s="940"/>
      <c r="AB731" s="438"/>
      <c r="AC731" s="438"/>
      <c r="AD731" s="940"/>
      <c r="AE731" s="940"/>
      <c r="AF731" s="438"/>
      <c r="AH731" s="438"/>
      <c r="AI731" s="437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</row>
    <row r="732" ht="14.25" customHeight="1">
      <c r="A732" s="1"/>
      <c r="B732" s="1"/>
      <c r="C732" s="1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438"/>
      <c r="Q732" s="438"/>
      <c r="R732" s="437"/>
      <c r="S732" s="437"/>
      <c r="T732" s="438"/>
      <c r="U732" s="438"/>
      <c r="V732" s="437"/>
      <c r="W732" s="437"/>
      <c r="X732" s="438"/>
      <c r="Y732" s="438"/>
      <c r="Z732" s="940"/>
      <c r="AA732" s="940"/>
      <c r="AB732" s="438"/>
      <c r="AC732" s="438"/>
      <c r="AD732" s="940"/>
      <c r="AE732" s="940"/>
      <c r="AF732" s="438"/>
      <c r="AH732" s="438"/>
      <c r="AI732" s="437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</row>
    <row r="733" ht="14.25" customHeight="1">
      <c r="A733" s="1"/>
      <c r="B733" s="1"/>
      <c r="C733" s="1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438"/>
      <c r="Q733" s="438"/>
      <c r="R733" s="437"/>
      <c r="S733" s="437"/>
      <c r="T733" s="438"/>
      <c r="U733" s="438"/>
      <c r="V733" s="437"/>
      <c r="W733" s="437"/>
      <c r="X733" s="438"/>
      <c r="Y733" s="438"/>
      <c r="Z733" s="940"/>
      <c r="AA733" s="940"/>
      <c r="AB733" s="438"/>
      <c r="AC733" s="438"/>
      <c r="AD733" s="940"/>
      <c r="AE733" s="940"/>
      <c r="AF733" s="438"/>
      <c r="AH733" s="438"/>
      <c r="AI733" s="437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</row>
    <row r="734" ht="14.25" customHeight="1">
      <c r="A734" s="1"/>
      <c r="B734" s="1"/>
      <c r="C734" s="1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438"/>
      <c r="Q734" s="438"/>
      <c r="R734" s="437"/>
      <c r="S734" s="437"/>
      <c r="T734" s="438"/>
      <c r="U734" s="438"/>
      <c r="V734" s="437"/>
      <c r="W734" s="437"/>
      <c r="X734" s="438"/>
      <c r="Y734" s="438"/>
      <c r="Z734" s="940"/>
      <c r="AA734" s="940"/>
      <c r="AB734" s="438"/>
      <c r="AC734" s="438"/>
      <c r="AD734" s="940"/>
      <c r="AE734" s="940"/>
      <c r="AF734" s="438"/>
      <c r="AH734" s="438"/>
      <c r="AI734" s="437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</row>
    <row r="735" ht="14.25" customHeight="1">
      <c r="A735" s="1"/>
      <c r="B735" s="1"/>
      <c r="C735" s="1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438"/>
      <c r="Q735" s="438"/>
      <c r="R735" s="437"/>
      <c r="S735" s="437"/>
      <c r="T735" s="438"/>
      <c r="U735" s="438"/>
      <c r="V735" s="437"/>
      <c r="W735" s="437"/>
      <c r="X735" s="438"/>
      <c r="Y735" s="438"/>
      <c r="Z735" s="940"/>
      <c r="AA735" s="940"/>
      <c r="AB735" s="438"/>
      <c r="AC735" s="438"/>
      <c r="AD735" s="940"/>
      <c r="AE735" s="940"/>
      <c r="AF735" s="438"/>
      <c r="AH735" s="438"/>
      <c r="AI735" s="437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</row>
    <row r="736" ht="14.25" customHeight="1">
      <c r="A736" s="1"/>
      <c r="B736" s="1"/>
      <c r="C736" s="1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438"/>
      <c r="Q736" s="438"/>
      <c r="R736" s="437"/>
      <c r="S736" s="437"/>
      <c r="T736" s="438"/>
      <c r="U736" s="438"/>
      <c r="V736" s="437"/>
      <c r="W736" s="437"/>
      <c r="X736" s="438"/>
      <c r="Y736" s="438"/>
      <c r="Z736" s="940"/>
      <c r="AA736" s="940"/>
      <c r="AB736" s="438"/>
      <c r="AC736" s="438"/>
      <c r="AD736" s="940"/>
      <c r="AE736" s="940"/>
      <c r="AF736" s="438"/>
      <c r="AH736" s="438"/>
      <c r="AI736" s="437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</row>
    <row r="737" ht="14.25" customHeight="1">
      <c r="A737" s="1"/>
      <c r="B737" s="1"/>
      <c r="C737" s="1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438"/>
      <c r="Q737" s="438"/>
      <c r="R737" s="437"/>
      <c r="S737" s="437"/>
      <c r="T737" s="438"/>
      <c r="U737" s="438"/>
      <c r="V737" s="437"/>
      <c r="W737" s="437"/>
      <c r="X737" s="438"/>
      <c r="Y737" s="438"/>
      <c r="Z737" s="940"/>
      <c r="AA737" s="940"/>
      <c r="AB737" s="438"/>
      <c r="AC737" s="438"/>
      <c r="AD737" s="940"/>
      <c r="AE737" s="940"/>
      <c r="AF737" s="438"/>
      <c r="AH737" s="438"/>
      <c r="AI737" s="437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</row>
    <row r="738" ht="14.25" customHeight="1">
      <c r="A738" s="1"/>
      <c r="B738" s="1"/>
      <c r="C738" s="1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438"/>
      <c r="Q738" s="438"/>
      <c r="R738" s="437"/>
      <c r="S738" s="437"/>
      <c r="T738" s="438"/>
      <c r="U738" s="438"/>
      <c r="V738" s="437"/>
      <c r="W738" s="437"/>
      <c r="X738" s="438"/>
      <c r="Y738" s="438"/>
      <c r="Z738" s="940"/>
      <c r="AA738" s="940"/>
      <c r="AB738" s="438"/>
      <c r="AC738" s="438"/>
      <c r="AD738" s="940"/>
      <c r="AE738" s="940"/>
      <c r="AF738" s="438"/>
      <c r="AH738" s="438"/>
      <c r="AI738" s="437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</row>
    <row r="739" ht="14.25" customHeight="1">
      <c r="A739" s="1"/>
      <c r="B739" s="1"/>
      <c r="C739" s="1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438"/>
      <c r="Q739" s="438"/>
      <c r="R739" s="437"/>
      <c r="S739" s="437"/>
      <c r="T739" s="438"/>
      <c r="U739" s="438"/>
      <c r="V739" s="437"/>
      <c r="W739" s="437"/>
      <c r="X739" s="438"/>
      <c r="Y739" s="438"/>
      <c r="Z739" s="940"/>
      <c r="AA739" s="940"/>
      <c r="AB739" s="438"/>
      <c r="AC739" s="438"/>
      <c r="AD739" s="940"/>
      <c r="AE739" s="940"/>
      <c r="AF739" s="438"/>
      <c r="AH739" s="438"/>
      <c r="AI739" s="437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</row>
    <row r="740" ht="14.25" customHeight="1">
      <c r="A740" s="1"/>
      <c r="B740" s="1"/>
      <c r="C740" s="1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438"/>
      <c r="Q740" s="438"/>
      <c r="R740" s="437"/>
      <c r="S740" s="437"/>
      <c r="T740" s="438"/>
      <c r="U740" s="438"/>
      <c r="V740" s="437"/>
      <c r="W740" s="437"/>
      <c r="X740" s="438"/>
      <c r="Y740" s="438"/>
      <c r="Z740" s="940"/>
      <c r="AA740" s="940"/>
      <c r="AB740" s="438"/>
      <c r="AC740" s="438"/>
      <c r="AD740" s="940"/>
      <c r="AE740" s="940"/>
      <c r="AF740" s="438"/>
      <c r="AH740" s="438"/>
      <c r="AI740" s="437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</row>
    <row r="741" ht="14.25" customHeight="1">
      <c r="A741" s="1"/>
      <c r="B741" s="1"/>
      <c r="C741" s="1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438"/>
      <c r="Q741" s="438"/>
      <c r="R741" s="437"/>
      <c r="S741" s="437"/>
      <c r="T741" s="438"/>
      <c r="U741" s="438"/>
      <c r="V741" s="437"/>
      <c r="W741" s="437"/>
      <c r="X741" s="438"/>
      <c r="Y741" s="438"/>
      <c r="Z741" s="940"/>
      <c r="AA741" s="940"/>
      <c r="AB741" s="438"/>
      <c r="AC741" s="438"/>
      <c r="AD741" s="940"/>
      <c r="AE741" s="940"/>
      <c r="AF741" s="438"/>
      <c r="AH741" s="438"/>
      <c r="AI741" s="437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</row>
    <row r="742" ht="14.25" customHeight="1">
      <c r="A742" s="1"/>
      <c r="B742" s="1"/>
      <c r="C742" s="1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438"/>
      <c r="Q742" s="438"/>
      <c r="R742" s="437"/>
      <c r="S742" s="437"/>
      <c r="T742" s="438"/>
      <c r="U742" s="438"/>
      <c r="V742" s="437"/>
      <c r="W742" s="437"/>
      <c r="X742" s="438"/>
      <c r="Y742" s="438"/>
      <c r="Z742" s="940"/>
      <c r="AA742" s="940"/>
      <c r="AB742" s="438"/>
      <c r="AC742" s="438"/>
      <c r="AD742" s="940"/>
      <c r="AE742" s="940"/>
      <c r="AF742" s="438"/>
      <c r="AH742" s="438"/>
      <c r="AI742" s="437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</row>
    <row r="743" ht="14.25" customHeight="1">
      <c r="A743" s="1"/>
      <c r="B743" s="1"/>
      <c r="C743" s="1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438"/>
      <c r="Q743" s="438"/>
      <c r="R743" s="437"/>
      <c r="S743" s="437"/>
      <c r="T743" s="438"/>
      <c r="U743" s="438"/>
      <c r="V743" s="437"/>
      <c r="W743" s="437"/>
      <c r="X743" s="438"/>
      <c r="Y743" s="438"/>
      <c r="Z743" s="940"/>
      <c r="AA743" s="940"/>
      <c r="AB743" s="438"/>
      <c r="AC743" s="438"/>
      <c r="AD743" s="940"/>
      <c r="AE743" s="940"/>
      <c r="AF743" s="438"/>
      <c r="AH743" s="438"/>
      <c r="AI743" s="437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</row>
    <row r="744" ht="14.25" customHeight="1">
      <c r="A744" s="1"/>
      <c r="B744" s="1"/>
      <c r="C744" s="1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438"/>
      <c r="Q744" s="438"/>
      <c r="R744" s="437"/>
      <c r="S744" s="437"/>
      <c r="T744" s="438"/>
      <c r="U744" s="438"/>
      <c r="V744" s="437"/>
      <c r="W744" s="437"/>
      <c r="X744" s="438"/>
      <c r="Y744" s="438"/>
      <c r="Z744" s="940"/>
      <c r="AA744" s="940"/>
      <c r="AB744" s="438"/>
      <c r="AC744" s="438"/>
      <c r="AD744" s="940"/>
      <c r="AE744" s="940"/>
      <c r="AF744" s="438"/>
      <c r="AH744" s="438"/>
      <c r="AI744" s="437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</row>
    <row r="745" ht="14.25" customHeight="1">
      <c r="A745" s="1"/>
      <c r="B745" s="1"/>
      <c r="C745" s="1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438"/>
      <c r="Q745" s="438"/>
      <c r="R745" s="437"/>
      <c r="S745" s="437"/>
      <c r="T745" s="438"/>
      <c r="U745" s="438"/>
      <c r="V745" s="437"/>
      <c r="W745" s="437"/>
      <c r="X745" s="438"/>
      <c r="Y745" s="438"/>
      <c r="Z745" s="940"/>
      <c r="AA745" s="940"/>
      <c r="AB745" s="438"/>
      <c r="AC745" s="438"/>
      <c r="AD745" s="940"/>
      <c r="AE745" s="940"/>
      <c r="AF745" s="438"/>
      <c r="AH745" s="438"/>
      <c r="AI745" s="437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</row>
    <row r="746" ht="14.25" customHeight="1">
      <c r="A746" s="1"/>
      <c r="B746" s="1"/>
      <c r="C746" s="1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438"/>
      <c r="Q746" s="438"/>
      <c r="R746" s="437"/>
      <c r="S746" s="437"/>
      <c r="T746" s="438"/>
      <c r="U746" s="438"/>
      <c r="V746" s="437"/>
      <c r="W746" s="437"/>
      <c r="X746" s="438"/>
      <c r="Y746" s="438"/>
      <c r="Z746" s="940"/>
      <c r="AA746" s="940"/>
      <c r="AB746" s="438"/>
      <c r="AC746" s="438"/>
      <c r="AD746" s="940"/>
      <c r="AE746" s="940"/>
      <c r="AF746" s="438"/>
      <c r="AH746" s="438"/>
      <c r="AI746" s="437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</row>
    <row r="747" ht="14.25" customHeight="1">
      <c r="A747" s="1"/>
      <c r="B747" s="1"/>
      <c r="C747" s="1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438"/>
      <c r="Q747" s="438"/>
      <c r="R747" s="437"/>
      <c r="S747" s="437"/>
      <c r="T747" s="438"/>
      <c r="U747" s="438"/>
      <c r="V747" s="437"/>
      <c r="W747" s="437"/>
      <c r="X747" s="438"/>
      <c r="Y747" s="438"/>
      <c r="Z747" s="940"/>
      <c r="AA747" s="940"/>
      <c r="AB747" s="438"/>
      <c r="AC747" s="438"/>
      <c r="AD747" s="940"/>
      <c r="AE747" s="940"/>
      <c r="AF747" s="438"/>
      <c r="AH747" s="438"/>
      <c r="AI747" s="437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</row>
    <row r="748" ht="14.25" customHeight="1">
      <c r="A748" s="1"/>
      <c r="B748" s="1"/>
      <c r="C748" s="1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438"/>
      <c r="Q748" s="438"/>
      <c r="R748" s="437"/>
      <c r="S748" s="437"/>
      <c r="T748" s="438"/>
      <c r="U748" s="438"/>
      <c r="V748" s="437"/>
      <c r="W748" s="437"/>
      <c r="X748" s="438"/>
      <c r="Y748" s="438"/>
      <c r="Z748" s="940"/>
      <c r="AA748" s="940"/>
      <c r="AB748" s="438"/>
      <c r="AC748" s="438"/>
      <c r="AD748" s="940"/>
      <c r="AE748" s="940"/>
      <c r="AF748" s="438"/>
      <c r="AH748" s="438"/>
      <c r="AI748" s="437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</row>
    <row r="749" ht="14.25" customHeight="1">
      <c r="A749" s="1"/>
      <c r="B749" s="1"/>
      <c r="C749" s="1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438"/>
      <c r="Q749" s="438"/>
      <c r="R749" s="437"/>
      <c r="S749" s="437"/>
      <c r="T749" s="438"/>
      <c r="U749" s="438"/>
      <c r="V749" s="437"/>
      <c r="W749" s="437"/>
      <c r="X749" s="438"/>
      <c r="Y749" s="438"/>
      <c r="Z749" s="940"/>
      <c r="AA749" s="940"/>
      <c r="AB749" s="438"/>
      <c r="AC749" s="438"/>
      <c r="AD749" s="940"/>
      <c r="AE749" s="940"/>
      <c r="AF749" s="438"/>
      <c r="AH749" s="438"/>
      <c r="AI749" s="437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</row>
    <row r="750" ht="14.25" customHeight="1">
      <c r="A750" s="1"/>
      <c r="B750" s="1"/>
      <c r="C750" s="1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438"/>
      <c r="Q750" s="438"/>
      <c r="R750" s="437"/>
      <c r="S750" s="437"/>
      <c r="T750" s="438"/>
      <c r="U750" s="438"/>
      <c r="V750" s="437"/>
      <c r="W750" s="437"/>
      <c r="X750" s="438"/>
      <c r="Y750" s="438"/>
      <c r="Z750" s="940"/>
      <c r="AA750" s="940"/>
      <c r="AB750" s="438"/>
      <c r="AC750" s="438"/>
      <c r="AD750" s="940"/>
      <c r="AE750" s="940"/>
      <c r="AF750" s="438"/>
      <c r="AH750" s="438"/>
      <c r="AI750" s="437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</row>
    <row r="751" ht="14.25" customHeight="1">
      <c r="A751" s="1"/>
      <c r="B751" s="1"/>
      <c r="C751" s="1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438"/>
      <c r="Q751" s="438"/>
      <c r="R751" s="437"/>
      <c r="S751" s="437"/>
      <c r="T751" s="438"/>
      <c r="U751" s="438"/>
      <c r="V751" s="437"/>
      <c r="W751" s="437"/>
      <c r="X751" s="438"/>
      <c r="Y751" s="438"/>
      <c r="Z751" s="940"/>
      <c r="AA751" s="940"/>
      <c r="AB751" s="438"/>
      <c r="AC751" s="438"/>
      <c r="AD751" s="940"/>
      <c r="AE751" s="940"/>
      <c r="AF751" s="438"/>
      <c r="AH751" s="438"/>
      <c r="AI751" s="437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</row>
    <row r="752" ht="14.25" customHeight="1">
      <c r="A752" s="1"/>
      <c r="B752" s="1"/>
      <c r="C752" s="1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438"/>
      <c r="Q752" s="438"/>
      <c r="R752" s="437"/>
      <c r="S752" s="437"/>
      <c r="T752" s="438"/>
      <c r="U752" s="438"/>
      <c r="V752" s="437"/>
      <c r="W752" s="437"/>
      <c r="X752" s="438"/>
      <c r="Y752" s="438"/>
      <c r="Z752" s="940"/>
      <c r="AA752" s="940"/>
      <c r="AB752" s="438"/>
      <c r="AC752" s="438"/>
      <c r="AD752" s="940"/>
      <c r="AE752" s="940"/>
      <c r="AF752" s="438"/>
      <c r="AH752" s="438"/>
      <c r="AI752" s="437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</row>
    <row r="753" ht="14.25" customHeight="1">
      <c r="A753" s="1"/>
      <c r="B753" s="1"/>
      <c r="C753" s="1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438"/>
      <c r="Q753" s="438"/>
      <c r="R753" s="437"/>
      <c r="S753" s="437"/>
      <c r="T753" s="438"/>
      <c r="U753" s="438"/>
      <c r="V753" s="437"/>
      <c r="W753" s="437"/>
      <c r="X753" s="438"/>
      <c r="Y753" s="438"/>
      <c r="Z753" s="940"/>
      <c r="AA753" s="940"/>
      <c r="AB753" s="438"/>
      <c r="AC753" s="438"/>
      <c r="AD753" s="940"/>
      <c r="AE753" s="940"/>
      <c r="AF753" s="438"/>
      <c r="AH753" s="438"/>
      <c r="AI753" s="437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</row>
    <row r="754" ht="14.25" customHeight="1">
      <c r="A754" s="1"/>
      <c r="B754" s="1"/>
      <c r="C754" s="1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438"/>
      <c r="Q754" s="438"/>
      <c r="R754" s="437"/>
      <c r="S754" s="437"/>
      <c r="T754" s="438"/>
      <c r="U754" s="438"/>
      <c r="V754" s="437"/>
      <c r="W754" s="437"/>
      <c r="X754" s="438"/>
      <c r="Y754" s="438"/>
      <c r="Z754" s="940"/>
      <c r="AA754" s="940"/>
      <c r="AB754" s="438"/>
      <c r="AC754" s="438"/>
      <c r="AD754" s="940"/>
      <c r="AE754" s="940"/>
      <c r="AF754" s="438"/>
      <c r="AH754" s="438"/>
      <c r="AI754" s="437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</row>
    <row r="755" ht="14.25" customHeight="1">
      <c r="A755" s="1"/>
      <c r="B755" s="1"/>
      <c r="C755" s="1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438"/>
      <c r="Q755" s="438"/>
      <c r="R755" s="437"/>
      <c r="S755" s="437"/>
      <c r="T755" s="438"/>
      <c r="U755" s="438"/>
      <c r="V755" s="437"/>
      <c r="W755" s="437"/>
      <c r="X755" s="438"/>
      <c r="Y755" s="438"/>
      <c r="Z755" s="940"/>
      <c r="AA755" s="940"/>
      <c r="AB755" s="438"/>
      <c r="AC755" s="438"/>
      <c r="AD755" s="940"/>
      <c r="AE755" s="940"/>
      <c r="AF755" s="438"/>
      <c r="AH755" s="438"/>
      <c r="AI755" s="437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</row>
    <row r="756" ht="14.25" customHeight="1">
      <c r="A756" s="1"/>
      <c r="B756" s="1"/>
      <c r="C756" s="1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438"/>
      <c r="Q756" s="438"/>
      <c r="R756" s="437"/>
      <c r="S756" s="437"/>
      <c r="T756" s="438"/>
      <c r="U756" s="438"/>
      <c r="V756" s="437"/>
      <c r="W756" s="437"/>
      <c r="X756" s="438"/>
      <c r="Y756" s="438"/>
      <c r="Z756" s="940"/>
      <c r="AA756" s="940"/>
      <c r="AB756" s="438"/>
      <c r="AC756" s="438"/>
      <c r="AD756" s="940"/>
      <c r="AE756" s="940"/>
      <c r="AF756" s="438"/>
      <c r="AH756" s="438"/>
      <c r="AI756" s="437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</row>
    <row r="757" ht="14.25" customHeight="1">
      <c r="A757" s="1"/>
      <c r="B757" s="1"/>
      <c r="C757" s="1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438"/>
      <c r="Q757" s="438"/>
      <c r="R757" s="437"/>
      <c r="S757" s="437"/>
      <c r="T757" s="438"/>
      <c r="U757" s="438"/>
      <c r="V757" s="437"/>
      <c r="W757" s="437"/>
      <c r="X757" s="438"/>
      <c r="Y757" s="438"/>
      <c r="Z757" s="940"/>
      <c r="AA757" s="940"/>
      <c r="AB757" s="438"/>
      <c r="AC757" s="438"/>
      <c r="AD757" s="940"/>
      <c r="AE757" s="940"/>
      <c r="AF757" s="438"/>
      <c r="AH757" s="438"/>
      <c r="AI757" s="437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</row>
    <row r="758" ht="14.25" customHeight="1">
      <c r="A758" s="1"/>
      <c r="B758" s="1"/>
      <c r="C758" s="1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438"/>
      <c r="Q758" s="438"/>
      <c r="R758" s="437"/>
      <c r="S758" s="437"/>
      <c r="T758" s="438"/>
      <c r="U758" s="438"/>
      <c r="V758" s="437"/>
      <c r="W758" s="437"/>
      <c r="X758" s="438"/>
      <c r="Y758" s="438"/>
      <c r="Z758" s="940"/>
      <c r="AA758" s="940"/>
      <c r="AB758" s="438"/>
      <c r="AC758" s="438"/>
      <c r="AD758" s="940"/>
      <c r="AE758" s="940"/>
      <c r="AF758" s="438"/>
      <c r="AH758" s="438"/>
      <c r="AI758" s="437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</row>
    <row r="759" ht="14.25" customHeight="1">
      <c r="A759" s="1"/>
      <c r="B759" s="1"/>
      <c r="C759" s="1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438"/>
      <c r="Q759" s="438"/>
      <c r="R759" s="437"/>
      <c r="S759" s="437"/>
      <c r="T759" s="438"/>
      <c r="U759" s="438"/>
      <c r="V759" s="437"/>
      <c r="W759" s="437"/>
      <c r="X759" s="438"/>
      <c r="Y759" s="438"/>
      <c r="Z759" s="940"/>
      <c r="AA759" s="940"/>
      <c r="AB759" s="438"/>
      <c r="AC759" s="438"/>
      <c r="AD759" s="940"/>
      <c r="AE759" s="940"/>
      <c r="AF759" s="438"/>
      <c r="AH759" s="438"/>
      <c r="AI759" s="437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</row>
    <row r="760" ht="14.25" customHeight="1">
      <c r="A760" s="1"/>
      <c r="B760" s="1"/>
      <c r="C760" s="1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438"/>
      <c r="Q760" s="438"/>
      <c r="R760" s="437"/>
      <c r="S760" s="437"/>
      <c r="T760" s="438"/>
      <c r="U760" s="438"/>
      <c r="V760" s="437"/>
      <c r="W760" s="437"/>
      <c r="X760" s="438"/>
      <c r="Y760" s="438"/>
      <c r="Z760" s="940"/>
      <c r="AA760" s="940"/>
      <c r="AB760" s="438"/>
      <c r="AC760" s="438"/>
      <c r="AD760" s="940"/>
      <c r="AE760" s="940"/>
      <c r="AF760" s="438"/>
      <c r="AH760" s="438"/>
      <c r="AI760" s="437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</row>
    <row r="761" ht="14.25" customHeight="1">
      <c r="A761" s="1"/>
      <c r="B761" s="1"/>
      <c r="C761" s="1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438"/>
      <c r="Q761" s="438"/>
      <c r="R761" s="437"/>
      <c r="S761" s="437"/>
      <c r="T761" s="438"/>
      <c r="U761" s="438"/>
      <c r="V761" s="437"/>
      <c r="W761" s="437"/>
      <c r="X761" s="438"/>
      <c r="Y761" s="438"/>
      <c r="Z761" s="940"/>
      <c r="AA761" s="940"/>
      <c r="AB761" s="438"/>
      <c r="AC761" s="438"/>
      <c r="AD761" s="940"/>
      <c r="AE761" s="940"/>
      <c r="AF761" s="438"/>
      <c r="AH761" s="438"/>
      <c r="AI761" s="437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</row>
    <row r="762" ht="14.25" customHeight="1">
      <c r="A762" s="1"/>
      <c r="B762" s="1"/>
      <c r="C762" s="1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438"/>
      <c r="Q762" s="438"/>
      <c r="R762" s="437"/>
      <c r="S762" s="437"/>
      <c r="T762" s="438"/>
      <c r="U762" s="438"/>
      <c r="V762" s="437"/>
      <c r="W762" s="437"/>
      <c r="X762" s="438"/>
      <c r="Y762" s="438"/>
      <c r="Z762" s="940"/>
      <c r="AA762" s="940"/>
      <c r="AB762" s="438"/>
      <c r="AC762" s="438"/>
      <c r="AD762" s="940"/>
      <c r="AE762" s="940"/>
      <c r="AF762" s="438"/>
      <c r="AH762" s="438"/>
      <c r="AI762" s="437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</row>
    <row r="763" ht="14.25" customHeight="1">
      <c r="A763" s="1"/>
      <c r="B763" s="1"/>
      <c r="C763" s="1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438"/>
      <c r="Q763" s="438"/>
      <c r="R763" s="437"/>
      <c r="S763" s="437"/>
      <c r="T763" s="438"/>
      <c r="U763" s="438"/>
      <c r="V763" s="437"/>
      <c r="W763" s="437"/>
      <c r="X763" s="438"/>
      <c r="Y763" s="438"/>
      <c r="Z763" s="940"/>
      <c r="AA763" s="940"/>
      <c r="AB763" s="438"/>
      <c r="AC763" s="438"/>
      <c r="AD763" s="940"/>
      <c r="AE763" s="940"/>
      <c r="AF763" s="438"/>
      <c r="AH763" s="438"/>
      <c r="AI763" s="437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</row>
    <row r="764" ht="14.25" customHeight="1">
      <c r="A764" s="1"/>
      <c r="B764" s="1"/>
      <c r="C764" s="1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438"/>
      <c r="Q764" s="438"/>
      <c r="R764" s="437"/>
      <c r="S764" s="437"/>
      <c r="T764" s="438"/>
      <c r="U764" s="438"/>
      <c r="V764" s="437"/>
      <c r="W764" s="437"/>
      <c r="X764" s="438"/>
      <c r="Y764" s="438"/>
      <c r="Z764" s="940"/>
      <c r="AA764" s="940"/>
      <c r="AB764" s="438"/>
      <c r="AC764" s="438"/>
      <c r="AD764" s="940"/>
      <c r="AE764" s="940"/>
      <c r="AF764" s="438"/>
      <c r="AH764" s="438"/>
      <c r="AI764" s="437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</row>
    <row r="765" ht="14.25" customHeight="1">
      <c r="A765" s="1"/>
      <c r="B765" s="1"/>
      <c r="C765" s="1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438"/>
      <c r="Q765" s="438"/>
      <c r="R765" s="437"/>
      <c r="S765" s="437"/>
      <c r="T765" s="438"/>
      <c r="U765" s="438"/>
      <c r="V765" s="437"/>
      <c r="W765" s="437"/>
      <c r="X765" s="438"/>
      <c r="Y765" s="438"/>
      <c r="Z765" s="940"/>
      <c r="AA765" s="940"/>
      <c r="AB765" s="438"/>
      <c r="AC765" s="438"/>
      <c r="AD765" s="940"/>
      <c r="AE765" s="940"/>
      <c r="AF765" s="438"/>
      <c r="AH765" s="438"/>
      <c r="AI765" s="437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</row>
    <row r="766" ht="14.25" customHeight="1">
      <c r="A766" s="1"/>
      <c r="B766" s="1"/>
      <c r="C766" s="1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438"/>
      <c r="Q766" s="438"/>
      <c r="R766" s="437"/>
      <c r="S766" s="437"/>
      <c r="T766" s="438"/>
      <c r="U766" s="438"/>
      <c r="V766" s="437"/>
      <c r="W766" s="437"/>
      <c r="X766" s="438"/>
      <c r="Y766" s="438"/>
      <c r="Z766" s="940"/>
      <c r="AA766" s="940"/>
      <c r="AB766" s="438"/>
      <c r="AC766" s="438"/>
      <c r="AD766" s="940"/>
      <c r="AE766" s="940"/>
      <c r="AF766" s="438"/>
      <c r="AH766" s="438"/>
      <c r="AI766" s="437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</row>
    <row r="767" ht="14.25" customHeight="1">
      <c r="A767" s="1"/>
      <c r="B767" s="1"/>
      <c r="C767" s="1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438"/>
      <c r="Q767" s="438"/>
      <c r="R767" s="437"/>
      <c r="S767" s="437"/>
      <c r="T767" s="438"/>
      <c r="U767" s="438"/>
      <c r="V767" s="437"/>
      <c r="W767" s="437"/>
      <c r="X767" s="438"/>
      <c r="Y767" s="438"/>
      <c r="Z767" s="940"/>
      <c r="AA767" s="940"/>
      <c r="AB767" s="438"/>
      <c r="AC767" s="438"/>
      <c r="AD767" s="940"/>
      <c r="AE767" s="940"/>
      <c r="AF767" s="438"/>
      <c r="AH767" s="438"/>
      <c r="AI767" s="437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</row>
    <row r="768" ht="14.25" customHeight="1">
      <c r="A768" s="1"/>
      <c r="B768" s="1"/>
      <c r="C768" s="1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438"/>
      <c r="Q768" s="438"/>
      <c r="R768" s="437"/>
      <c r="S768" s="437"/>
      <c r="T768" s="438"/>
      <c r="U768" s="438"/>
      <c r="V768" s="437"/>
      <c r="W768" s="437"/>
      <c r="X768" s="438"/>
      <c r="Y768" s="438"/>
      <c r="Z768" s="940"/>
      <c r="AA768" s="940"/>
      <c r="AB768" s="438"/>
      <c r="AC768" s="438"/>
      <c r="AD768" s="940"/>
      <c r="AE768" s="940"/>
      <c r="AF768" s="438"/>
      <c r="AH768" s="438"/>
      <c r="AI768" s="437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</row>
    <row r="769" ht="14.25" customHeight="1">
      <c r="A769" s="1"/>
      <c r="B769" s="1"/>
      <c r="C769" s="1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438"/>
      <c r="Q769" s="438"/>
      <c r="R769" s="437"/>
      <c r="S769" s="437"/>
      <c r="T769" s="438"/>
      <c r="U769" s="438"/>
      <c r="V769" s="437"/>
      <c r="W769" s="437"/>
      <c r="X769" s="438"/>
      <c r="Y769" s="438"/>
      <c r="Z769" s="940"/>
      <c r="AA769" s="940"/>
      <c r="AB769" s="438"/>
      <c r="AC769" s="438"/>
      <c r="AD769" s="940"/>
      <c r="AE769" s="940"/>
      <c r="AF769" s="438"/>
      <c r="AH769" s="438"/>
      <c r="AI769" s="437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</row>
    <row r="770" ht="14.25" customHeight="1">
      <c r="A770" s="1"/>
      <c r="B770" s="1"/>
      <c r="C770" s="1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438"/>
      <c r="Q770" s="438"/>
      <c r="R770" s="437"/>
      <c r="S770" s="437"/>
      <c r="T770" s="438"/>
      <c r="U770" s="438"/>
      <c r="V770" s="437"/>
      <c r="W770" s="437"/>
      <c r="X770" s="438"/>
      <c r="Y770" s="438"/>
      <c r="Z770" s="940"/>
      <c r="AA770" s="940"/>
      <c r="AB770" s="438"/>
      <c r="AC770" s="438"/>
      <c r="AD770" s="940"/>
      <c r="AE770" s="940"/>
      <c r="AF770" s="438"/>
      <c r="AH770" s="438"/>
      <c r="AI770" s="437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</row>
    <row r="771" ht="14.25" customHeight="1">
      <c r="A771" s="1"/>
      <c r="B771" s="1"/>
      <c r="C771" s="1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438"/>
      <c r="Q771" s="438"/>
      <c r="R771" s="437"/>
      <c r="S771" s="437"/>
      <c r="T771" s="438"/>
      <c r="U771" s="438"/>
      <c r="V771" s="437"/>
      <c r="W771" s="437"/>
      <c r="X771" s="438"/>
      <c r="Y771" s="438"/>
      <c r="Z771" s="940"/>
      <c r="AA771" s="940"/>
      <c r="AB771" s="438"/>
      <c r="AC771" s="438"/>
      <c r="AD771" s="940"/>
      <c r="AE771" s="940"/>
      <c r="AF771" s="438"/>
      <c r="AH771" s="438"/>
      <c r="AI771" s="437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</row>
    <row r="772" ht="14.25" customHeight="1">
      <c r="A772" s="1"/>
      <c r="B772" s="1"/>
      <c r="C772" s="1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438"/>
      <c r="Q772" s="438"/>
      <c r="R772" s="437"/>
      <c r="S772" s="437"/>
      <c r="T772" s="438"/>
      <c r="U772" s="438"/>
      <c r="V772" s="437"/>
      <c r="W772" s="437"/>
      <c r="X772" s="438"/>
      <c r="Y772" s="438"/>
      <c r="Z772" s="940"/>
      <c r="AA772" s="940"/>
      <c r="AB772" s="438"/>
      <c r="AC772" s="438"/>
      <c r="AD772" s="940"/>
      <c r="AE772" s="940"/>
      <c r="AF772" s="438"/>
      <c r="AH772" s="438"/>
      <c r="AI772" s="437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</row>
    <row r="773" ht="14.25" customHeight="1">
      <c r="A773" s="1"/>
      <c r="B773" s="1"/>
      <c r="C773" s="1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438"/>
      <c r="Q773" s="438"/>
      <c r="R773" s="437"/>
      <c r="S773" s="437"/>
      <c r="T773" s="438"/>
      <c r="U773" s="438"/>
      <c r="V773" s="437"/>
      <c r="W773" s="437"/>
      <c r="X773" s="438"/>
      <c r="Y773" s="438"/>
      <c r="Z773" s="940"/>
      <c r="AA773" s="940"/>
      <c r="AB773" s="438"/>
      <c r="AC773" s="438"/>
      <c r="AD773" s="940"/>
      <c r="AE773" s="940"/>
      <c r="AF773" s="438"/>
      <c r="AH773" s="438"/>
      <c r="AI773" s="437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</row>
    <row r="774" ht="14.25" customHeight="1">
      <c r="A774" s="1"/>
      <c r="B774" s="1"/>
      <c r="C774" s="1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438"/>
      <c r="Q774" s="438"/>
      <c r="R774" s="437"/>
      <c r="S774" s="437"/>
      <c r="T774" s="438"/>
      <c r="U774" s="438"/>
      <c r="V774" s="437"/>
      <c r="W774" s="437"/>
      <c r="X774" s="438"/>
      <c r="Y774" s="438"/>
      <c r="Z774" s="940"/>
      <c r="AA774" s="940"/>
      <c r="AB774" s="438"/>
      <c r="AC774" s="438"/>
      <c r="AD774" s="940"/>
      <c r="AE774" s="940"/>
      <c r="AF774" s="438"/>
      <c r="AH774" s="438"/>
      <c r="AI774" s="437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</row>
    <row r="775" ht="14.25" customHeight="1">
      <c r="A775" s="1"/>
      <c r="B775" s="1"/>
      <c r="C775" s="1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438"/>
      <c r="Q775" s="438"/>
      <c r="R775" s="437"/>
      <c r="S775" s="437"/>
      <c r="T775" s="438"/>
      <c r="U775" s="438"/>
      <c r="V775" s="437"/>
      <c r="W775" s="437"/>
      <c r="X775" s="438"/>
      <c r="Y775" s="438"/>
      <c r="Z775" s="940"/>
      <c r="AA775" s="940"/>
      <c r="AB775" s="438"/>
      <c r="AC775" s="438"/>
      <c r="AD775" s="940"/>
      <c r="AE775" s="940"/>
      <c r="AF775" s="438"/>
      <c r="AH775" s="438"/>
      <c r="AI775" s="437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</row>
    <row r="776" ht="14.25" customHeight="1">
      <c r="A776" s="1"/>
      <c r="B776" s="1"/>
      <c r="C776" s="1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438"/>
      <c r="Q776" s="438"/>
      <c r="R776" s="437"/>
      <c r="S776" s="437"/>
      <c r="T776" s="438"/>
      <c r="U776" s="438"/>
      <c r="V776" s="437"/>
      <c r="W776" s="437"/>
      <c r="X776" s="438"/>
      <c r="Y776" s="438"/>
      <c r="Z776" s="940"/>
      <c r="AA776" s="940"/>
      <c r="AB776" s="438"/>
      <c r="AC776" s="438"/>
      <c r="AD776" s="940"/>
      <c r="AE776" s="940"/>
      <c r="AF776" s="438"/>
      <c r="AH776" s="438"/>
      <c r="AI776" s="437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</row>
    <row r="777" ht="14.25" customHeight="1">
      <c r="A777" s="1"/>
      <c r="B777" s="1"/>
      <c r="C777" s="1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438"/>
      <c r="Q777" s="438"/>
      <c r="R777" s="437"/>
      <c r="S777" s="437"/>
      <c r="T777" s="438"/>
      <c r="U777" s="438"/>
      <c r="V777" s="437"/>
      <c r="W777" s="437"/>
      <c r="X777" s="438"/>
      <c r="Y777" s="438"/>
      <c r="Z777" s="940"/>
      <c r="AA777" s="940"/>
      <c r="AB777" s="438"/>
      <c r="AC777" s="438"/>
      <c r="AD777" s="940"/>
      <c r="AE777" s="940"/>
      <c r="AF777" s="438"/>
      <c r="AH777" s="438"/>
      <c r="AI777" s="437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</row>
    <row r="778" ht="14.25" customHeight="1">
      <c r="A778" s="1"/>
      <c r="B778" s="1"/>
      <c r="C778" s="1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438"/>
      <c r="Q778" s="438"/>
      <c r="R778" s="437"/>
      <c r="S778" s="437"/>
      <c r="T778" s="438"/>
      <c r="U778" s="438"/>
      <c r="V778" s="437"/>
      <c r="W778" s="437"/>
      <c r="X778" s="438"/>
      <c r="Y778" s="438"/>
      <c r="Z778" s="940"/>
      <c r="AA778" s="940"/>
      <c r="AB778" s="438"/>
      <c r="AC778" s="438"/>
      <c r="AD778" s="940"/>
      <c r="AE778" s="940"/>
      <c r="AF778" s="438"/>
      <c r="AH778" s="438"/>
      <c r="AI778" s="437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</row>
    <row r="779" ht="14.25" customHeight="1">
      <c r="A779" s="1"/>
      <c r="B779" s="1"/>
      <c r="C779" s="1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438"/>
      <c r="Q779" s="438"/>
      <c r="R779" s="437"/>
      <c r="S779" s="437"/>
      <c r="T779" s="438"/>
      <c r="U779" s="438"/>
      <c r="V779" s="437"/>
      <c r="W779" s="437"/>
      <c r="X779" s="438"/>
      <c r="Y779" s="438"/>
      <c r="Z779" s="940"/>
      <c r="AA779" s="940"/>
      <c r="AB779" s="438"/>
      <c r="AC779" s="438"/>
      <c r="AD779" s="940"/>
      <c r="AE779" s="940"/>
      <c r="AF779" s="438"/>
      <c r="AH779" s="438"/>
      <c r="AI779" s="437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</row>
    <row r="780" ht="14.25" customHeight="1">
      <c r="A780" s="1"/>
      <c r="B780" s="1"/>
      <c r="C780" s="1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438"/>
      <c r="Q780" s="438"/>
      <c r="R780" s="437"/>
      <c r="S780" s="437"/>
      <c r="T780" s="438"/>
      <c r="U780" s="438"/>
      <c r="V780" s="437"/>
      <c r="W780" s="437"/>
      <c r="X780" s="438"/>
      <c r="Y780" s="438"/>
      <c r="Z780" s="940"/>
      <c r="AA780" s="940"/>
      <c r="AB780" s="438"/>
      <c r="AC780" s="438"/>
      <c r="AD780" s="940"/>
      <c r="AE780" s="940"/>
      <c r="AF780" s="438"/>
      <c r="AH780" s="438"/>
      <c r="AI780" s="437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</row>
    <row r="781" ht="14.25" customHeight="1">
      <c r="A781" s="1"/>
      <c r="B781" s="1"/>
      <c r="C781" s="1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438"/>
      <c r="Q781" s="438"/>
      <c r="R781" s="437"/>
      <c r="S781" s="437"/>
      <c r="T781" s="438"/>
      <c r="U781" s="438"/>
      <c r="V781" s="437"/>
      <c r="W781" s="437"/>
      <c r="X781" s="438"/>
      <c r="Y781" s="438"/>
      <c r="Z781" s="940"/>
      <c r="AA781" s="940"/>
      <c r="AB781" s="438"/>
      <c r="AC781" s="438"/>
      <c r="AD781" s="940"/>
      <c r="AE781" s="940"/>
      <c r="AF781" s="438"/>
      <c r="AH781" s="438"/>
      <c r="AI781" s="437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</row>
    <row r="782" ht="14.25" customHeight="1">
      <c r="A782" s="1"/>
      <c r="B782" s="1"/>
      <c r="C782" s="1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438"/>
      <c r="Q782" s="438"/>
      <c r="R782" s="437"/>
      <c r="S782" s="437"/>
      <c r="T782" s="438"/>
      <c r="U782" s="438"/>
      <c r="V782" s="437"/>
      <c r="W782" s="437"/>
      <c r="X782" s="438"/>
      <c r="Y782" s="438"/>
      <c r="Z782" s="940"/>
      <c r="AA782" s="940"/>
      <c r="AB782" s="438"/>
      <c r="AC782" s="438"/>
      <c r="AD782" s="940"/>
      <c r="AE782" s="940"/>
      <c r="AF782" s="438"/>
      <c r="AH782" s="438"/>
      <c r="AI782" s="437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</row>
    <row r="783" ht="14.25" customHeight="1">
      <c r="A783" s="1"/>
      <c r="B783" s="1"/>
      <c r="C783" s="1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438"/>
      <c r="Q783" s="438"/>
      <c r="R783" s="437"/>
      <c r="S783" s="437"/>
      <c r="T783" s="438"/>
      <c r="U783" s="438"/>
      <c r="V783" s="437"/>
      <c r="W783" s="437"/>
      <c r="X783" s="438"/>
      <c r="Y783" s="438"/>
      <c r="Z783" s="940"/>
      <c r="AA783" s="940"/>
      <c r="AB783" s="438"/>
      <c r="AC783" s="438"/>
      <c r="AD783" s="940"/>
      <c r="AE783" s="940"/>
      <c r="AF783" s="438"/>
      <c r="AH783" s="438"/>
      <c r="AI783" s="437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</row>
    <row r="784" ht="14.25" customHeight="1">
      <c r="A784" s="1"/>
      <c r="B784" s="1"/>
      <c r="C784" s="1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438"/>
      <c r="Q784" s="438"/>
      <c r="R784" s="437"/>
      <c r="S784" s="437"/>
      <c r="T784" s="438"/>
      <c r="U784" s="438"/>
      <c r="V784" s="437"/>
      <c r="W784" s="437"/>
      <c r="X784" s="438"/>
      <c r="Y784" s="438"/>
      <c r="Z784" s="940"/>
      <c r="AA784" s="940"/>
      <c r="AB784" s="438"/>
      <c r="AC784" s="438"/>
      <c r="AD784" s="940"/>
      <c r="AE784" s="940"/>
      <c r="AF784" s="438"/>
      <c r="AH784" s="438"/>
      <c r="AI784" s="437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</row>
    <row r="785" ht="14.25" customHeight="1">
      <c r="A785" s="1"/>
      <c r="B785" s="1"/>
      <c r="C785" s="1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438"/>
      <c r="Q785" s="438"/>
      <c r="R785" s="437"/>
      <c r="S785" s="437"/>
      <c r="T785" s="438"/>
      <c r="U785" s="438"/>
      <c r="V785" s="437"/>
      <c r="W785" s="437"/>
      <c r="X785" s="438"/>
      <c r="Y785" s="438"/>
      <c r="Z785" s="940"/>
      <c r="AA785" s="940"/>
      <c r="AB785" s="438"/>
      <c r="AC785" s="438"/>
      <c r="AD785" s="940"/>
      <c r="AE785" s="940"/>
      <c r="AF785" s="438"/>
      <c r="AH785" s="438"/>
      <c r="AI785" s="437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</row>
    <row r="786" ht="14.25" customHeight="1">
      <c r="A786" s="1"/>
      <c r="B786" s="1"/>
      <c r="C786" s="1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438"/>
      <c r="Q786" s="438"/>
      <c r="R786" s="437"/>
      <c r="S786" s="437"/>
      <c r="T786" s="438"/>
      <c r="U786" s="438"/>
      <c r="V786" s="437"/>
      <c r="W786" s="437"/>
      <c r="X786" s="438"/>
      <c r="Y786" s="438"/>
      <c r="Z786" s="940"/>
      <c r="AA786" s="940"/>
      <c r="AB786" s="438"/>
      <c r="AC786" s="438"/>
      <c r="AD786" s="940"/>
      <c r="AE786" s="940"/>
      <c r="AF786" s="438"/>
      <c r="AH786" s="438"/>
      <c r="AI786" s="437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</row>
    <row r="787" ht="14.25" customHeight="1">
      <c r="A787" s="1"/>
      <c r="B787" s="1"/>
      <c r="C787" s="1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438"/>
      <c r="Q787" s="438"/>
      <c r="R787" s="437"/>
      <c r="S787" s="437"/>
      <c r="T787" s="438"/>
      <c r="U787" s="438"/>
      <c r="V787" s="437"/>
      <c r="W787" s="437"/>
      <c r="X787" s="438"/>
      <c r="Y787" s="438"/>
      <c r="Z787" s="940"/>
      <c r="AA787" s="940"/>
      <c r="AB787" s="438"/>
      <c r="AC787" s="438"/>
      <c r="AD787" s="940"/>
      <c r="AE787" s="940"/>
      <c r="AF787" s="438"/>
      <c r="AH787" s="438"/>
      <c r="AI787" s="437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</row>
    <row r="788" ht="14.25" customHeight="1">
      <c r="A788" s="1"/>
      <c r="B788" s="1"/>
      <c r="C788" s="1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438"/>
      <c r="Q788" s="438"/>
      <c r="R788" s="437"/>
      <c r="S788" s="437"/>
      <c r="T788" s="438"/>
      <c r="U788" s="438"/>
      <c r="V788" s="437"/>
      <c r="W788" s="437"/>
      <c r="X788" s="438"/>
      <c r="Y788" s="438"/>
      <c r="Z788" s="940"/>
      <c r="AA788" s="940"/>
      <c r="AB788" s="438"/>
      <c r="AC788" s="438"/>
      <c r="AD788" s="940"/>
      <c r="AE788" s="940"/>
      <c r="AF788" s="438"/>
      <c r="AH788" s="438"/>
      <c r="AI788" s="437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</row>
    <row r="789" ht="14.25" customHeight="1">
      <c r="A789" s="1"/>
      <c r="B789" s="1"/>
      <c r="C789" s="1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438"/>
      <c r="Q789" s="438"/>
      <c r="R789" s="437"/>
      <c r="S789" s="437"/>
      <c r="T789" s="438"/>
      <c r="U789" s="438"/>
      <c r="V789" s="437"/>
      <c r="W789" s="437"/>
      <c r="X789" s="438"/>
      <c r="Y789" s="438"/>
      <c r="Z789" s="940"/>
      <c r="AA789" s="940"/>
      <c r="AB789" s="438"/>
      <c r="AC789" s="438"/>
      <c r="AD789" s="940"/>
      <c r="AE789" s="940"/>
      <c r="AF789" s="438"/>
      <c r="AH789" s="438"/>
      <c r="AI789" s="437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</row>
    <row r="790" ht="14.25" customHeight="1">
      <c r="A790" s="1"/>
      <c r="B790" s="1"/>
      <c r="C790" s="1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438"/>
      <c r="Q790" s="438"/>
      <c r="R790" s="437"/>
      <c r="S790" s="437"/>
      <c r="T790" s="438"/>
      <c r="U790" s="438"/>
      <c r="V790" s="437"/>
      <c r="W790" s="437"/>
      <c r="X790" s="438"/>
      <c r="Y790" s="438"/>
      <c r="Z790" s="940"/>
      <c r="AA790" s="940"/>
      <c r="AB790" s="438"/>
      <c r="AC790" s="438"/>
      <c r="AD790" s="940"/>
      <c r="AE790" s="940"/>
      <c r="AF790" s="438"/>
      <c r="AH790" s="438"/>
      <c r="AI790" s="437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</row>
    <row r="791" ht="14.25" customHeight="1">
      <c r="A791" s="1"/>
      <c r="B791" s="1"/>
      <c r="C791" s="1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438"/>
      <c r="Q791" s="438"/>
      <c r="R791" s="437"/>
      <c r="S791" s="437"/>
      <c r="T791" s="438"/>
      <c r="U791" s="438"/>
      <c r="V791" s="437"/>
      <c r="W791" s="437"/>
      <c r="X791" s="438"/>
      <c r="Y791" s="438"/>
      <c r="Z791" s="940"/>
      <c r="AA791" s="940"/>
      <c r="AB791" s="438"/>
      <c r="AC791" s="438"/>
      <c r="AD791" s="940"/>
      <c r="AE791" s="940"/>
      <c r="AF791" s="438"/>
      <c r="AH791" s="438"/>
      <c r="AI791" s="437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</row>
    <row r="792" ht="14.25" customHeight="1">
      <c r="A792" s="1"/>
      <c r="B792" s="1"/>
      <c r="C792" s="1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438"/>
      <c r="Q792" s="438"/>
      <c r="R792" s="437"/>
      <c r="S792" s="437"/>
      <c r="T792" s="438"/>
      <c r="U792" s="438"/>
      <c r="V792" s="437"/>
      <c r="W792" s="437"/>
      <c r="X792" s="438"/>
      <c r="Y792" s="438"/>
      <c r="Z792" s="940"/>
      <c r="AA792" s="940"/>
      <c r="AB792" s="438"/>
      <c r="AC792" s="438"/>
      <c r="AD792" s="940"/>
      <c r="AE792" s="940"/>
      <c r="AF792" s="438"/>
      <c r="AH792" s="438"/>
      <c r="AI792" s="437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</row>
    <row r="793" ht="14.25" customHeight="1">
      <c r="A793" s="1"/>
      <c r="B793" s="1"/>
      <c r="C793" s="1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438"/>
      <c r="Q793" s="438"/>
      <c r="R793" s="437"/>
      <c r="S793" s="437"/>
      <c r="T793" s="438"/>
      <c r="U793" s="438"/>
      <c r="V793" s="437"/>
      <c r="W793" s="437"/>
      <c r="X793" s="438"/>
      <c r="Y793" s="438"/>
      <c r="Z793" s="940"/>
      <c r="AA793" s="940"/>
      <c r="AB793" s="438"/>
      <c r="AC793" s="438"/>
      <c r="AD793" s="940"/>
      <c r="AE793" s="940"/>
      <c r="AF793" s="438"/>
      <c r="AH793" s="438"/>
      <c r="AI793" s="437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</row>
    <row r="794" ht="14.25" customHeight="1">
      <c r="A794" s="1"/>
      <c r="B794" s="1"/>
      <c r="C794" s="1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438"/>
      <c r="Q794" s="438"/>
      <c r="R794" s="437"/>
      <c r="S794" s="437"/>
      <c r="T794" s="438"/>
      <c r="U794" s="438"/>
      <c r="V794" s="437"/>
      <c r="W794" s="437"/>
      <c r="X794" s="438"/>
      <c r="Y794" s="438"/>
      <c r="Z794" s="940"/>
      <c r="AA794" s="940"/>
      <c r="AB794" s="438"/>
      <c r="AC794" s="438"/>
      <c r="AD794" s="940"/>
      <c r="AE794" s="940"/>
      <c r="AF794" s="438"/>
      <c r="AH794" s="438"/>
      <c r="AI794" s="437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</row>
    <row r="795" ht="14.25" customHeight="1">
      <c r="A795" s="1"/>
      <c r="B795" s="1"/>
      <c r="C795" s="1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438"/>
      <c r="Q795" s="438"/>
      <c r="R795" s="437"/>
      <c r="S795" s="437"/>
      <c r="T795" s="438"/>
      <c r="U795" s="438"/>
      <c r="V795" s="437"/>
      <c r="W795" s="437"/>
      <c r="X795" s="438"/>
      <c r="Y795" s="438"/>
      <c r="Z795" s="940"/>
      <c r="AA795" s="940"/>
      <c r="AB795" s="438"/>
      <c r="AC795" s="438"/>
      <c r="AD795" s="940"/>
      <c r="AE795" s="940"/>
      <c r="AF795" s="438"/>
      <c r="AH795" s="438"/>
      <c r="AI795" s="437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</row>
    <row r="796" ht="14.25" customHeight="1">
      <c r="A796" s="1"/>
      <c r="B796" s="1"/>
      <c r="C796" s="1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438"/>
      <c r="Q796" s="438"/>
      <c r="R796" s="437"/>
      <c r="S796" s="437"/>
      <c r="T796" s="438"/>
      <c r="U796" s="438"/>
      <c r="V796" s="437"/>
      <c r="W796" s="437"/>
      <c r="X796" s="438"/>
      <c r="Y796" s="438"/>
      <c r="Z796" s="940"/>
      <c r="AA796" s="940"/>
      <c r="AB796" s="438"/>
      <c r="AC796" s="438"/>
      <c r="AD796" s="940"/>
      <c r="AE796" s="940"/>
      <c r="AF796" s="438"/>
      <c r="AH796" s="438"/>
      <c r="AI796" s="437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</row>
    <row r="797" ht="14.25" customHeight="1">
      <c r="A797" s="1"/>
      <c r="B797" s="1"/>
      <c r="C797" s="1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438"/>
      <c r="Q797" s="438"/>
      <c r="R797" s="437"/>
      <c r="S797" s="437"/>
      <c r="T797" s="438"/>
      <c r="U797" s="438"/>
      <c r="V797" s="437"/>
      <c r="W797" s="437"/>
      <c r="X797" s="438"/>
      <c r="Y797" s="438"/>
      <c r="Z797" s="940"/>
      <c r="AA797" s="940"/>
      <c r="AB797" s="438"/>
      <c r="AC797" s="438"/>
      <c r="AD797" s="940"/>
      <c r="AE797" s="940"/>
      <c r="AF797" s="438"/>
      <c r="AH797" s="438"/>
      <c r="AI797" s="437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</row>
    <row r="798" ht="14.25" customHeight="1">
      <c r="A798" s="1"/>
      <c r="B798" s="1"/>
      <c r="C798" s="1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438"/>
      <c r="Q798" s="438"/>
      <c r="R798" s="437"/>
      <c r="S798" s="437"/>
      <c r="T798" s="438"/>
      <c r="U798" s="438"/>
      <c r="V798" s="437"/>
      <c r="W798" s="437"/>
      <c r="X798" s="438"/>
      <c r="Y798" s="438"/>
      <c r="Z798" s="940"/>
      <c r="AA798" s="940"/>
      <c r="AB798" s="438"/>
      <c r="AC798" s="438"/>
      <c r="AD798" s="940"/>
      <c r="AE798" s="940"/>
      <c r="AF798" s="438"/>
      <c r="AH798" s="438"/>
      <c r="AI798" s="437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</row>
    <row r="799" ht="14.25" customHeight="1">
      <c r="A799" s="1"/>
      <c r="B799" s="1"/>
      <c r="C799" s="1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438"/>
      <c r="Q799" s="438"/>
      <c r="R799" s="437"/>
      <c r="S799" s="437"/>
      <c r="T799" s="438"/>
      <c r="U799" s="438"/>
      <c r="V799" s="437"/>
      <c r="W799" s="437"/>
      <c r="X799" s="438"/>
      <c r="Y799" s="438"/>
      <c r="Z799" s="940"/>
      <c r="AA799" s="940"/>
      <c r="AB799" s="438"/>
      <c r="AC799" s="438"/>
      <c r="AD799" s="940"/>
      <c r="AE799" s="940"/>
      <c r="AF799" s="438"/>
      <c r="AH799" s="438"/>
      <c r="AI799" s="437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</row>
    <row r="800" ht="14.25" customHeight="1">
      <c r="A800" s="1"/>
      <c r="B800" s="1"/>
      <c r="C800" s="1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438"/>
      <c r="Q800" s="438"/>
      <c r="R800" s="437"/>
      <c r="S800" s="437"/>
      <c r="T800" s="438"/>
      <c r="U800" s="438"/>
      <c r="V800" s="437"/>
      <c r="W800" s="437"/>
      <c r="X800" s="438"/>
      <c r="Y800" s="438"/>
      <c r="Z800" s="940"/>
      <c r="AA800" s="940"/>
      <c r="AB800" s="438"/>
      <c r="AC800" s="438"/>
      <c r="AD800" s="940"/>
      <c r="AE800" s="940"/>
      <c r="AF800" s="438"/>
      <c r="AH800" s="438"/>
      <c r="AI800" s="437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</row>
    <row r="801" ht="14.25" customHeight="1">
      <c r="A801" s="1"/>
      <c r="B801" s="1"/>
      <c r="C801" s="1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438"/>
      <c r="Q801" s="438"/>
      <c r="R801" s="437"/>
      <c r="S801" s="437"/>
      <c r="T801" s="438"/>
      <c r="U801" s="438"/>
      <c r="V801" s="437"/>
      <c r="W801" s="437"/>
      <c r="X801" s="438"/>
      <c r="Y801" s="438"/>
      <c r="Z801" s="940"/>
      <c r="AA801" s="940"/>
      <c r="AB801" s="438"/>
      <c r="AC801" s="438"/>
      <c r="AD801" s="940"/>
      <c r="AE801" s="940"/>
      <c r="AF801" s="438"/>
      <c r="AH801" s="438"/>
      <c r="AI801" s="437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</row>
    <row r="802" ht="14.25" customHeight="1">
      <c r="A802" s="1"/>
      <c r="B802" s="1"/>
      <c r="C802" s="1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438"/>
      <c r="Q802" s="438"/>
      <c r="R802" s="437"/>
      <c r="S802" s="437"/>
      <c r="T802" s="438"/>
      <c r="U802" s="438"/>
      <c r="V802" s="437"/>
      <c r="W802" s="437"/>
      <c r="X802" s="438"/>
      <c r="Y802" s="438"/>
      <c r="Z802" s="940"/>
      <c r="AA802" s="940"/>
      <c r="AB802" s="438"/>
      <c r="AC802" s="438"/>
      <c r="AD802" s="940"/>
      <c r="AE802" s="940"/>
      <c r="AF802" s="438"/>
      <c r="AH802" s="438"/>
      <c r="AI802" s="437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</row>
    <row r="803" ht="14.25" customHeight="1">
      <c r="A803" s="1"/>
      <c r="B803" s="1"/>
      <c r="C803" s="1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438"/>
      <c r="Q803" s="438"/>
      <c r="R803" s="437"/>
      <c r="S803" s="437"/>
      <c r="T803" s="438"/>
      <c r="U803" s="438"/>
      <c r="V803" s="437"/>
      <c r="W803" s="437"/>
      <c r="X803" s="438"/>
      <c r="Y803" s="438"/>
      <c r="Z803" s="940"/>
      <c r="AA803" s="940"/>
      <c r="AB803" s="438"/>
      <c r="AC803" s="438"/>
      <c r="AD803" s="940"/>
      <c r="AE803" s="940"/>
      <c r="AF803" s="438"/>
      <c r="AH803" s="438"/>
      <c r="AI803" s="437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</row>
    <row r="804" ht="14.25" customHeight="1">
      <c r="A804" s="1"/>
      <c r="B804" s="1"/>
      <c r="C804" s="1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438"/>
      <c r="Q804" s="438"/>
      <c r="R804" s="437"/>
      <c r="S804" s="437"/>
      <c r="T804" s="438"/>
      <c r="U804" s="438"/>
      <c r="V804" s="437"/>
      <c r="W804" s="437"/>
      <c r="X804" s="438"/>
      <c r="Y804" s="438"/>
      <c r="Z804" s="940"/>
      <c r="AA804" s="940"/>
      <c r="AB804" s="438"/>
      <c r="AC804" s="438"/>
      <c r="AD804" s="940"/>
      <c r="AE804" s="940"/>
      <c r="AF804" s="438"/>
      <c r="AH804" s="438"/>
      <c r="AI804" s="437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</row>
    <row r="805" ht="14.25" customHeight="1">
      <c r="A805" s="1"/>
      <c r="B805" s="1"/>
      <c r="C805" s="1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438"/>
      <c r="Q805" s="438"/>
      <c r="R805" s="437"/>
      <c r="S805" s="437"/>
      <c r="T805" s="438"/>
      <c r="U805" s="438"/>
      <c r="V805" s="437"/>
      <c r="W805" s="437"/>
      <c r="X805" s="438"/>
      <c r="Y805" s="438"/>
      <c r="Z805" s="940"/>
      <c r="AA805" s="940"/>
      <c r="AB805" s="438"/>
      <c r="AC805" s="438"/>
      <c r="AD805" s="940"/>
      <c r="AE805" s="940"/>
      <c r="AF805" s="438"/>
      <c r="AH805" s="438"/>
      <c r="AI805" s="437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</row>
    <row r="806" ht="14.25" customHeight="1">
      <c r="A806" s="1"/>
      <c r="B806" s="1"/>
      <c r="C806" s="1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438"/>
      <c r="Q806" s="438"/>
      <c r="R806" s="437"/>
      <c r="S806" s="437"/>
      <c r="T806" s="438"/>
      <c r="U806" s="438"/>
      <c r="V806" s="437"/>
      <c r="W806" s="437"/>
      <c r="X806" s="438"/>
      <c r="Y806" s="438"/>
      <c r="Z806" s="940"/>
      <c r="AA806" s="940"/>
      <c r="AB806" s="438"/>
      <c r="AC806" s="438"/>
      <c r="AD806" s="940"/>
      <c r="AE806" s="940"/>
      <c r="AF806" s="438"/>
      <c r="AH806" s="438"/>
      <c r="AI806" s="437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</row>
    <row r="807" ht="14.25" customHeight="1">
      <c r="A807" s="1"/>
      <c r="B807" s="1"/>
      <c r="C807" s="1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438"/>
      <c r="Q807" s="438"/>
      <c r="R807" s="437"/>
      <c r="S807" s="437"/>
      <c r="T807" s="438"/>
      <c r="U807" s="438"/>
      <c r="V807" s="437"/>
      <c r="W807" s="437"/>
      <c r="X807" s="438"/>
      <c r="Y807" s="438"/>
      <c r="Z807" s="940"/>
      <c r="AA807" s="940"/>
      <c r="AB807" s="438"/>
      <c r="AC807" s="438"/>
      <c r="AD807" s="940"/>
      <c r="AE807" s="940"/>
      <c r="AF807" s="438"/>
      <c r="AH807" s="438"/>
      <c r="AI807" s="437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</row>
    <row r="808" ht="14.25" customHeight="1">
      <c r="A808" s="1"/>
      <c r="B808" s="1"/>
      <c r="C808" s="1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438"/>
      <c r="Q808" s="438"/>
      <c r="R808" s="437"/>
      <c r="S808" s="437"/>
      <c r="T808" s="438"/>
      <c r="U808" s="438"/>
      <c r="V808" s="437"/>
      <c r="W808" s="437"/>
      <c r="X808" s="438"/>
      <c r="Y808" s="438"/>
      <c r="Z808" s="940"/>
      <c r="AA808" s="940"/>
      <c r="AB808" s="438"/>
      <c r="AC808" s="438"/>
      <c r="AD808" s="940"/>
      <c r="AE808" s="940"/>
      <c r="AF808" s="438"/>
      <c r="AH808" s="438"/>
      <c r="AI808" s="437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</row>
    <row r="809" ht="14.25" customHeight="1">
      <c r="A809" s="1"/>
      <c r="B809" s="1"/>
      <c r="C809" s="1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438"/>
      <c r="Q809" s="438"/>
      <c r="R809" s="437"/>
      <c r="S809" s="437"/>
      <c r="T809" s="438"/>
      <c r="U809" s="438"/>
      <c r="V809" s="437"/>
      <c r="W809" s="437"/>
      <c r="X809" s="438"/>
      <c r="Y809" s="438"/>
      <c r="Z809" s="940"/>
      <c r="AA809" s="940"/>
      <c r="AB809" s="438"/>
      <c r="AC809" s="438"/>
      <c r="AD809" s="940"/>
      <c r="AE809" s="940"/>
      <c r="AF809" s="438"/>
      <c r="AH809" s="438"/>
      <c r="AI809" s="437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</row>
    <row r="810" ht="14.25" customHeight="1">
      <c r="A810" s="1"/>
      <c r="B810" s="1"/>
      <c r="C810" s="1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438"/>
      <c r="Q810" s="438"/>
      <c r="R810" s="437"/>
      <c r="S810" s="437"/>
      <c r="T810" s="438"/>
      <c r="U810" s="438"/>
      <c r="V810" s="437"/>
      <c r="W810" s="437"/>
      <c r="X810" s="438"/>
      <c r="Y810" s="438"/>
      <c r="Z810" s="940"/>
      <c r="AA810" s="940"/>
      <c r="AB810" s="438"/>
      <c r="AC810" s="438"/>
      <c r="AD810" s="940"/>
      <c r="AE810" s="940"/>
      <c r="AF810" s="438"/>
      <c r="AH810" s="438"/>
      <c r="AI810" s="437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</row>
    <row r="811" ht="14.25" customHeight="1">
      <c r="A811" s="1"/>
      <c r="B811" s="1"/>
      <c r="C811" s="1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438"/>
      <c r="Q811" s="438"/>
      <c r="R811" s="437"/>
      <c r="S811" s="437"/>
      <c r="T811" s="438"/>
      <c r="U811" s="438"/>
      <c r="V811" s="437"/>
      <c r="W811" s="437"/>
      <c r="X811" s="438"/>
      <c r="Y811" s="438"/>
      <c r="Z811" s="940"/>
      <c r="AA811" s="940"/>
      <c r="AB811" s="438"/>
      <c r="AC811" s="438"/>
      <c r="AD811" s="940"/>
      <c r="AE811" s="940"/>
      <c r="AF811" s="438"/>
      <c r="AH811" s="438"/>
      <c r="AI811" s="437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</row>
    <row r="812" ht="14.25" customHeight="1">
      <c r="A812" s="1"/>
      <c r="B812" s="1"/>
      <c r="C812" s="1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438"/>
      <c r="Q812" s="438"/>
      <c r="R812" s="437"/>
      <c r="S812" s="437"/>
      <c r="T812" s="438"/>
      <c r="U812" s="438"/>
      <c r="V812" s="437"/>
      <c r="W812" s="437"/>
      <c r="X812" s="438"/>
      <c r="Y812" s="438"/>
      <c r="Z812" s="940"/>
      <c r="AA812" s="940"/>
      <c r="AB812" s="438"/>
      <c r="AC812" s="438"/>
      <c r="AD812" s="940"/>
      <c r="AE812" s="940"/>
      <c r="AF812" s="438"/>
      <c r="AH812" s="438"/>
      <c r="AI812" s="437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</row>
    <row r="813" ht="14.25" customHeight="1">
      <c r="A813" s="1"/>
      <c r="B813" s="1"/>
      <c r="C813" s="1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438"/>
      <c r="Q813" s="438"/>
      <c r="R813" s="437"/>
      <c r="S813" s="437"/>
      <c r="T813" s="438"/>
      <c r="U813" s="438"/>
      <c r="V813" s="437"/>
      <c r="W813" s="437"/>
      <c r="X813" s="438"/>
      <c r="Y813" s="438"/>
      <c r="Z813" s="940"/>
      <c r="AA813" s="940"/>
      <c r="AB813" s="438"/>
      <c r="AC813" s="438"/>
      <c r="AD813" s="940"/>
      <c r="AE813" s="940"/>
      <c r="AF813" s="438"/>
      <c r="AH813" s="438"/>
      <c r="AI813" s="437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</row>
    <row r="814" ht="14.25" customHeight="1">
      <c r="A814" s="1"/>
      <c r="B814" s="1"/>
      <c r="C814" s="1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438"/>
      <c r="Q814" s="438"/>
      <c r="R814" s="437"/>
      <c r="S814" s="437"/>
      <c r="T814" s="438"/>
      <c r="U814" s="438"/>
      <c r="V814" s="437"/>
      <c r="W814" s="437"/>
      <c r="X814" s="438"/>
      <c r="Y814" s="438"/>
      <c r="Z814" s="940"/>
      <c r="AA814" s="940"/>
      <c r="AB814" s="438"/>
      <c r="AC814" s="438"/>
      <c r="AD814" s="940"/>
      <c r="AE814" s="940"/>
      <c r="AF814" s="438"/>
      <c r="AH814" s="438"/>
      <c r="AI814" s="437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</row>
    <row r="815" ht="14.25" customHeight="1">
      <c r="A815" s="1"/>
      <c r="B815" s="1"/>
      <c r="C815" s="1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438"/>
      <c r="Q815" s="438"/>
      <c r="R815" s="437"/>
      <c r="S815" s="437"/>
      <c r="T815" s="438"/>
      <c r="U815" s="438"/>
      <c r="V815" s="437"/>
      <c r="W815" s="437"/>
      <c r="X815" s="438"/>
      <c r="Y815" s="438"/>
      <c r="Z815" s="940"/>
      <c r="AA815" s="940"/>
      <c r="AB815" s="438"/>
      <c r="AC815" s="438"/>
      <c r="AD815" s="940"/>
      <c r="AE815" s="940"/>
      <c r="AF815" s="438"/>
      <c r="AH815" s="438"/>
      <c r="AI815" s="437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</row>
    <row r="816" ht="14.25" customHeight="1">
      <c r="A816" s="1"/>
      <c r="B816" s="1"/>
      <c r="C816" s="1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438"/>
      <c r="Q816" s="438"/>
      <c r="R816" s="437"/>
      <c r="S816" s="437"/>
      <c r="T816" s="438"/>
      <c r="U816" s="438"/>
      <c r="V816" s="437"/>
      <c r="W816" s="437"/>
      <c r="X816" s="438"/>
      <c r="Y816" s="438"/>
      <c r="Z816" s="940"/>
      <c r="AA816" s="940"/>
      <c r="AB816" s="438"/>
      <c r="AC816" s="438"/>
      <c r="AD816" s="940"/>
      <c r="AE816" s="940"/>
      <c r="AF816" s="438"/>
      <c r="AH816" s="438"/>
      <c r="AI816" s="437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</row>
    <row r="817" ht="14.25" customHeight="1">
      <c r="A817" s="1"/>
      <c r="B817" s="1"/>
      <c r="C817" s="1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438"/>
      <c r="Q817" s="438"/>
      <c r="R817" s="437"/>
      <c r="S817" s="437"/>
      <c r="T817" s="438"/>
      <c r="U817" s="438"/>
      <c r="V817" s="437"/>
      <c r="W817" s="437"/>
      <c r="X817" s="438"/>
      <c r="Y817" s="438"/>
      <c r="Z817" s="940"/>
      <c r="AA817" s="940"/>
      <c r="AB817" s="438"/>
      <c r="AC817" s="438"/>
      <c r="AD817" s="940"/>
      <c r="AE817" s="940"/>
      <c r="AF817" s="438"/>
      <c r="AH817" s="438"/>
      <c r="AI817" s="437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</row>
    <row r="818" ht="14.25" customHeight="1">
      <c r="A818" s="1"/>
      <c r="B818" s="1"/>
      <c r="C818" s="1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438"/>
      <c r="Q818" s="438"/>
      <c r="R818" s="437"/>
      <c r="S818" s="437"/>
      <c r="T818" s="438"/>
      <c r="U818" s="438"/>
      <c r="V818" s="437"/>
      <c r="W818" s="437"/>
      <c r="X818" s="438"/>
      <c r="Y818" s="438"/>
      <c r="Z818" s="940"/>
      <c r="AA818" s="940"/>
      <c r="AB818" s="438"/>
      <c r="AC818" s="438"/>
      <c r="AD818" s="940"/>
      <c r="AE818" s="940"/>
      <c r="AF818" s="438"/>
      <c r="AH818" s="438"/>
      <c r="AI818" s="437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</row>
    <row r="819" ht="14.25" customHeight="1">
      <c r="A819" s="1"/>
      <c r="B819" s="1"/>
      <c r="C819" s="1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438"/>
      <c r="Q819" s="438"/>
      <c r="R819" s="437"/>
      <c r="S819" s="437"/>
      <c r="T819" s="438"/>
      <c r="U819" s="438"/>
      <c r="V819" s="437"/>
      <c r="W819" s="437"/>
      <c r="X819" s="438"/>
      <c r="Y819" s="438"/>
      <c r="Z819" s="940"/>
      <c r="AA819" s="940"/>
      <c r="AB819" s="438"/>
      <c r="AC819" s="438"/>
      <c r="AD819" s="940"/>
      <c r="AE819" s="940"/>
      <c r="AF819" s="438"/>
      <c r="AH819" s="438"/>
      <c r="AI819" s="437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</row>
    <row r="820" ht="14.25" customHeight="1">
      <c r="A820" s="1"/>
      <c r="B820" s="1"/>
      <c r="C820" s="1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438"/>
      <c r="Q820" s="438"/>
      <c r="R820" s="437"/>
      <c r="S820" s="437"/>
      <c r="T820" s="438"/>
      <c r="U820" s="438"/>
      <c r="V820" s="437"/>
      <c r="W820" s="437"/>
      <c r="X820" s="438"/>
      <c r="Y820" s="438"/>
      <c r="Z820" s="940"/>
      <c r="AA820" s="940"/>
      <c r="AB820" s="438"/>
      <c r="AC820" s="438"/>
      <c r="AD820" s="940"/>
      <c r="AE820" s="940"/>
      <c r="AF820" s="438"/>
      <c r="AH820" s="438"/>
      <c r="AI820" s="437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</row>
    <row r="821" ht="14.25" customHeight="1">
      <c r="A821" s="1"/>
      <c r="B821" s="1"/>
      <c r="C821" s="1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438"/>
      <c r="Q821" s="438"/>
      <c r="R821" s="437"/>
      <c r="S821" s="437"/>
      <c r="T821" s="438"/>
      <c r="U821" s="438"/>
      <c r="V821" s="437"/>
      <c r="W821" s="437"/>
      <c r="X821" s="438"/>
      <c r="Y821" s="438"/>
      <c r="Z821" s="940"/>
      <c r="AA821" s="940"/>
      <c r="AB821" s="438"/>
      <c r="AC821" s="438"/>
      <c r="AD821" s="940"/>
      <c r="AE821" s="940"/>
      <c r="AF821" s="438"/>
      <c r="AH821" s="438"/>
      <c r="AI821" s="437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</row>
    <row r="822" ht="14.25" customHeight="1">
      <c r="A822" s="1"/>
      <c r="B822" s="1"/>
      <c r="C822" s="1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438"/>
      <c r="Q822" s="438"/>
      <c r="R822" s="437"/>
      <c r="S822" s="437"/>
      <c r="T822" s="438"/>
      <c r="U822" s="438"/>
      <c r="V822" s="437"/>
      <c r="W822" s="437"/>
      <c r="X822" s="438"/>
      <c r="Y822" s="438"/>
      <c r="Z822" s="940"/>
      <c r="AA822" s="940"/>
      <c r="AB822" s="438"/>
      <c r="AC822" s="438"/>
      <c r="AD822" s="940"/>
      <c r="AE822" s="940"/>
      <c r="AF822" s="438"/>
      <c r="AH822" s="438"/>
      <c r="AI822" s="437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</row>
    <row r="823" ht="14.25" customHeight="1">
      <c r="A823" s="1"/>
      <c r="B823" s="1"/>
      <c r="C823" s="1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438"/>
      <c r="Q823" s="438"/>
      <c r="R823" s="437"/>
      <c r="S823" s="437"/>
      <c r="T823" s="438"/>
      <c r="U823" s="438"/>
      <c r="V823" s="437"/>
      <c r="W823" s="437"/>
      <c r="X823" s="438"/>
      <c r="Y823" s="438"/>
      <c r="Z823" s="940"/>
      <c r="AA823" s="940"/>
      <c r="AB823" s="438"/>
      <c r="AC823" s="438"/>
      <c r="AD823" s="940"/>
      <c r="AE823" s="940"/>
      <c r="AF823" s="438"/>
      <c r="AH823" s="438"/>
      <c r="AI823" s="437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</row>
    <row r="824" ht="14.25" customHeight="1">
      <c r="A824" s="1"/>
      <c r="B824" s="1"/>
      <c r="C824" s="1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438"/>
      <c r="Q824" s="438"/>
      <c r="R824" s="437"/>
      <c r="S824" s="437"/>
      <c r="T824" s="438"/>
      <c r="U824" s="438"/>
      <c r="V824" s="437"/>
      <c r="W824" s="437"/>
      <c r="X824" s="438"/>
      <c r="Y824" s="438"/>
      <c r="Z824" s="940"/>
      <c r="AA824" s="940"/>
      <c r="AB824" s="438"/>
      <c r="AC824" s="438"/>
      <c r="AD824" s="940"/>
      <c r="AE824" s="940"/>
      <c r="AF824" s="438"/>
      <c r="AH824" s="438"/>
      <c r="AI824" s="437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</row>
    <row r="825" ht="14.25" customHeight="1">
      <c r="A825" s="1"/>
      <c r="B825" s="1"/>
      <c r="C825" s="1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438"/>
      <c r="Q825" s="438"/>
      <c r="R825" s="437"/>
      <c r="S825" s="437"/>
      <c r="T825" s="438"/>
      <c r="U825" s="438"/>
      <c r="V825" s="437"/>
      <c r="W825" s="437"/>
      <c r="X825" s="438"/>
      <c r="Y825" s="438"/>
      <c r="Z825" s="940"/>
      <c r="AA825" s="940"/>
      <c r="AB825" s="438"/>
      <c r="AC825" s="438"/>
      <c r="AD825" s="940"/>
      <c r="AE825" s="940"/>
      <c r="AF825" s="438"/>
      <c r="AH825" s="438"/>
      <c r="AI825" s="437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</row>
    <row r="826" ht="14.25" customHeight="1">
      <c r="A826" s="1"/>
      <c r="B826" s="1"/>
      <c r="C826" s="1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438"/>
      <c r="Q826" s="438"/>
      <c r="R826" s="437"/>
      <c r="S826" s="437"/>
      <c r="T826" s="438"/>
      <c r="U826" s="438"/>
      <c r="V826" s="437"/>
      <c r="W826" s="437"/>
      <c r="X826" s="438"/>
      <c r="Y826" s="438"/>
      <c r="Z826" s="940"/>
      <c r="AA826" s="940"/>
      <c r="AB826" s="438"/>
      <c r="AC826" s="438"/>
      <c r="AD826" s="940"/>
      <c r="AE826" s="940"/>
      <c r="AF826" s="438"/>
      <c r="AH826" s="438"/>
      <c r="AI826" s="437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</row>
    <row r="827" ht="14.25" customHeight="1">
      <c r="A827" s="1"/>
      <c r="B827" s="1"/>
      <c r="C827" s="1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438"/>
      <c r="Q827" s="438"/>
      <c r="R827" s="437"/>
      <c r="S827" s="437"/>
      <c r="T827" s="438"/>
      <c r="U827" s="438"/>
      <c r="V827" s="437"/>
      <c r="W827" s="437"/>
      <c r="X827" s="438"/>
      <c r="Y827" s="438"/>
      <c r="Z827" s="940"/>
      <c r="AA827" s="940"/>
      <c r="AB827" s="438"/>
      <c r="AC827" s="438"/>
      <c r="AD827" s="940"/>
      <c r="AE827" s="940"/>
      <c r="AF827" s="438"/>
      <c r="AH827" s="438"/>
      <c r="AI827" s="437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</row>
    <row r="828" ht="14.25" customHeight="1">
      <c r="A828" s="1"/>
      <c r="B828" s="1"/>
      <c r="C828" s="1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438"/>
      <c r="Q828" s="438"/>
      <c r="R828" s="437"/>
      <c r="S828" s="437"/>
      <c r="T828" s="438"/>
      <c r="U828" s="438"/>
      <c r="V828" s="437"/>
      <c r="W828" s="437"/>
      <c r="X828" s="438"/>
      <c r="Y828" s="438"/>
      <c r="Z828" s="940"/>
      <c r="AA828" s="940"/>
      <c r="AB828" s="438"/>
      <c r="AC828" s="438"/>
      <c r="AD828" s="940"/>
      <c r="AE828" s="940"/>
      <c r="AF828" s="438"/>
      <c r="AH828" s="438"/>
      <c r="AI828" s="437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</row>
    <row r="829" ht="14.25" customHeight="1">
      <c r="A829" s="1"/>
      <c r="B829" s="1"/>
      <c r="C829" s="1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438"/>
      <c r="Q829" s="438"/>
      <c r="R829" s="437"/>
      <c r="S829" s="437"/>
      <c r="T829" s="438"/>
      <c r="U829" s="438"/>
      <c r="V829" s="437"/>
      <c r="W829" s="437"/>
      <c r="X829" s="438"/>
      <c r="Y829" s="438"/>
      <c r="Z829" s="940"/>
      <c r="AA829" s="940"/>
      <c r="AB829" s="438"/>
      <c r="AC829" s="438"/>
      <c r="AD829" s="940"/>
      <c r="AE829" s="940"/>
      <c r="AF829" s="438"/>
      <c r="AH829" s="438"/>
      <c r="AI829" s="437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</row>
    <row r="830" ht="14.25" customHeight="1">
      <c r="A830" s="1"/>
      <c r="B830" s="1"/>
      <c r="C830" s="1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438"/>
      <c r="Q830" s="438"/>
      <c r="R830" s="437"/>
      <c r="S830" s="437"/>
      <c r="T830" s="438"/>
      <c r="U830" s="438"/>
      <c r="V830" s="437"/>
      <c r="W830" s="437"/>
      <c r="X830" s="438"/>
      <c r="Y830" s="438"/>
      <c r="Z830" s="940"/>
      <c r="AA830" s="940"/>
      <c r="AB830" s="438"/>
      <c r="AC830" s="438"/>
      <c r="AD830" s="940"/>
      <c r="AE830" s="940"/>
      <c r="AF830" s="438"/>
      <c r="AH830" s="438"/>
      <c r="AI830" s="437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</row>
    <row r="831" ht="14.25" customHeight="1">
      <c r="A831" s="1"/>
      <c r="B831" s="1"/>
      <c r="C831" s="1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438"/>
      <c r="Q831" s="438"/>
      <c r="R831" s="437"/>
      <c r="S831" s="437"/>
      <c r="T831" s="438"/>
      <c r="U831" s="438"/>
      <c r="V831" s="437"/>
      <c r="W831" s="437"/>
      <c r="X831" s="438"/>
      <c r="Y831" s="438"/>
      <c r="Z831" s="940"/>
      <c r="AA831" s="940"/>
      <c r="AB831" s="438"/>
      <c r="AC831" s="438"/>
      <c r="AD831" s="940"/>
      <c r="AE831" s="940"/>
      <c r="AF831" s="438"/>
      <c r="AH831" s="438"/>
      <c r="AI831" s="437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</row>
    <row r="832" ht="14.25" customHeight="1">
      <c r="A832" s="1"/>
      <c r="B832" s="1"/>
      <c r="C832" s="1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438"/>
      <c r="Q832" s="438"/>
      <c r="R832" s="437"/>
      <c r="S832" s="437"/>
      <c r="T832" s="438"/>
      <c r="U832" s="438"/>
      <c r="V832" s="437"/>
      <c r="W832" s="437"/>
      <c r="X832" s="438"/>
      <c r="Y832" s="438"/>
      <c r="Z832" s="940"/>
      <c r="AA832" s="940"/>
      <c r="AB832" s="438"/>
      <c r="AC832" s="438"/>
      <c r="AD832" s="940"/>
      <c r="AE832" s="940"/>
      <c r="AF832" s="438"/>
      <c r="AH832" s="438"/>
      <c r="AI832" s="437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</row>
    <row r="833" ht="14.25" customHeight="1">
      <c r="A833" s="1"/>
      <c r="B833" s="1"/>
      <c r="C833" s="1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438"/>
      <c r="Q833" s="438"/>
      <c r="R833" s="437"/>
      <c r="S833" s="437"/>
      <c r="T833" s="438"/>
      <c r="U833" s="438"/>
      <c r="V833" s="437"/>
      <c r="W833" s="437"/>
      <c r="X833" s="438"/>
      <c r="Y833" s="438"/>
      <c r="Z833" s="940"/>
      <c r="AA833" s="940"/>
      <c r="AB833" s="438"/>
      <c r="AC833" s="438"/>
      <c r="AD833" s="940"/>
      <c r="AE833" s="940"/>
      <c r="AF833" s="438"/>
      <c r="AH833" s="438"/>
      <c r="AI833" s="437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</row>
    <row r="834" ht="14.25" customHeight="1">
      <c r="A834" s="1"/>
      <c r="B834" s="1"/>
      <c r="C834" s="1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438"/>
      <c r="Q834" s="438"/>
      <c r="R834" s="437"/>
      <c r="S834" s="437"/>
      <c r="T834" s="438"/>
      <c r="U834" s="438"/>
      <c r="V834" s="437"/>
      <c r="W834" s="437"/>
      <c r="X834" s="438"/>
      <c r="Y834" s="438"/>
      <c r="Z834" s="940"/>
      <c r="AA834" s="940"/>
      <c r="AB834" s="438"/>
      <c r="AC834" s="438"/>
      <c r="AD834" s="940"/>
      <c r="AE834" s="940"/>
      <c r="AF834" s="438"/>
      <c r="AH834" s="438"/>
      <c r="AI834" s="437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</row>
    <row r="835" ht="14.25" customHeight="1">
      <c r="A835" s="1"/>
      <c r="B835" s="1"/>
      <c r="C835" s="1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438"/>
      <c r="Q835" s="438"/>
      <c r="R835" s="437"/>
      <c r="S835" s="437"/>
      <c r="T835" s="438"/>
      <c r="U835" s="438"/>
      <c r="V835" s="437"/>
      <c r="W835" s="437"/>
      <c r="X835" s="438"/>
      <c r="Y835" s="438"/>
      <c r="Z835" s="940"/>
      <c r="AA835" s="940"/>
      <c r="AB835" s="438"/>
      <c r="AC835" s="438"/>
      <c r="AD835" s="940"/>
      <c r="AE835" s="940"/>
      <c r="AF835" s="438"/>
      <c r="AH835" s="438"/>
      <c r="AI835" s="437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</row>
    <row r="836" ht="14.25" customHeight="1">
      <c r="A836" s="1"/>
      <c r="B836" s="1"/>
      <c r="C836" s="1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438"/>
      <c r="Q836" s="438"/>
      <c r="R836" s="437"/>
      <c r="S836" s="437"/>
      <c r="T836" s="438"/>
      <c r="U836" s="438"/>
      <c r="V836" s="437"/>
      <c r="W836" s="437"/>
      <c r="X836" s="438"/>
      <c r="Y836" s="438"/>
      <c r="Z836" s="940"/>
      <c r="AA836" s="940"/>
      <c r="AB836" s="438"/>
      <c r="AC836" s="438"/>
      <c r="AD836" s="940"/>
      <c r="AE836" s="940"/>
      <c r="AF836" s="438"/>
      <c r="AH836" s="438"/>
      <c r="AI836" s="437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</row>
    <row r="837" ht="14.25" customHeight="1">
      <c r="A837" s="1"/>
      <c r="B837" s="1"/>
      <c r="C837" s="1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438"/>
      <c r="Q837" s="438"/>
      <c r="R837" s="437"/>
      <c r="S837" s="437"/>
      <c r="T837" s="438"/>
      <c r="U837" s="438"/>
      <c r="V837" s="437"/>
      <c r="W837" s="437"/>
      <c r="X837" s="438"/>
      <c r="Y837" s="438"/>
      <c r="Z837" s="940"/>
      <c r="AA837" s="940"/>
      <c r="AB837" s="438"/>
      <c r="AC837" s="438"/>
      <c r="AD837" s="940"/>
      <c r="AE837" s="940"/>
      <c r="AF837" s="438"/>
      <c r="AH837" s="438"/>
      <c r="AI837" s="437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</row>
    <row r="838" ht="14.25" customHeight="1">
      <c r="A838" s="1"/>
      <c r="B838" s="1"/>
      <c r="C838" s="1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438"/>
      <c r="Q838" s="438"/>
      <c r="R838" s="437"/>
      <c r="S838" s="437"/>
      <c r="T838" s="438"/>
      <c r="U838" s="438"/>
      <c r="V838" s="437"/>
      <c r="W838" s="437"/>
      <c r="X838" s="438"/>
      <c r="Y838" s="438"/>
      <c r="Z838" s="940"/>
      <c r="AA838" s="940"/>
      <c r="AB838" s="438"/>
      <c r="AC838" s="438"/>
      <c r="AD838" s="940"/>
      <c r="AE838" s="940"/>
      <c r="AF838" s="438"/>
      <c r="AH838" s="438"/>
      <c r="AI838" s="437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</row>
    <row r="839" ht="14.25" customHeight="1">
      <c r="A839" s="1"/>
      <c r="B839" s="1"/>
      <c r="C839" s="1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438"/>
      <c r="Q839" s="438"/>
      <c r="R839" s="437"/>
      <c r="S839" s="437"/>
      <c r="T839" s="438"/>
      <c r="U839" s="438"/>
      <c r="V839" s="437"/>
      <c r="W839" s="437"/>
      <c r="X839" s="438"/>
      <c r="Y839" s="438"/>
      <c r="Z839" s="940"/>
      <c r="AA839" s="940"/>
      <c r="AB839" s="438"/>
      <c r="AC839" s="438"/>
      <c r="AD839" s="940"/>
      <c r="AE839" s="940"/>
      <c r="AF839" s="438"/>
      <c r="AH839" s="438"/>
      <c r="AI839" s="437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</row>
    <row r="840" ht="14.25" customHeight="1">
      <c r="A840" s="1"/>
      <c r="B840" s="1"/>
      <c r="C840" s="1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438"/>
      <c r="Q840" s="438"/>
      <c r="R840" s="437"/>
      <c r="S840" s="437"/>
      <c r="T840" s="438"/>
      <c r="U840" s="438"/>
      <c r="V840" s="437"/>
      <c r="W840" s="437"/>
      <c r="X840" s="438"/>
      <c r="Y840" s="438"/>
      <c r="Z840" s="940"/>
      <c r="AA840" s="940"/>
      <c r="AB840" s="438"/>
      <c r="AC840" s="438"/>
      <c r="AD840" s="940"/>
      <c r="AE840" s="940"/>
      <c r="AF840" s="438"/>
      <c r="AH840" s="438"/>
      <c r="AI840" s="437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</row>
    <row r="841" ht="14.25" customHeight="1">
      <c r="A841" s="1"/>
      <c r="B841" s="1"/>
      <c r="C841" s="1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438"/>
      <c r="Q841" s="438"/>
      <c r="R841" s="437"/>
      <c r="S841" s="437"/>
      <c r="T841" s="438"/>
      <c r="U841" s="438"/>
      <c r="V841" s="437"/>
      <c r="W841" s="437"/>
      <c r="X841" s="438"/>
      <c r="Y841" s="438"/>
      <c r="Z841" s="940"/>
      <c r="AA841" s="940"/>
      <c r="AB841" s="438"/>
      <c r="AC841" s="438"/>
      <c r="AD841" s="940"/>
      <c r="AE841" s="940"/>
      <c r="AF841" s="438"/>
      <c r="AH841" s="438"/>
      <c r="AI841" s="437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</row>
    <row r="842" ht="14.25" customHeight="1">
      <c r="A842" s="1"/>
      <c r="B842" s="1"/>
      <c r="C842" s="1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438"/>
      <c r="Q842" s="438"/>
      <c r="R842" s="437"/>
      <c r="S842" s="437"/>
      <c r="T842" s="438"/>
      <c r="U842" s="438"/>
      <c r="V842" s="437"/>
      <c r="W842" s="437"/>
      <c r="X842" s="438"/>
      <c r="Y842" s="438"/>
      <c r="Z842" s="940"/>
      <c r="AA842" s="940"/>
      <c r="AB842" s="438"/>
      <c r="AC842" s="438"/>
      <c r="AD842" s="940"/>
      <c r="AE842" s="940"/>
      <c r="AF842" s="438"/>
      <c r="AH842" s="438"/>
      <c r="AI842" s="437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</row>
    <row r="843" ht="14.25" customHeight="1">
      <c r="A843" s="1"/>
      <c r="B843" s="1"/>
      <c r="C843" s="1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438"/>
      <c r="Q843" s="438"/>
      <c r="R843" s="437"/>
      <c r="S843" s="437"/>
      <c r="T843" s="438"/>
      <c r="U843" s="438"/>
      <c r="V843" s="437"/>
      <c r="W843" s="437"/>
      <c r="X843" s="438"/>
      <c r="Y843" s="438"/>
      <c r="Z843" s="940"/>
      <c r="AA843" s="940"/>
      <c r="AB843" s="438"/>
      <c r="AC843" s="438"/>
      <c r="AD843" s="940"/>
      <c r="AE843" s="940"/>
      <c r="AF843" s="438"/>
      <c r="AH843" s="438"/>
      <c r="AI843" s="437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</row>
    <row r="844" ht="14.25" customHeight="1">
      <c r="A844" s="1"/>
      <c r="B844" s="1"/>
      <c r="C844" s="1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438"/>
      <c r="Q844" s="438"/>
      <c r="R844" s="437"/>
      <c r="S844" s="437"/>
      <c r="T844" s="438"/>
      <c r="U844" s="438"/>
      <c r="V844" s="437"/>
      <c r="W844" s="437"/>
      <c r="X844" s="438"/>
      <c r="Y844" s="438"/>
      <c r="Z844" s="940"/>
      <c r="AA844" s="940"/>
      <c r="AB844" s="438"/>
      <c r="AC844" s="438"/>
      <c r="AD844" s="940"/>
      <c r="AE844" s="940"/>
      <c r="AF844" s="438"/>
      <c r="AH844" s="438"/>
      <c r="AI844" s="437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</row>
    <row r="845" ht="14.25" customHeight="1">
      <c r="A845" s="1"/>
      <c r="B845" s="1"/>
      <c r="C845" s="1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438"/>
      <c r="Q845" s="438"/>
      <c r="R845" s="437"/>
      <c r="S845" s="437"/>
      <c r="T845" s="438"/>
      <c r="U845" s="438"/>
      <c r="V845" s="437"/>
      <c r="W845" s="437"/>
      <c r="X845" s="438"/>
      <c r="Y845" s="438"/>
      <c r="Z845" s="940"/>
      <c r="AA845" s="940"/>
      <c r="AB845" s="438"/>
      <c r="AC845" s="438"/>
      <c r="AD845" s="940"/>
      <c r="AE845" s="940"/>
      <c r="AF845" s="438"/>
      <c r="AH845" s="438"/>
      <c r="AI845" s="437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</row>
    <row r="846" ht="14.25" customHeight="1">
      <c r="A846" s="1"/>
      <c r="B846" s="1"/>
      <c r="C846" s="1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438"/>
      <c r="Q846" s="438"/>
      <c r="R846" s="437"/>
      <c r="S846" s="437"/>
      <c r="T846" s="438"/>
      <c r="U846" s="438"/>
      <c r="V846" s="437"/>
      <c r="W846" s="437"/>
      <c r="X846" s="438"/>
      <c r="Y846" s="438"/>
      <c r="Z846" s="940"/>
      <c r="AA846" s="940"/>
      <c r="AB846" s="438"/>
      <c r="AC846" s="438"/>
      <c r="AD846" s="940"/>
      <c r="AE846" s="940"/>
      <c r="AF846" s="438"/>
      <c r="AH846" s="438"/>
      <c r="AI846" s="437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</row>
    <row r="847" ht="14.25" customHeight="1">
      <c r="A847" s="1"/>
      <c r="B847" s="1"/>
      <c r="C847" s="1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438"/>
      <c r="Q847" s="438"/>
      <c r="R847" s="437"/>
      <c r="S847" s="437"/>
      <c r="T847" s="438"/>
      <c r="U847" s="438"/>
      <c r="V847" s="437"/>
      <c r="W847" s="437"/>
      <c r="X847" s="438"/>
      <c r="Y847" s="438"/>
      <c r="Z847" s="940"/>
      <c r="AA847" s="940"/>
      <c r="AB847" s="438"/>
      <c r="AC847" s="438"/>
      <c r="AD847" s="940"/>
      <c r="AE847" s="940"/>
      <c r="AF847" s="438"/>
      <c r="AH847" s="438"/>
      <c r="AI847" s="437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</row>
    <row r="848" ht="14.25" customHeight="1">
      <c r="A848" s="1"/>
      <c r="B848" s="1"/>
      <c r="C848" s="1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438"/>
      <c r="Q848" s="438"/>
      <c r="R848" s="437"/>
      <c r="S848" s="437"/>
      <c r="T848" s="438"/>
      <c r="U848" s="438"/>
      <c r="V848" s="437"/>
      <c r="W848" s="437"/>
      <c r="X848" s="438"/>
      <c r="Y848" s="438"/>
      <c r="Z848" s="940"/>
      <c r="AA848" s="940"/>
      <c r="AB848" s="438"/>
      <c r="AC848" s="438"/>
      <c r="AD848" s="940"/>
      <c r="AE848" s="940"/>
      <c r="AF848" s="438"/>
      <c r="AH848" s="438"/>
      <c r="AI848" s="437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</row>
    <row r="849" ht="14.25" customHeight="1">
      <c r="A849" s="1"/>
      <c r="B849" s="1"/>
      <c r="C849" s="1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438"/>
      <c r="Q849" s="438"/>
      <c r="R849" s="437"/>
      <c r="S849" s="437"/>
      <c r="T849" s="438"/>
      <c r="U849" s="438"/>
      <c r="V849" s="437"/>
      <c r="W849" s="437"/>
      <c r="X849" s="438"/>
      <c r="Y849" s="438"/>
      <c r="Z849" s="940"/>
      <c r="AA849" s="940"/>
      <c r="AB849" s="438"/>
      <c r="AC849" s="438"/>
      <c r="AD849" s="940"/>
      <c r="AE849" s="940"/>
      <c r="AF849" s="438"/>
      <c r="AH849" s="438"/>
      <c r="AI849" s="437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</row>
    <row r="850" ht="14.25" customHeight="1">
      <c r="A850" s="1"/>
      <c r="B850" s="1"/>
      <c r="C850" s="1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438"/>
      <c r="Q850" s="438"/>
      <c r="R850" s="437"/>
      <c r="S850" s="437"/>
      <c r="T850" s="438"/>
      <c r="U850" s="438"/>
      <c r="V850" s="437"/>
      <c r="W850" s="437"/>
      <c r="X850" s="438"/>
      <c r="Y850" s="438"/>
      <c r="Z850" s="940"/>
      <c r="AA850" s="940"/>
      <c r="AB850" s="438"/>
      <c r="AC850" s="438"/>
      <c r="AD850" s="940"/>
      <c r="AE850" s="940"/>
      <c r="AF850" s="438"/>
      <c r="AH850" s="438"/>
      <c r="AI850" s="437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</row>
    <row r="851" ht="14.25" customHeight="1">
      <c r="A851" s="1"/>
      <c r="B851" s="1"/>
      <c r="C851" s="1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438"/>
      <c r="Q851" s="438"/>
      <c r="R851" s="437"/>
      <c r="S851" s="437"/>
      <c r="T851" s="438"/>
      <c r="U851" s="438"/>
      <c r="V851" s="437"/>
      <c r="W851" s="437"/>
      <c r="X851" s="438"/>
      <c r="Y851" s="438"/>
      <c r="Z851" s="940"/>
      <c r="AA851" s="940"/>
      <c r="AB851" s="438"/>
      <c r="AC851" s="438"/>
      <c r="AD851" s="940"/>
      <c r="AE851" s="940"/>
      <c r="AF851" s="438"/>
      <c r="AH851" s="438"/>
      <c r="AI851" s="437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</row>
    <row r="852" ht="14.25" customHeight="1">
      <c r="A852" s="1"/>
      <c r="B852" s="1"/>
      <c r="C852" s="1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438"/>
      <c r="Q852" s="438"/>
      <c r="R852" s="437"/>
      <c r="S852" s="437"/>
      <c r="T852" s="438"/>
      <c r="U852" s="438"/>
      <c r="V852" s="437"/>
      <c r="W852" s="437"/>
      <c r="X852" s="438"/>
      <c r="Y852" s="438"/>
      <c r="Z852" s="940"/>
      <c r="AA852" s="940"/>
      <c r="AB852" s="438"/>
      <c r="AC852" s="438"/>
      <c r="AD852" s="940"/>
      <c r="AE852" s="940"/>
      <c r="AF852" s="438"/>
      <c r="AH852" s="438"/>
      <c r="AI852" s="437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</row>
    <row r="853" ht="14.25" customHeight="1">
      <c r="A853" s="1"/>
      <c r="B853" s="1"/>
      <c r="C853" s="1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438"/>
      <c r="Q853" s="438"/>
      <c r="R853" s="437"/>
      <c r="S853" s="437"/>
      <c r="T853" s="438"/>
      <c r="U853" s="438"/>
      <c r="V853" s="437"/>
      <c r="W853" s="437"/>
      <c r="X853" s="438"/>
      <c r="Y853" s="438"/>
      <c r="Z853" s="940"/>
      <c r="AA853" s="940"/>
      <c r="AB853" s="438"/>
      <c r="AC853" s="438"/>
      <c r="AD853" s="940"/>
      <c r="AE853" s="940"/>
      <c r="AF853" s="438"/>
      <c r="AH853" s="438"/>
      <c r="AI853" s="437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</row>
    <row r="854" ht="14.25" customHeight="1">
      <c r="A854" s="1"/>
      <c r="B854" s="1"/>
      <c r="C854" s="1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438"/>
      <c r="Q854" s="438"/>
      <c r="R854" s="437"/>
      <c r="S854" s="437"/>
      <c r="T854" s="438"/>
      <c r="U854" s="438"/>
      <c r="V854" s="437"/>
      <c r="W854" s="437"/>
      <c r="X854" s="438"/>
      <c r="Y854" s="438"/>
      <c r="Z854" s="940"/>
      <c r="AA854" s="940"/>
      <c r="AB854" s="438"/>
      <c r="AC854" s="438"/>
      <c r="AD854" s="940"/>
      <c r="AE854" s="940"/>
      <c r="AF854" s="438"/>
      <c r="AH854" s="438"/>
      <c r="AI854" s="437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</row>
    <row r="855" ht="14.25" customHeight="1">
      <c r="A855" s="1"/>
      <c r="B855" s="1"/>
      <c r="C855" s="1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438"/>
      <c r="Q855" s="438"/>
      <c r="R855" s="437"/>
      <c r="S855" s="437"/>
      <c r="T855" s="438"/>
      <c r="U855" s="438"/>
      <c r="V855" s="437"/>
      <c r="W855" s="437"/>
      <c r="X855" s="438"/>
      <c r="Y855" s="438"/>
      <c r="Z855" s="940"/>
      <c r="AA855" s="940"/>
      <c r="AB855" s="438"/>
      <c r="AC855" s="438"/>
      <c r="AD855" s="940"/>
      <c r="AE855" s="940"/>
      <c r="AF855" s="438"/>
      <c r="AH855" s="438"/>
      <c r="AI855" s="437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</row>
    <row r="856" ht="14.25" customHeight="1">
      <c r="A856" s="1"/>
      <c r="B856" s="1"/>
      <c r="C856" s="1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438"/>
      <c r="Q856" s="438"/>
      <c r="R856" s="437"/>
      <c r="S856" s="437"/>
      <c r="T856" s="438"/>
      <c r="U856" s="438"/>
      <c r="V856" s="437"/>
      <c r="W856" s="437"/>
      <c r="X856" s="438"/>
      <c r="Y856" s="438"/>
      <c r="Z856" s="940"/>
      <c r="AA856" s="940"/>
      <c r="AB856" s="438"/>
      <c r="AC856" s="438"/>
      <c r="AD856" s="940"/>
      <c r="AE856" s="940"/>
      <c r="AF856" s="438"/>
      <c r="AH856" s="438"/>
      <c r="AI856" s="437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</row>
    <row r="857" ht="14.25" customHeight="1">
      <c r="A857" s="1"/>
      <c r="B857" s="1"/>
      <c r="C857" s="1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438"/>
      <c r="Q857" s="438"/>
      <c r="R857" s="437"/>
      <c r="S857" s="437"/>
      <c r="T857" s="438"/>
      <c r="U857" s="438"/>
      <c r="V857" s="437"/>
      <c r="W857" s="437"/>
      <c r="X857" s="438"/>
      <c r="Y857" s="438"/>
      <c r="Z857" s="940"/>
      <c r="AA857" s="940"/>
      <c r="AB857" s="438"/>
      <c r="AC857" s="438"/>
      <c r="AD857" s="940"/>
      <c r="AE857" s="940"/>
      <c r="AF857" s="438"/>
      <c r="AH857" s="438"/>
      <c r="AI857" s="437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</row>
    <row r="858" ht="14.25" customHeight="1">
      <c r="A858" s="1"/>
      <c r="B858" s="1"/>
      <c r="C858" s="1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438"/>
      <c r="Q858" s="438"/>
      <c r="R858" s="437"/>
      <c r="S858" s="437"/>
      <c r="T858" s="438"/>
      <c r="U858" s="438"/>
      <c r="V858" s="437"/>
      <c r="W858" s="437"/>
      <c r="X858" s="438"/>
      <c r="Y858" s="438"/>
      <c r="Z858" s="940"/>
      <c r="AA858" s="940"/>
      <c r="AB858" s="438"/>
      <c r="AC858" s="438"/>
      <c r="AD858" s="940"/>
      <c r="AE858" s="940"/>
      <c r="AF858" s="438"/>
      <c r="AH858" s="438"/>
      <c r="AI858" s="437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</row>
    <row r="859" ht="14.25" customHeight="1">
      <c r="A859" s="1"/>
      <c r="B859" s="1"/>
      <c r="C859" s="1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438"/>
      <c r="Q859" s="438"/>
      <c r="R859" s="437"/>
      <c r="S859" s="437"/>
      <c r="T859" s="438"/>
      <c r="U859" s="438"/>
      <c r="V859" s="437"/>
      <c r="W859" s="437"/>
      <c r="X859" s="438"/>
      <c r="Y859" s="438"/>
      <c r="Z859" s="940"/>
      <c r="AA859" s="940"/>
      <c r="AB859" s="438"/>
      <c r="AC859" s="438"/>
      <c r="AD859" s="940"/>
      <c r="AE859" s="940"/>
      <c r="AF859" s="438"/>
      <c r="AH859" s="438"/>
      <c r="AI859" s="437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</row>
    <row r="860" ht="14.25" customHeight="1">
      <c r="A860" s="1"/>
      <c r="B860" s="1"/>
      <c r="C860" s="1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438"/>
      <c r="Q860" s="438"/>
      <c r="R860" s="437"/>
      <c r="S860" s="437"/>
      <c r="T860" s="438"/>
      <c r="U860" s="438"/>
      <c r="V860" s="437"/>
      <c r="W860" s="437"/>
      <c r="X860" s="438"/>
      <c r="Y860" s="438"/>
      <c r="Z860" s="940"/>
      <c r="AA860" s="940"/>
      <c r="AB860" s="438"/>
      <c r="AC860" s="438"/>
      <c r="AD860" s="940"/>
      <c r="AE860" s="940"/>
      <c r="AF860" s="438"/>
      <c r="AH860" s="438"/>
      <c r="AI860" s="437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</row>
    <row r="861" ht="14.25" customHeight="1">
      <c r="A861" s="1"/>
      <c r="B861" s="1"/>
      <c r="C861" s="1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438"/>
      <c r="Q861" s="438"/>
      <c r="R861" s="437"/>
      <c r="S861" s="437"/>
      <c r="T861" s="438"/>
      <c r="U861" s="438"/>
      <c r="V861" s="437"/>
      <c r="W861" s="437"/>
      <c r="X861" s="438"/>
      <c r="Y861" s="438"/>
      <c r="Z861" s="940"/>
      <c r="AA861" s="940"/>
      <c r="AB861" s="438"/>
      <c r="AC861" s="438"/>
      <c r="AD861" s="940"/>
      <c r="AE861" s="940"/>
      <c r="AF861" s="438"/>
      <c r="AH861" s="438"/>
      <c r="AI861" s="437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</row>
    <row r="862" ht="14.25" customHeight="1">
      <c r="A862" s="1"/>
      <c r="B862" s="1"/>
      <c r="C862" s="1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438"/>
      <c r="Q862" s="438"/>
      <c r="R862" s="437"/>
      <c r="S862" s="437"/>
      <c r="T862" s="438"/>
      <c r="U862" s="438"/>
      <c r="V862" s="437"/>
      <c r="W862" s="437"/>
      <c r="X862" s="438"/>
      <c r="Y862" s="438"/>
      <c r="Z862" s="940"/>
      <c r="AA862" s="940"/>
      <c r="AB862" s="438"/>
      <c r="AC862" s="438"/>
      <c r="AD862" s="940"/>
      <c r="AE862" s="940"/>
      <c r="AF862" s="438"/>
      <c r="AH862" s="438"/>
      <c r="AI862" s="437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</row>
    <row r="863" ht="14.25" customHeight="1">
      <c r="A863" s="1"/>
      <c r="B863" s="1"/>
      <c r="C863" s="1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438"/>
      <c r="Q863" s="438"/>
      <c r="R863" s="437"/>
      <c r="S863" s="437"/>
      <c r="T863" s="438"/>
      <c r="U863" s="438"/>
      <c r="V863" s="437"/>
      <c r="W863" s="437"/>
      <c r="X863" s="438"/>
      <c r="Y863" s="438"/>
      <c r="Z863" s="940"/>
      <c r="AA863" s="940"/>
      <c r="AB863" s="438"/>
      <c r="AC863" s="438"/>
      <c r="AD863" s="940"/>
      <c r="AE863" s="940"/>
      <c r="AF863" s="438"/>
      <c r="AH863" s="438"/>
      <c r="AI863" s="437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</row>
    <row r="864" ht="14.25" customHeight="1">
      <c r="A864" s="1"/>
      <c r="B864" s="1"/>
      <c r="C864" s="1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438"/>
      <c r="Q864" s="438"/>
      <c r="R864" s="437"/>
      <c r="S864" s="437"/>
      <c r="T864" s="438"/>
      <c r="U864" s="438"/>
      <c r="V864" s="437"/>
      <c r="W864" s="437"/>
      <c r="X864" s="438"/>
      <c r="Y864" s="438"/>
      <c r="Z864" s="940"/>
      <c r="AA864" s="940"/>
      <c r="AB864" s="438"/>
      <c r="AC864" s="438"/>
      <c r="AD864" s="940"/>
      <c r="AE864" s="940"/>
      <c r="AF864" s="438"/>
      <c r="AH864" s="438"/>
      <c r="AI864" s="437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</row>
    <row r="865" ht="14.25" customHeight="1">
      <c r="A865" s="1"/>
      <c r="B865" s="1"/>
      <c r="C865" s="1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438"/>
      <c r="Q865" s="438"/>
      <c r="R865" s="437"/>
      <c r="S865" s="437"/>
      <c r="T865" s="438"/>
      <c r="U865" s="438"/>
      <c r="V865" s="437"/>
      <c r="W865" s="437"/>
      <c r="X865" s="438"/>
      <c r="Y865" s="438"/>
      <c r="Z865" s="940"/>
      <c r="AA865" s="940"/>
      <c r="AB865" s="438"/>
      <c r="AC865" s="438"/>
      <c r="AD865" s="940"/>
      <c r="AE865" s="940"/>
      <c r="AF865" s="438"/>
      <c r="AH865" s="438"/>
      <c r="AI865" s="437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</row>
    <row r="866" ht="14.25" customHeight="1">
      <c r="A866" s="1"/>
      <c r="B866" s="1"/>
      <c r="C866" s="1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438"/>
      <c r="Q866" s="438"/>
      <c r="R866" s="437"/>
      <c r="S866" s="437"/>
      <c r="T866" s="438"/>
      <c r="U866" s="438"/>
      <c r="V866" s="437"/>
      <c r="W866" s="437"/>
      <c r="X866" s="438"/>
      <c r="Y866" s="438"/>
      <c r="Z866" s="940"/>
      <c r="AA866" s="940"/>
      <c r="AB866" s="438"/>
      <c r="AC866" s="438"/>
      <c r="AD866" s="940"/>
      <c r="AE866" s="940"/>
      <c r="AF866" s="438"/>
      <c r="AH866" s="438"/>
      <c r="AI866" s="437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</row>
    <row r="867" ht="14.25" customHeight="1">
      <c r="A867" s="1"/>
      <c r="B867" s="1"/>
      <c r="C867" s="1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438"/>
      <c r="Q867" s="438"/>
      <c r="R867" s="437"/>
      <c r="S867" s="437"/>
      <c r="T867" s="438"/>
      <c r="U867" s="438"/>
      <c r="V867" s="437"/>
      <c r="W867" s="437"/>
      <c r="X867" s="438"/>
      <c r="Y867" s="438"/>
      <c r="Z867" s="940"/>
      <c r="AA867" s="940"/>
      <c r="AB867" s="438"/>
      <c r="AC867" s="438"/>
      <c r="AD867" s="940"/>
      <c r="AE867" s="940"/>
      <c r="AF867" s="438"/>
      <c r="AH867" s="438"/>
      <c r="AI867" s="437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</row>
    <row r="868" ht="14.25" customHeight="1">
      <c r="A868" s="1"/>
      <c r="B868" s="1"/>
      <c r="C868" s="1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438"/>
      <c r="Q868" s="438"/>
      <c r="R868" s="437"/>
      <c r="S868" s="437"/>
      <c r="T868" s="438"/>
      <c r="U868" s="438"/>
      <c r="V868" s="437"/>
      <c r="W868" s="437"/>
      <c r="X868" s="438"/>
      <c r="Y868" s="438"/>
      <c r="Z868" s="940"/>
      <c r="AA868" s="940"/>
      <c r="AB868" s="438"/>
      <c r="AC868" s="438"/>
      <c r="AD868" s="940"/>
      <c r="AE868" s="940"/>
      <c r="AF868" s="438"/>
      <c r="AH868" s="438"/>
      <c r="AI868" s="437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</row>
    <row r="869" ht="14.25" customHeight="1">
      <c r="A869" s="1"/>
      <c r="B869" s="1"/>
      <c r="C869" s="1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438"/>
      <c r="Q869" s="438"/>
      <c r="R869" s="437"/>
      <c r="S869" s="437"/>
      <c r="T869" s="438"/>
      <c r="U869" s="438"/>
      <c r="V869" s="437"/>
      <c r="W869" s="437"/>
      <c r="X869" s="438"/>
      <c r="Y869" s="438"/>
      <c r="Z869" s="940"/>
      <c r="AA869" s="940"/>
      <c r="AB869" s="438"/>
      <c r="AC869" s="438"/>
      <c r="AD869" s="940"/>
      <c r="AE869" s="940"/>
      <c r="AF869" s="438"/>
      <c r="AH869" s="438"/>
      <c r="AI869" s="437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</row>
    <row r="870" ht="14.25" customHeight="1">
      <c r="A870" s="1"/>
      <c r="B870" s="1"/>
      <c r="C870" s="1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438"/>
      <c r="Q870" s="438"/>
      <c r="R870" s="437"/>
      <c r="S870" s="437"/>
      <c r="T870" s="438"/>
      <c r="U870" s="438"/>
      <c r="V870" s="437"/>
      <c r="W870" s="437"/>
      <c r="X870" s="438"/>
      <c r="Y870" s="438"/>
      <c r="Z870" s="940"/>
      <c r="AA870" s="940"/>
      <c r="AB870" s="438"/>
      <c r="AC870" s="438"/>
      <c r="AD870" s="940"/>
      <c r="AE870" s="940"/>
      <c r="AF870" s="438"/>
      <c r="AH870" s="438"/>
      <c r="AI870" s="437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</row>
    <row r="871" ht="14.25" customHeight="1">
      <c r="A871" s="1"/>
      <c r="B871" s="1"/>
      <c r="C871" s="1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438"/>
      <c r="Q871" s="438"/>
      <c r="R871" s="437"/>
      <c r="S871" s="437"/>
      <c r="T871" s="438"/>
      <c r="U871" s="438"/>
      <c r="V871" s="437"/>
      <c r="W871" s="437"/>
      <c r="X871" s="438"/>
      <c r="Y871" s="438"/>
      <c r="Z871" s="940"/>
      <c r="AA871" s="940"/>
      <c r="AB871" s="438"/>
      <c r="AC871" s="438"/>
      <c r="AD871" s="940"/>
      <c r="AE871" s="940"/>
      <c r="AF871" s="438"/>
      <c r="AH871" s="438"/>
      <c r="AI871" s="437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</row>
    <row r="872" ht="14.25" customHeight="1">
      <c r="A872" s="1"/>
      <c r="B872" s="1"/>
      <c r="C872" s="1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438"/>
      <c r="Q872" s="438"/>
      <c r="R872" s="437"/>
      <c r="S872" s="437"/>
      <c r="T872" s="438"/>
      <c r="U872" s="438"/>
      <c r="V872" s="437"/>
      <c r="W872" s="437"/>
      <c r="X872" s="438"/>
      <c r="Y872" s="438"/>
      <c r="Z872" s="940"/>
      <c r="AA872" s="940"/>
      <c r="AB872" s="438"/>
      <c r="AC872" s="438"/>
      <c r="AD872" s="940"/>
      <c r="AE872" s="940"/>
      <c r="AF872" s="438"/>
      <c r="AH872" s="438"/>
      <c r="AI872" s="437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</row>
    <row r="873" ht="14.25" customHeight="1">
      <c r="A873" s="1"/>
      <c r="B873" s="1"/>
      <c r="C873" s="1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438"/>
      <c r="Q873" s="438"/>
      <c r="R873" s="437"/>
      <c r="S873" s="437"/>
      <c r="T873" s="438"/>
      <c r="U873" s="438"/>
      <c r="V873" s="437"/>
      <c r="W873" s="437"/>
      <c r="X873" s="438"/>
      <c r="Y873" s="438"/>
      <c r="Z873" s="940"/>
      <c r="AA873" s="940"/>
      <c r="AB873" s="438"/>
      <c r="AC873" s="438"/>
      <c r="AD873" s="940"/>
      <c r="AE873" s="940"/>
      <c r="AF873" s="438"/>
      <c r="AH873" s="438"/>
      <c r="AI873" s="437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</row>
    <row r="874" ht="14.25" customHeight="1">
      <c r="A874" s="1"/>
      <c r="B874" s="1"/>
      <c r="C874" s="1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438"/>
      <c r="Q874" s="438"/>
      <c r="R874" s="437"/>
      <c r="S874" s="437"/>
      <c r="T874" s="438"/>
      <c r="U874" s="438"/>
      <c r="V874" s="437"/>
      <c r="W874" s="437"/>
      <c r="X874" s="438"/>
      <c r="Y874" s="438"/>
      <c r="Z874" s="940"/>
      <c r="AA874" s="940"/>
      <c r="AB874" s="438"/>
      <c r="AC874" s="438"/>
      <c r="AD874" s="940"/>
      <c r="AE874" s="940"/>
      <c r="AF874" s="438"/>
      <c r="AH874" s="438"/>
      <c r="AI874" s="437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</row>
    <row r="875" ht="14.25" customHeight="1">
      <c r="A875" s="1"/>
      <c r="B875" s="1"/>
      <c r="C875" s="1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438"/>
      <c r="Q875" s="438"/>
      <c r="R875" s="437"/>
      <c r="S875" s="437"/>
      <c r="T875" s="438"/>
      <c r="U875" s="438"/>
      <c r="V875" s="437"/>
      <c r="W875" s="437"/>
      <c r="X875" s="438"/>
      <c r="Y875" s="438"/>
      <c r="Z875" s="940"/>
      <c r="AA875" s="940"/>
      <c r="AB875" s="438"/>
      <c r="AC875" s="438"/>
      <c r="AD875" s="940"/>
      <c r="AE875" s="940"/>
      <c r="AF875" s="438"/>
      <c r="AH875" s="438"/>
      <c r="AI875" s="437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</row>
    <row r="876" ht="14.25" customHeight="1">
      <c r="A876" s="1"/>
      <c r="B876" s="1"/>
      <c r="C876" s="1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438"/>
      <c r="Q876" s="438"/>
      <c r="R876" s="437"/>
      <c r="S876" s="437"/>
      <c r="T876" s="438"/>
      <c r="U876" s="438"/>
      <c r="V876" s="437"/>
      <c r="W876" s="437"/>
      <c r="X876" s="438"/>
      <c r="Y876" s="438"/>
      <c r="Z876" s="940"/>
      <c r="AA876" s="940"/>
      <c r="AB876" s="438"/>
      <c r="AC876" s="438"/>
      <c r="AD876" s="940"/>
      <c r="AE876" s="940"/>
      <c r="AF876" s="438"/>
      <c r="AH876" s="438"/>
      <c r="AI876" s="437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</row>
    <row r="877" ht="14.25" customHeight="1">
      <c r="A877" s="1"/>
      <c r="B877" s="1"/>
      <c r="C877" s="1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438"/>
      <c r="Q877" s="438"/>
      <c r="R877" s="437"/>
      <c r="S877" s="437"/>
      <c r="T877" s="438"/>
      <c r="U877" s="438"/>
      <c r="V877" s="437"/>
      <c r="W877" s="437"/>
      <c r="X877" s="438"/>
      <c r="Y877" s="438"/>
      <c r="Z877" s="940"/>
      <c r="AA877" s="940"/>
      <c r="AB877" s="438"/>
      <c r="AC877" s="438"/>
      <c r="AD877" s="940"/>
      <c r="AE877" s="940"/>
      <c r="AF877" s="438"/>
      <c r="AH877" s="438"/>
      <c r="AI877" s="437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</row>
    <row r="878" ht="14.25" customHeight="1">
      <c r="A878" s="1"/>
      <c r="B878" s="1"/>
      <c r="C878" s="1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438"/>
      <c r="Q878" s="438"/>
      <c r="R878" s="437"/>
      <c r="S878" s="437"/>
      <c r="T878" s="438"/>
      <c r="U878" s="438"/>
      <c r="V878" s="437"/>
      <c r="W878" s="437"/>
      <c r="X878" s="438"/>
      <c r="Y878" s="438"/>
      <c r="Z878" s="940"/>
      <c r="AA878" s="940"/>
      <c r="AB878" s="438"/>
      <c r="AC878" s="438"/>
      <c r="AD878" s="940"/>
      <c r="AE878" s="940"/>
      <c r="AF878" s="438"/>
      <c r="AH878" s="438"/>
      <c r="AI878" s="437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</row>
    <row r="879" ht="14.25" customHeight="1">
      <c r="A879" s="1"/>
      <c r="B879" s="1"/>
      <c r="C879" s="1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438"/>
      <c r="Q879" s="438"/>
      <c r="R879" s="437"/>
      <c r="S879" s="437"/>
      <c r="T879" s="438"/>
      <c r="U879" s="438"/>
      <c r="V879" s="437"/>
      <c r="W879" s="437"/>
      <c r="X879" s="438"/>
      <c r="Y879" s="438"/>
      <c r="Z879" s="940"/>
      <c r="AA879" s="940"/>
      <c r="AB879" s="438"/>
      <c r="AC879" s="438"/>
      <c r="AD879" s="940"/>
      <c r="AE879" s="940"/>
      <c r="AF879" s="438"/>
      <c r="AH879" s="438"/>
      <c r="AI879" s="437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</row>
    <row r="880" ht="14.25" customHeight="1">
      <c r="A880" s="1"/>
      <c r="B880" s="1"/>
      <c r="C880" s="1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438"/>
      <c r="Q880" s="438"/>
      <c r="R880" s="437"/>
      <c r="S880" s="437"/>
      <c r="T880" s="438"/>
      <c r="U880" s="438"/>
      <c r="V880" s="437"/>
      <c r="W880" s="437"/>
      <c r="X880" s="438"/>
      <c r="Y880" s="438"/>
      <c r="Z880" s="940"/>
      <c r="AA880" s="940"/>
      <c r="AB880" s="438"/>
      <c r="AC880" s="438"/>
      <c r="AD880" s="940"/>
      <c r="AE880" s="940"/>
      <c r="AF880" s="438"/>
      <c r="AH880" s="438"/>
      <c r="AI880" s="437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</row>
    <row r="881" ht="14.25" customHeight="1">
      <c r="A881" s="1"/>
      <c r="B881" s="1"/>
      <c r="C881" s="1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438"/>
      <c r="Q881" s="438"/>
      <c r="R881" s="437"/>
      <c r="S881" s="437"/>
      <c r="T881" s="438"/>
      <c r="U881" s="438"/>
      <c r="V881" s="437"/>
      <c r="W881" s="437"/>
      <c r="X881" s="438"/>
      <c r="Y881" s="438"/>
      <c r="Z881" s="940"/>
      <c r="AA881" s="940"/>
      <c r="AB881" s="438"/>
      <c r="AC881" s="438"/>
      <c r="AD881" s="940"/>
      <c r="AE881" s="940"/>
      <c r="AF881" s="438"/>
      <c r="AH881" s="438"/>
      <c r="AI881" s="437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</row>
    <row r="882" ht="14.25" customHeight="1">
      <c r="A882" s="1"/>
      <c r="B882" s="1"/>
      <c r="C882" s="1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438"/>
      <c r="Q882" s="438"/>
      <c r="R882" s="437"/>
      <c r="S882" s="437"/>
      <c r="T882" s="438"/>
      <c r="U882" s="438"/>
      <c r="V882" s="437"/>
      <c r="W882" s="437"/>
      <c r="X882" s="438"/>
      <c r="Y882" s="438"/>
      <c r="Z882" s="940"/>
      <c r="AA882" s="940"/>
      <c r="AB882" s="438"/>
      <c r="AC882" s="438"/>
      <c r="AD882" s="940"/>
      <c r="AE882" s="940"/>
      <c r="AF882" s="438"/>
      <c r="AH882" s="438"/>
      <c r="AI882" s="437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</row>
    <row r="883" ht="14.25" customHeight="1">
      <c r="A883" s="1"/>
      <c r="B883" s="1"/>
      <c r="C883" s="1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438"/>
      <c r="Q883" s="438"/>
      <c r="R883" s="437"/>
      <c r="S883" s="437"/>
      <c r="T883" s="438"/>
      <c r="U883" s="438"/>
      <c r="V883" s="437"/>
      <c r="W883" s="437"/>
      <c r="X883" s="438"/>
      <c r="Y883" s="438"/>
      <c r="Z883" s="940"/>
      <c r="AA883" s="940"/>
      <c r="AB883" s="438"/>
      <c r="AC883" s="438"/>
      <c r="AD883" s="940"/>
      <c r="AE883" s="940"/>
      <c r="AF883" s="438"/>
      <c r="AH883" s="438"/>
      <c r="AI883" s="437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</row>
    <row r="884" ht="14.25" customHeight="1">
      <c r="A884" s="1"/>
      <c r="B884" s="1"/>
      <c r="C884" s="1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438"/>
      <c r="Q884" s="438"/>
      <c r="R884" s="437"/>
      <c r="S884" s="437"/>
      <c r="T884" s="438"/>
      <c r="U884" s="438"/>
      <c r="V884" s="437"/>
      <c r="W884" s="437"/>
      <c r="X884" s="438"/>
      <c r="Y884" s="438"/>
      <c r="Z884" s="940"/>
      <c r="AA884" s="940"/>
      <c r="AB884" s="438"/>
      <c r="AC884" s="438"/>
      <c r="AD884" s="940"/>
      <c r="AE884" s="940"/>
      <c r="AF884" s="438"/>
      <c r="AH884" s="438"/>
      <c r="AI884" s="437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</row>
    <row r="885" ht="14.25" customHeight="1">
      <c r="A885" s="1"/>
      <c r="B885" s="1"/>
      <c r="C885" s="1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438"/>
      <c r="Q885" s="438"/>
      <c r="R885" s="437"/>
      <c r="S885" s="437"/>
      <c r="T885" s="438"/>
      <c r="U885" s="438"/>
      <c r="V885" s="437"/>
      <c r="W885" s="437"/>
      <c r="X885" s="438"/>
      <c r="Y885" s="438"/>
      <c r="Z885" s="940"/>
      <c r="AA885" s="940"/>
      <c r="AB885" s="438"/>
      <c r="AC885" s="438"/>
      <c r="AD885" s="940"/>
      <c r="AE885" s="940"/>
      <c r="AF885" s="438"/>
      <c r="AH885" s="438"/>
      <c r="AI885" s="437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</row>
    <row r="886" ht="14.25" customHeight="1">
      <c r="A886" s="1"/>
      <c r="B886" s="1"/>
      <c r="C886" s="1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438"/>
      <c r="Q886" s="438"/>
      <c r="R886" s="437"/>
      <c r="S886" s="437"/>
      <c r="T886" s="438"/>
      <c r="U886" s="438"/>
      <c r="V886" s="437"/>
      <c r="W886" s="437"/>
      <c r="X886" s="438"/>
      <c r="Y886" s="438"/>
      <c r="Z886" s="940"/>
      <c r="AA886" s="940"/>
      <c r="AB886" s="438"/>
      <c r="AC886" s="438"/>
      <c r="AD886" s="940"/>
      <c r="AE886" s="940"/>
      <c r="AF886" s="438"/>
      <c r="AH886" s="438"/>
      <c r="AI886" s="437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</row>
    <row r="887" ht="14.25" customHeight="1">
      <c r="A887" s="1"/>
      <c r="B887" s="1"/>
      <c r="C887" s="1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438"/>
      <c r="Q887" s="438"/>
      <c r="R887" s="437"/>
      <c r="S887" s="437"/>
      <c r="T887" s="438"/>
      <c r="U887" s="438"/>
      <c r="V887" s="437"/>
      <c r="W887" s="437"/>
      <c r="X887" s="438"/>
      <c r="Y887" s="438"/>
      <c r="Z887" s="940"/>
      <c r="AA887" s="940"/>
      <c r="AB887" s="438"/>
      <c r="AC887" s="438"/>
      <c r="AD887" s="940"/>
      <c r="AE887" s="940"/>
      <c r="AF887" s="438"/>
      <c r="AH887" s="438"/>
      <c r="AI887" s="437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</row>
    <row r="888" ht="14.25" customHeight="1">
      <c r="A888" s="1"/>
      <c r="B888" s="1"/>
      <c r="C888" s="1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438"/>
      <c r="Q888" s="438"/>
      <c r="R888" s="437"/>
      <c r="S888" s="437"/>
      <c r="T888" s="438"/>
      <c r="U888" s="438"/>
      <c r="V888" s="437"/>
      <c r="W888" s="437"/>
      <c r="X888" s="438"/>
      <c r="Y888" s="438"/>
      <c r="Z888" s="940"/>
      <c r="AA888" s="940"/>
      <c r="AB888" s="438"/>
      <c r="AC888" s="438"/>
      <c r="AD888" s="940"/>
      <c r="AE888" s="940"/>
      <c r="AF888" s="438"/>
      <c r="AH888" s="438"/>
      <c r="AI888" s="437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</row>
    <row r="889" ht="14.25" customHeight="1">
      <c r="A889" s="1"/>
      <c r="B889" s="1"/>
      <c r="C889" s="1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438"/>
      <c r="Q889" s="438"/>
      <c r="R889" s="437"/>
      <c r="S889" s="437"/>
      <c r="T889" s="438"/>
      <c r="U889" s="438"/>
      <c r="V889" s="437"/>
      <c r="W889" s="437"/>
      <c r="X889" s="438"/>
      <c r="Y889" s="438"/>
      <c r="Z889" s="940"/>
      <c r="AA889" s="940"/>
      <c r="AB889" s="438"/>
      <c r="AC889" s="438"/>
      <c r="AD889" s="940"/>
      <c r="AE889" s="940"/>
      <c r="AF889" s="438"/>
      <c r="AH889" s="438"/>
      <c r="AI889" s="437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</row>
    <row r="890" ht="14.25" customHeight="1">
      <c r="A890" s="1"/>
      <c r="B890" s="1"/>
      <c r="C890" s="1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438"/>
      <c r="Q890" s="438"/>
      <c r="R890" s="437"/>
      <c r="S890" s="437"/>
      <c r="T890" s="438"/>
      <c r="U890" s="438"/>
      <c r="V890" s="437"/>
      <c r="W890" s="437"/>
      <c r="X890" s="438"/>
      <c r="Y890" s="438"/>
      <c r="Z890" s="940"/>
      <c r="AA890" s="940"/>
      <c r="AB890" s="438"/>
      <c r="AC890" s="438"/>
      <c r="AD890" s="940"/>
      <c r="AE890" s="940"/>
      <c r="AF890" s="438"/>
      <c r="AH890" s="438"/>
      <c r="AI890" s="437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</row>
    <row r="891" ht="14.25" customHeight="1">
      <c r="A891" s="1"/>
      <c r="B891" s="1"/>
      <c r="C891" s="1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438"/>
      <c r="Q891" s="438"/>
      <c r="R891" s="437"/>
      <c r="S891" s="437"/>
      <c r="T891" s="438"/>
      <c r="U891" s="438"/>
      <c r="V891" s="437"/>
      <c r="W891" s="437"/>
      <c r="X891" s="438"/>
      <c r="Y891" s="438"/>
      <c r="Z891" s="940"/>
      <c r="AA891" s="940"/>
      <c r="AB891" s="438"/>
      <c r="AC891" s="438"/>
      <c r="AD891" s="940"/>
      <c r="AE891" s="940"/>
      <c r="AF891" s="438"/>
      <c r="AH891" s="438"/>
      <c r="AI891" s="437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</row>
    <row r="892" ht="14.25" customHeight="1">
      <c r="A892" s="1"/>
      <c r="B892" s="1"/>
      <c r="C892" s="1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438"/>
      <c r="Q892" s="438"/>
      <c r="R892" s="437"/>
      <c r="S892" s="437"/>
      <c r="T892" s="438"/>
      <c r="U892" s="438"/>
      <c r="V892" s="437"/>
      <c r="W892" s="437"/>
      <c r="X892" s="438"/>
      <c r="Y892" s="438"/>
      <c r="Z892" s="940"/>
      <c r="AA892" s="940"/>
      <c r="AB892" s="438"/>
      <c r="AC892" s="438"/>
      <c r="AD892" s="940"/>
      <c r="AE892" s="940"/>
      <c r="AF892" s="438"/>
      <c r="AH892" s="438"/>
      <c r="AI892" s="437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</row>
    <row r="893" ht="14.25" customHeight="1">
      <c r="A893" s="1"/>
      <c r="B893" s="1"/>
      <c r="C893" s="1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438"/>
      <c r="Q893" s="438"/>
      <c r="R893" s="437"/>
      <c r="S893" s="437"/>
      <c r="T893" s="438"/>
      <c r="U893" s="438"/>
      <c r="V893" s="437"/>
      <c r="W893" s="437"/>
      <c r="X893" s="438"/>
      <c r="Y893" s="438"/>
      <c r="Z893" s="940"/>
      <c r="AA893" s="940"/>
      <c r="AB893" s="438"/>
      <c r="AC893" s="438"/>
      <c r="AD893" s="940"/>
      <c r="AE893" s="940"/>
      <c r="AF893" s="438"/>
      <c r="AH893" s="438"/>
      <c r="AI893" s="437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</row>
    <row r="894" ht="14.25" customHeight="1">
      <c r="A894" s="1"/>
      <c r="B894" s="1"/>
      <c r="C894" s="1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438"/>
      <c r="Q894" s="438"/>
      <c r="R894" s="437"/>
      <c r="S894" s="437"/>
      <c r="T894" s="438"/>
      <c r="U894" s="438"/>
      <c r="V894" s="437"/>
      <c r="W894" s="437"/>
      <c r="X894" s="438"/>
      <c r="Y894" s="438"/>
      <c r="Z894" s="940"/>
      <c r="AA894" s="940"/>
      <c r="AB894" s="438"/>
      <c r="AC894" s="438"/>
      <c r="AD894" s="940"/>
      <c r="AE894" s="940"/>
      <c r="AF894" s="438"/>
      <c r="AH894" s="438"/>
      <c r="AI894" s="437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</row>
    <row r="895" ht="14.25" customHeight="1">
      <c r="A895" s="1"/>
      <c r="B895" s="1"/>
      <c r="C895" s="1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438"/>
      <c r="Q895" s="438"/>
      <c r="R895" s="437"/>
      <c r="S895" s="437"/>
      <c r="T895" s="438"/>
      <c r="U895" s="438"/>
      <c r="V895" s="437"/>
      <c r="W895" s="437"/>
      <c r="X895" s="438"/>
      <c r="Y895" s="438"/>
      <c r="Z895" s="940"/>
      <c r="AA895" s="940"/>
      <c r="AB895" s="438"/>
      <c r="AC895" s="438"/>
      <c r="AD895" s="940"/>
      <c r="AE895" s="940"/>
      <c r="AF895" s="438"/>
      <c r="AH895" s="438"/>
      <c r="AI895" s="437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</row>
    <row r="896" ht="14.25" customHeight="1">
      <c r="A896" s="1"/>
      <c r="B896" s="1"/>
      <c r="C896" s="1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438"/>
      <c r="Q896" s="438"/>
      <c r="R896" s="437"/>
      <c r="S896" s="437"/>
      <c r="T896" s="438"/>
      <c r="U896" s="438"/>
      <c r="V896" s="437"/>
      <c r="W896" s="437"/>
      <c r="X896" s="438"/>
      <c r="Y896" s="438"/>
      <c r="Z896" s="940"/>
      <c r="AA896" s="940"/>
      <c r="AB896" s="438"/>
      <c r="AC896" s="438"/>
      <c r="AD896" s="940"/>
      <c r="AE896" s="940"/>
      <c r="AF896" s="438"/>
      <c r="AH896" s="438"/>
      <c r="AI896" s="437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</row>
    <row r="897" ht="14.25" customHeight="1">
      <c r="A897" s="1"/>
      <c r="B897" s="1"/>
      <c r="C897" s="1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438"/>
      <c r="Q897" s="438"/>
      <c r="R897" s="437"/>
      <c r="S897" s="437"/>
      <c r="T897" s="438"/>
      <c r="U897" s="438"/>
      <c r="V897" s="437"/>
      <c r="W897" s="437"/>
      <c r="X897" s="438"/>
      <c r="Y897" s="438"/>
      <c r="Z897" s="940"/>
      <c r="AA897" s="940"/>
      <c r="AB897" s="438"/>
      <c r="AC897" s="438"/>
      <c r="AD897" s="940"/>
      <c r="AE897" s="940"/>
      <c r="AF897" s="438"/>
      <c r="AH897" s="438"/>
      <c r="AI897" s="437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</row>
    <row r="898" ht="14.25" customHeight="1">
      <c r="A898" s="1"/>
      <c r="B898" s="1"/>
      <c r="C898" s="1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438"/>
      <c r="Q898" s="438"/>
      <c r="R898" s="437"/>
      <c r="S898" s="437"/>
      <c r="T898" s="438"/>
      <c r="U898" s="438"/>
      <c r="V898" s="437"/>
      <c r="W898" s="437"/>
      <c r="X898" s="438"/>
      <c r="Y898" s="438"/>
      <c r="Z898" s="940"/>
      <c r="AA898" s="940"/>
      <c r="AB898" s="438"/>
      <c r="AC898" s="438"/>
      <c r="AD898" s="940"/>
      <c r="AE898" s="940"/>
      <c r="AF898" s="438"/>
      <c r="AH898" s="438"/>
      <c r="AI898" s="437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</row>
    <row r="899" ht="14.25" customHeight="1">
      <c r="A899" s="1"/>
      <c r="B899" s="1"/>
      <c r="C899" s="1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438"/>
      <c r="Q899" s="438"/>
      <c r="R899" s="437"/>
      <c r="S899" s="437"/>
      <c r="T899" s="438"/>
      <c r="U899" s="438"/>
      <c r="V899" s="437"/>
      <c r="W899" s="437"/>
      <c r="X899" s="438"/>
      <c r="Y899" s="438"/>
      <c r="Z899" s="940"/>
      <c r="AA899" s="940"/>
      <c r="AB899" s="438"/>
      <c r="AC899" s="438"/>
      <c r="AD899" s="940"/>
      <c r="AE899" s="940"/>
      <c r="AF899" s="438"/>
      <c r="AH899" s="438"/>
      <c r="AI899" s="437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</row>
    <row r="900" ht="14.25" customHeight="1">
      <c r="A900" s="1"/>
      <c r="B900" s="1"/>
      <c r="C900" s="1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438"/>
      <c r="Q900" s="438"/>
      <c r="R900" s="437"/>
      <c r="S900" s="437"/>
      <c r="T900" s="438"/>
      <c r="U900" s="438"/>
      <c r="V900" s="437"/>
      <c r="W900" s="437"/>
      <c r="X900" s="438"/>
      <c r="Y900" s="438"/>
      <c r="Z900" s="940"/>
      <c r="AA900" s="940"/>
      <c r="AB900" s="438"/>
      <c r="AC900" s="438"/>
      <c r="AD900" s="940"/>
      <c r="AE900" s="940"/>
      <c r="AF900" s="438"/>
      <c r="AH900" s="438"/>
      <c r="AI900" s="437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</row>
    <row r="901" ht="14.25" customHeight="1">
      <c r="A901" s="1"/>
      <c r="B901" s="1"/>
      <c r="C901" s="1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438"/>
      <c r="Q901" s="438"/>
      <c r="R901" s="437"/>
      <c r="S901" s="437"/>
      <c r="T901" s="438"/>
      <c r="U901" s="438"/>
      <c r="V901" s="437"/>
      <c r="W901" s="437"/>
      <c r="X901" s="438"/>
      <c r="Y901" s="438"/>
      <c r="Z901" s="940"/>
      <c r="AA901" s="940"/>
      <c r="AB901" s="438"/>
      <c r="AC901" s="438"/>
      <c r="AD901" s="940"/>
      <c r="AE901" s="940"/>
      <c r="AF901" s="438"/>
      <c r="AH901" s="438"/>
      <c r="AI901" s="437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</row>
    <row r="902" ht="14.25" customHeight="1">
      <c r="A902" s="1"/>
      <c r="B902" s="1"/>
      <c r="C902" s="1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438"/>
      <c r="Q902" s="438"/>
      <c r="R902" s="437"/>
      <c r="S902" s="437"/>
      <c r="T902" s="438"/>
      <c r="U902" s="438"/>
      <c r="V902" s="437"/>
      <c r="W902" s="437"/>
      <c r="X902" s="438"/>
      <c r="Y902" s="438"/>
      <c r="Z902" s="940"/>
      <c r="AA902" s="940"/>
      <c r="AB902" s="438"/>
      <c r="AC902" s="438"/>
      <c r="AD902" s="940"/>
      <c r="AE902" s="940"/>
      <c r="AF902" s="438"/>
      <c r="AH902" s="438"/>
      <c r="AI902" s="437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</row>
    <row r="903" ht="14.25" customHeight="1">
      <c r="A903" s="1"/>
      <c r="B903" s="1"/>
      <c r="C903" s="1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438"/>
      <c r="Q903" s="438"/>
      <c r="R903" s="437"/>
      <c r="S903" s="437"/>
      <c r="T903" s="438"/>
      <c r="U903" s="438"/>
      <c r="V903" s="437"/>
      <c r="W903" s="437"/>
      <c r="X903" s="438"/>
      <c r="Y903" s="438"/>
      <c r="Z903" s="940"/>
      <c r="AA903" s="940"/>
      <c r="AB903" s="438"/>
      <c r="AC903" s="438"/>
      <c r="AD903" s="940"/>
      <c r="AE903" s="940"/>
      <c r="AF903" s="438"/>
      <c r="AH903" s="438"/>
      <c r="AI903" s="437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</row>
    <row r="904" ht="14.25" customHeight="1">
      <c r="A904" s="1"/>
      <c r="B904" s="1"/>
      <c r="C904" s="1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438"/>
      <c r="Q904" s="438"/>
      <c r="R904" s="437"/>
      <c r="S904" s="437"/>
      <c r="T904" s="438"/>
      <c r="U904" s="438"/>
      <c r="V904" s="437"/>
      <c r="W904" s="437"/>
      <c r="X904" s="438"/>
      <c r="Y904" s="438"/>
      <c r="Z904" s="940"/>
      <c r="AA904" s="940"/>
      <c r="AB904" s="438"/>
      <c r="AC904" s="438"/>
      <c r="AD904" s="940"/>
      <c r="AE904" s="940"/>
      <c r="AF904" s="438"/>
      <c r="AH904" s="438"/>
      <c r="AI904" s="437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</row>
    <row r="905" ht="14.25" customHeight="1">
      <c r="A905" s="1"/>
      <c r="B905" s="1"/>
      <c r="C905" s="1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438"/>
      <c r="Q905" s="438"/>
      <c r="R905" s="437"/>
      <c r="S905" s="437"/>
      <c r="T905" s="438"/>
      <c r="U905" s="438"/>
      <c r="V905" s="437"/>
      <c r="W905" s="437"/>
      <c r="X905" s="438"/>
      <c r="Y905" s="438"/>
      <c r="Z905" s="940"/>
      <c r="AA905" s="940"/>
      <c r="AB905" s="438"/>
      <c r="AC905" s="438"/>
      <c r="AD905" s="940"/>
      <c r="AE905" s="940"/>
      <c r="AF905" s="438"/>
      <c r="AH905" s="438"/>
      <c r="AI905" s="437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</row>
    <row r="906" ht="14.25" customHeight="1">
      <c r="A906" s="1"/>
      <c r="B906" s="1"/>
      <c r="C906" s="1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438"/>
      <c r="Q906" s="438"/>
      <c r="R906" s="437"/>
      <c r="S906" s="437"/>
      <c r="T906" s="438"/>
      <c r="U906" s="438"/>
      <c r="V906" s="437"/>
      <c r="W906" s="437"/>
      <c r="X906" s="438"/>
      <c r="Y906" s="438"/>
      <c r="Z906" s="940"/>
      <c r="AA906" s="940"/>
      <c r="AB906" s="438"/>
      <c r="AC906" s="438"/>
      <c r="AD906" s="940"/>
      <c r="AE906" s="940"/>
      <c r="AF906" s="438"/>
      <c r="AH906" s="438"/>
      <c r="AI906" s="437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</row>
    <row r="907" ht="14.25" customHeight="1">
      <c r="A907" s="1"/>
      <c r="B907" s="1"/>
      <c r="C907" s="1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438"/>
      <c r="Q907" s="438"/>
      <c r="R907" s="437"/>
      <c r="S907" s="437"/>
      <c r="T907" s="438"/>
      <c r="U907" s="438"/>
      <c r="V907" s="437"/>
      <c r="W907" s="437"/>
      <c r="X907" s="438"/>
      <c r="Y907" s="438"/>
      <c r="Z907" s="940"/>
      <c r="AA907" s="940"/>
      <c r="AB907" s="438"/>
      <c r="AC907" s="438"/>
      <c r="AD907" s="940"/>
      <c r="AE907" s="940"/>
      <c r="AF907" s="438"/>
      <c r="AH907" s="438"/>
      <c r="AI907" s="437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</row>
    <row r="908" ht="14.25" customHeight="1">
      <c r="A908" s="1"/>
      <c r="B908" s="1"/>
      <c r="C908" s="1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438"/>
      <c r="Q908" s="438"/>
      <c r="R908" s="437"/>
      <c r="S908" s="437"/>
      <c r="T908" s="438"/>
      <c r="U908" s="438"/>
      <c r="V908" s="437"/>
      <c r="W908" s="437"/>
      <c r="X908" s="438"/>
      <c r="Y908" s="438"/>
      <c r="Z908" s="940"/>
      <c r="AA908" s="940"/>
      <c r="AB908" s="438"/>
      <c r="AC908" s="438"/>
      <c r="AD908" s="940"/>
      <c r="AE908" s="940"/>
      <c r="AF908" s="438"/>
      <c r="AH908" s="438"/>
      <c r="AI908" s="437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</row>
    <row r="909" ht="14.25" customHeight="1">
      <c r="A909" s="1"/>
      <c r="B909" s="1"/>
      <c r="C909" s="1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438"/>
      <c r="Q909" s="438"/>
      <c r="R909" s="437"/>
      <c r="S909" s="437"/>
      <c r="T909" s="438"/>
      <c r="U909" s="438"/>
      <c r="V909" s="437"/>
      <c r="W909" s="437"/>
      <c r="X909" s="438"/>
      <c r="Y909" s="438"/>
      <c r="Z909" s="940"/>
      <c r="AA909" s="940"/>
      <c r="AB909" s="438"/>
      <c r="AC909" s="438"/>
      <c r="AD909" s="940"/>
      <c r="AE909" s="940"/>
      <c r="AF909" s="438"/>
      <c r="AH909" s="438"/>
      <c r="AI909" s="437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</row>
    <row r="910" ht="14.25" customHeight="1">
      <c r="A910" s="1"/>
      <c r="B910" s="1"/>
      <c r="C910" s="1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438"/>
      <c r="Q910" s="438"/>
      <c r="R910" s="437"/>
      <c r="S910" s="437"/>
      <c r="T910" s="438"/>
      <c r="U910" s="438"/>
      <c r="V910" s="437"/>
      <c r="W910" s="437"/>
      <c r="X910" s="438"/>
      <c r="Y910" s="438"/>
      <c r="Z910" s="940"/>
      <c r="AA910" s="940"/>
      <c r="AB910" s="438"/>
      <c r="AC910" s="438"/>
      <c r="AD910" s="940"/>
      <c r="AE910" s="940"/>
      <c r="AF910" s="438"/>
      <c r="AH910" s="438"/>
      <c r="AI910" s="437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</row>
    <row r="911" ht="14.25" customHeight="1">
      <c r="A911" s="1"/>
      <c r="B911" s="1"/>
      <c r="C911" s="1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438"/>
      <c r="Q911" s="438"/>
      <c r="R911" s="437"/>
      <c r="S911" s="437"/>
      <c r="T911" s="438"/>
      <c r="U911" s="438"/>
      <c r="V911" s="437"/>
      <c r="W911" s="437"/>
      <c r="X911" s="438"/>
      <c r="Y911" s="438"/>
      <c r="Z911" s="940"/>
      <c r="AA911" s="940"/>
      <c r="AB911" s="438"/>
      <c r="AC911" s="438"/>
      <c r="AD911" s="940"/>
      <c r="AE911" s="940"/>
      <c r="AF911" s="438"/>
      <c r="AH911" s="438"/>
      <c r="AI911" s="437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</row>
    <row r="912" ht="14.25" customHeight="1">
      <c r="A912" s="1"/>
      <c r="B912" s="1"/>
      <c r="C912" s="1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438"/>
      <c r="Q912" s="438"/>
      <c r="R912" s="437"/>
      <c r="S912" s="437"/>
      <c r="T912" s="438"/>
      <c r="U912" s="438"/>
      <c r="V912" s="437"/>
      <c r="W912" s="437"/>
      <c r="X912" s="438"/>
      <c r="Y912" s="438"/>
      <c r="Z912" s="940"/>
      <c r="AA912" s="940"/>
      <c r="AB912" s="438"/>
      <c r="AC912" s="438"/>
      <c r="AD912" s="940"/>
      <c r="AE912" s="940"/>
      <c r="AF912" s="438"/>
      <c r="AH912" s="438"/>
      <c r="AI912" s="437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</row>
    <row r="913" ht="14.25" customHeight="1">
      <c r="A913" s="1"/>
      <c r="B913" s="1"/>
      <c r="C913" s="1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438"/>
      <c r="Q913" s="438"/>
      <c r="R913" s="437"/>
      <c r="S913" s="437"/>
      <c r="T913" s="438"/>
      <c r="U913" s="438"/>
      <c r="V913" s="437"/>
      <c r="W913" s="437"/>
      <c r="X913" s="438"/>
      <c r="Y913" s="438"/>
      <c r="Z913" s="940"/>
      <c r="AA913" s="940"/>
      <c r="AB913" s="438"/>
      <c r="AC913" s="438"/>
      <c r="AD913" s="940"/>
      <c r="AE913" s="940"/>
      <c r="AF913" s="438"/>
      <c r="AH913" s="438"/>
      <c r="AI913" s="437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</row>
    <row r="914" ht="14.25" customHeight="1">
      <c r="A914" s="1"/>
      <c r="B914" s="1"/>
      <c r="C914" s="1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438"/>
      <c r="Q914" s="438"/>
      <c r="R914" s="437"/>
      <c r="S914" s="437"/>
      <c r="T914" s="438"/>
      <c r="U914" s="438"/>
      <c r="V914" s="437"/>
      <c r="W914" s="437"/>
      <c r="X914" s="438"/>
      <c r="Y914" s="438"/>
      <c r="Z914" s="940"/>
      <c r="AA914" s="940"/>
      <c r="AB914" s="438"/>
      <c r="AC914" s="438"/>
      <c r="AD914" s="940"/>
      <c r="AE914" s="940"/>
      <c r="AF914" s="438"/>
      <c r="AH914" s="438"/>
      <c r="AI914" s="437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</row>
    <row r="915" ht="14.25" customHeight="1">
      <c r="A915" s="1"/>
      <c r="B915" s="1"/>
      <c r="C915" s="1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438"/>
      <c r="Q915" s="438"/>
      <c r="R915" s="437"/>
      <c r="S915" s="437"/>
      <c r="T915" s="438"/>
      <c r="U915" s="438"/>
      <c r="V915" s="437"/>
      <c r="W915" s="437"/>
      <c r="X915" s="438"/>
      <c r="Y915" s="438"/>
      <c r="Z915" s="940"/>
      <c r="AA915" s="940"/>
      <c r="AB915" s="438"/>
      <c r="AC915" s="438"/>
      <c r="AD915" s="940"/>
      <c r="AE915" s="940"/>
      <c r="AF915" s="438"/>
      <c r="AH915" s="438"/>
      <c r="AI915" s="437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</row>
    <row r="916" ht="14.25" customHeight="1">
      <c r="A916" s="1"/>
      <c r="B916" s="1"/>
      <c r="C916" s="1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438"/>
      <c r="Q916" s="438"/>
      <c r="R916" s="437"/>
      <c r="S916" s="437"/>
      <c r="T916" s="438"/>
      <c r="U916" s="438"/>
      <c r="V916" s="437"/>
      <c r="W916" s="437"/>
      <c r="X916" s="438"/>
      <c r="Y916" s="438"/>
      <c r="Z916" s="940"/>
      <c r="AA916" s="940"/>
      <c r="AB916" s="438"/>
      <c r="AC916" s="438"/>
      <c r="AD916" s="940"/>
      <c r="AE916" s="940"/>
      <c r="AF916" s="438"/>
      <c r="AH916" s="438"/>
      <c r="AI916" s="437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</row>
    <row r="917" ht="14.25" customHeight="1">
      <c r="A917" s="1"/>
      <c r="B917" s="1"/>
      <c r="C917" s="1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438"/>
      <c r="Q917" s="438"/>
      <c r="R917" s="437"/>
      <c r="S917" s="437"/>
      <c r="T917" s="438"/>
      <c r="U917" s="438"/>
      <c r="V917" s="437"/>
      <c r="W917" s="437"/>
      <c r="X917" s="438"/>
      <c r="Y917" s="438"/>
      <c r="Z917" s="940"/>
      <c r="AA917" s="940"/>
      <c r="AB917" s="438"/>
      <c r="AC917" s="438"/>
      <c r="AD917" s="940"/>
      <c r="AE917" s="940"/>
      <c r="AF917" s="438"/>
      <c r="AH917" s="438"/>
      <c r="AI917" s="437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</row>
    <row r="918" ht="14.25" customHeight="1">
      <c r="A918" s="1"/>
      <c r="B918" s="1"/>
      <c r="C918" s="1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438"/>
      <c r="Q918" s="438"/>
      <c r="R918" s="437"/>
      <c r="S918" s="437"/>
      <c r="T918" s="438"/>
      <c r="U918" s="438"/>
      <c r="V918" s="437"/>
      <c r="W918" s="437"/>
      <c r="X918" s="438"/>
      <c r="Y918" s="438"/>
      <c r="Z918" s="940"/>
      <c r="AA918" s="940"/>
      <c r="AB918" s="438"/>
      <c r="AC918" s="438"/>
      <c r="AD918" s="940"/>
      <c r="AE918" s="940"/>
      <c r="AF918" s="438"/>
      <c r="AH918" s="438"/>
      <c r="AI918" s="437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</row>
    <row r="919" ht="14.25" customHeight="1">
      <c r="A919" s="1"/>
      <c r="B919" s="1"/>
      <c r="C919" s="1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438"/>
      <c r="Q919" s="438"/>
      <c r="R919" s="437"/>
      <c r="S919" s="437"/>
      <c r="T919" s="438"/>
      <c r="U919" s="438"/>
      <c r="V919" s="437"/>
      <c r="W919" s="437"/>
      <c r="X919" s="438"/>
      <c r="Y919" s="438"/>
      <c r="Z919" s="940"/>
      <c r="AA919" s="940"/>
      <c r="AB919" s="438"/>
      <c r="AC919" s="438"/>
      <c r="AD919" s="940"/>
      <c r="AE919" s="940"/>
      <c r="AF919" s="438"/>
      <c r="AH919" s="438"/>
      <c r="AI919" s="437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</row>
    <row r="920" ht="14.25" customHeight="1">
      <c r="A920" s="1"/>
      <c r="B920" s="1"/>
      <c r="C920" s="1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438"/>
      <c r="Q920" s="438"/>
      <c r="R920" s="437"/>
      <c r="S920" s="437"/>
      <c r="T920" s="438"/>
      <c r="U920" s="438"/>
      <c r="V920" s="437"/>
      <c r="W920" s="437"/>
      <c r="X920" s="438"/>
      <c r="Y920" s="438"/>
      <c r="Z920" s="940"/>
      <c r="AA920" s="940"/>
      <c r="AB920" s="438"/>
      <c r="AC920" s="438"/>
      <c r="AD920" s="940"/>
      <c r="AE920" s="940"/>
      <c r="AF920" s="438"/>
      <c r="AH920" s="438"/>
      <c r="AI920" s="437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</row>
    <row r="921" ht="14.25" customHeight="1">
      <c r="A921" s="1"/>
      <c r="B921" s="1"/>
      <c r="C921" s="1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438"/>
      <c r="Q921" s="438"/>
      <c r="R921" s="437"/>
      <c r="S921" s="437"/>
      <c r="T921" s="438"/>
      <c r="U921" s="438"/>
      <c r="V921" s="437"/>
      <c r="W921" s="437"/>
      <c r="X921" s="438"/>
      <c r="Y921" s="438"/>
      <c r="Z921" s="940"/>
      <c r="AA921" s="940"/>
      <c r="AB921" s="438"/>
      <c r="AC921" s="438"/>
      <c r="AD921" s="940"/>
      <c r="AE921" s="940"/>
      <c r="AF921" s="438"/>
      <c r="AH921" s="438"/>
      <c r="AI921" s="437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</row>
    <row r="922" ht="14.25" customHeight="1">
      <c r="A922" s="1"/>
      <c r="B922" s="1"/>
      <c r="C922" s="1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438"/>
      <c r="Q922" s="438"/>
      <c r="R922" s="437"/>
      <c r="S922" s="437"/>
      <c r="T922" s="438"/>
      <c r="U922" s="438"/>
      <c r="V922" s="437"/>
      <c r="W922" s="437"/>
      <c r="X922" s="438"/>
      <c r="Y922" s="438"/>
      <c r="Z922" s="940"/>
      <c r="AA922" s="940"/>
      <c r="AB922" s="438"/>
      <c r="AC922" s="438"/>
      <c r="AD922" s="940"/>
      <c r="AE922" s="940"/>
      <c r="AF922" s="438"/>
      <c r="AH922" s="438"/>
      <c r="AI922" s="437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</row>
    <row r="923" ht="14.25" customHeight="1">
      <c r="A923" s="1"/>
      <c r="B923" s="1"/>
      <c r="C923" s="1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438"/>
      <c r="Q923" s="438"/>
      <c r="R923" s="437"/>
      <c r="S923" s="437"/>
      <c r="T923" s="438"/>
      <c r="U923" s="438"/>
      <c r="V923" s="437"/>
      <c r="W923" s="437"/>
      <c r="X923" s="438"/>
      <c r="Y923" s="438"/>
      <c r="Z923" s="940"/>
      <c r="AA923" s="940"/>
      <c r="AB923" s="438"/>
      <c r="AC923" s="438"/>
      <c r="AD923" s="940"/>
      <c r="AE923" s="940"/>
      <c r="AF923" s="438"/>
      <c r="AH923" s="438"/>
      <c r="AI923" s="437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</row>
    <row r="924" ht="14.25" customHeight="1">
      <c r="A924" s="1"/>
      <c r="B924" s="1"/>
      <c r="C924" s="1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438"/>
      <c r="Q924" s="438"/>
      <c r="R924" s="437"/>
      <c r="S924" s="437"/>
      <c r="T924" s="438"/>
      <c r="U924" s="438"/>
      <c r="V924" s="437"/>
      <c r="W924" s="437"/>
      <c r="X924" s="438"/>
      <c r="Y924" s="438"/>
      <c r="Z924" s="940"/>
      <c r="AA924" s="940"/>
      <c r="AB924" s="438"/>
      <c r="AC924" s="438"/>
      <c r="AD924" s="940"/>
      <c r="AE924" s="940"/>
      <c r="AF924" s="438"/>
      <c r="AH924" s="438"/>
      <c r="AI924" s="437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</row>
    <row r="925" ht="14.25" customHeight="1">
      <c r="A925" s="1"/>
      <c r="B925" s="1"/>
      <c r="C925" s="1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438"/>
      <c r="Q925" s="438"/>
      <c r="R925" s="437"/>
      <c r="S925" s="437"/>
      <c r="T925" s="438"/>
      <c r="U925" s="438"/>
      <c r="V925" s="437"/>
      <c r="W925" s="437"/>
      <c r="X925" s="438"/>
      <c r="Y925" s="438"/>
      <c r="Z925" s="940"/>
      <c r="AA925" s="940"/>
      <c r="AB925" s="438"/>
      <c r="AC925" s="438"/>
      <c r="AD925" s="940"/>
      <c r="AE925" s="940"/>
      <c r="AF925" s="438"/>
      <c r="AH925" s="438"/>
      <c r="AI925" s="437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</row>
    <row r="926" ht="14.25" customHeight="1">
      <c r="A926" s="1"/>
      <c r="B926" s="1"/>
      <c r="C926" s="1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438"/>
      <c r="Q926" s="438"/>
      <c r="R926" s="437"/>
      <c r="S926" s="437"/>
      <c r="T926" s="438"/>
      <c r="U926" s="438"/>
      <c r="V926" s="437"/>
      <c r="W926" s="437"/>
      <c r="X926" s="438"/>
      <c r="Y926" s="438"/>
      <c r="Z926" s="940"/>
      <c r="AA926" s="940"/>
      <c r="AB926" s="438"/>
      <c r="AC926" s="438"/>
      <c r="AD926" s="940"/>
      <c r="AE926" s="940"/>
      <c r="AF926" s="438"/>
      <c r="AH926" s="438"/>
      <c r="AI926" s="437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</row>
    <row r="927" ht="14.25" customHeight="1">
      <c r="A927" s="1"/>
      <c r="B927" s="1"/>
      <c r="C927" s="1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438"/>
      <c r="Q927" s="438"/>
      <c r="R927" s="437"/>
      <c r="S927" s="437"/>
      <c r="T927" s="438"/>
      <c r="U927" s="438"/>
      <c r="V927" s="437"/>
      <c r="W927" s="437"/>
      <c r="X927" s="438"/>
      <c r="Y927" s="438"/>
      <c r="Z927" s="940"/>
      <c r="AA927" s="940"/>
      <c r="AB927" s="438"/>
      <c r="AC927" s="438"/>
      <c r="AD927" s="940"/>
      <c r="AE927" s="940"/>
      <c r="AF927" s="438"/>
      <c r="AH927" s="438"/>
      <c r="AI927" s="437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</row>
    <row r="928" ht="14.25" customHeight="1">
      <c r="A928" s="1"/>
      <c r="B928" s="1"/>
      <c r="C928" s="1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438"/>
      <c r="Q928" s="438"/>
      <c r="R928" s="437"/>
      <c r="S928" s="437"/>
      <c r="T928" s="438"/>
      <c r="U928" s="438"/>
      <c r="V928" s="437"/>
      <c r="W928" s="437"/>
      <c r="X928" s="438"/>
      <c r="Y928" s="438"/>
      <c r="Z928" s="940"/>
      <c r="AA928" s="940"/>
      <c r="AB928" s="438"/>
      <c r="AC928" s="438"/>
      <c r="AD928" s="940"/>
      <c r="AE928" s="940"/>
      <c r="AF928" s="438"/>
      <c r="AH928" s="438"/>
      <c r="AI928" s="437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</row>
    <row r="929" ht="14.25" customHeight="1">
      <c r="A929" s="1"/>
      <c r="B929" s="1"/>
      <c r="C929" s="1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438"/>
      <c r="Q929" s="438"/>
      <c r="R929" s="437"/>
      <c r="S929" s="437"/>
      <c r="T929" s="438"/>
      <c r="U929" s="438"/>
      <c r="V929" s="437"/>
      <c r="W929" s="437"/>
      <c r="X929" s="438"/>
      <c r="Y929" s="438"/>
      <c r="Z929" s="940"/>
      <c r="AA929" s="940"/>
      <c r="AB929" s="438"/>
      <c r="AC929" s="438"/>
      <c r="AD929" s="940"/>
      <c r="AE929" s="940"/>
      <c r="AF929" s="438"/>
      <c r="AH929" s="438"/>
      <c r="AI929" s="437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</row>
    <row r="930" ht="14.25" customHeight="1">
      <c r="A930" s="1"/>
      <c r="B930" s="1"/>
      <c r="C930" s="1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438"/>
      <c r="Q930" s="438"/>
      <c r="R930" s="437"/>
      <c r="S930" s="437"/>
      <c r="T930" s="438"/>
      <c r="U930" s="438"/>
      <c r="V930" s="437"/>
      <c r="W930" s="437"/>
      <c r="X930" s="438"/>
      <c r="Y930" s="438"/>
      <c r="Z930" s="940"/>
      <c r="AA930" s="940"/>
      <c r="AB930" s="438"/>
      <c r="AC930" s="438"/>
      <c r="AD930" s="940"/>
      <c r="AE930" s="940"/>
      <c r="AF930" s="438"/>
      <c r="AH930" s="438"/>
      <c r="AI930" s="437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</row>
    <row r="931" ht="14.25" customHeight="1">
      <c r="A931" s="1"/>
      <c r="B931" s="1"/>
      <c r="C931" s="1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438"/>
      <c r="Q931" s="438"/>
      <c r="R931" s="437"/>
      <c r="S931" s="437"/>
      <c r="T931" s="438"/>
      <c r="U931" s="438"/>
      <c r="V931" s="437"/>
      <c r="W931" s="437"/>
      <c r="X931" s="438"/>
      <c r="Y931" s="438"/>
      <c r="Z931" s="940"/>
      <c r="AA931" s="940"/>
      <c r="AB931" s="438"/>
      <c r="AC931" s="438"/>
      <c r="AD931" s="940"/>
      <c r="AE931" s="940"/>
      <c r="AF931" s="438"/>
      <c r="AH931" s="438"/>
      <c r="AI931" s="437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</row>
    <row r="932" ht="14.25" customHeight="1">
      <c r="A932" s="1"/>
      <c r="B932" s="1"/>
      <c r="C932" s="1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438"/>
      <c r="Q932" s="438"/>
      <c r="R932" s="437"/>
      <c r="S932" s="437"/>
      <c r="T932" s="438"/>
      <c r="U932" s="438"/>
      <c r="V932" s="437"/>
      <c r="W932" s="437"/>
      <c r="X932" s="438"/>
      <c r="Y932" s="438"/>
      <c r="Z932" s="940"/>
      <c r="AA932" s="940"/>
      <c r="AB932" s="438"/>
      <c r="AC932" s="438"/>
      <c r="AD932" s="940"/>
      <c r="AE932" s="940"/>
      <c r="AF932" s="438"/>
      <c r="AH932" s="438"/>
      <c r="AI932" s="437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</row>
    <row r="933" ht="14.25" customHeight="1">
      <c r="A933" s="1"/>
      <c r="B933" s="1"/>
      <c r="C933" s="1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438"/>
      <c r="Q933" s="438"/>
      <c r="R933" s="437"/>
      <c r="S933" s="437"/>
      <c r="T933" s="438"/>
      <c r="U933" s="438"/>
      <c r="V933" s="437"/>
      <c r="W933" s="437"/>
      <c r="X933" s="438"/>
      <c r="Y933" s="438"/>
      <c r="Z933" s="940"/>
      <c r="AA933" s="940"/>
      <c r="AB933" s="438"/>
      <c r="AC933" s="438"/>
      <c r="AD933" s="940"/>
      <c r="AE933" s="940"/>
      <c r="AF933" s="438"/>
      <c r="AH933" s="438"/>
      <c r="AI933" s="437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</row>
    <row r="934" ht="14.25" customHeight="1">
      <c r="A934" s="1"/>
      <c r="B934" s="1"/>
      <c r="C934" s="1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438"/>
      <c r="Q934" s="438"/>
      <c r="R934" s="437"/>
      <c r="S934" s="437"/>
      <c r="T934" s="438"/>
      <c r="U934" s="438"/>
      <c r="V934" s="437"/>
      <c r="W934" s="437"/>
      <c r="X934" s="438"/>
      <c r="Y934" s="438"/>
      <c r="Z934" s="940"/>
      <c r="AA934" s="940"/>
      <c r="AB934" s="438"/>
      <c r="AC934" s="438"/>
      <c r="AD934" s="940"/>
      <c r="AE934" s="940"/>
      <c r="AF934" s="438"/>
      <c r="AH934" s="438"/>
      <c r="AI934" s="437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</row>
    <row r="935" ht="14.25" customHeight="1">
      <c r="A935" s="1"/>
      <c r="B935" s="1"/>
      <c r="C935" s="1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438"/>
      <c r="Q935" s="438"/>
      <c r="R935" s="437"/>
      <c r="S935" s="437"/>
      <c r="T935" s="438"/>
      <c r="U935" s="438"/>
      <c r="V935" s="437"/>
      <c r="W935" s="437"/>
      <c r="X935" s="438"/>
      <c r="Y935" s="438"/>
      <c r="Z935" s="940"/>
      <c r="AA935" s="940"/>
      <c r="AB935" s="438"/>
      <c r="AC935" s="438"/>
      <c r="AD935" s="940"/>
      <c r="AE935" s="940"/>
      <c r="AF935" s="438"/>
      <c r="AH935" s="438"/>
      <c r="AI935" s="437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</row>
    <row r="936" ht="14.25" customHeight="1">
      <c r="A936" s="1"/>
      <c r="B936" s="1"/>
      <c r="C936" s="1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438"/>
      <c r="Q936" s="438"/>
      <c r="R936" s="437"/>
      <c r="S936" s="437"/>
      <c r="T936" s="438"/>
      <c r="U936" s="438"/>
      <c r="V936" s="437"/>
      <c r="W936" s="437"/>
      <c r="X936" s="438"/>
      <c r="Y936" s="438"/>
      <c r="Z936" s="940"/>
      <c r="AA936" s="940"/>
      <c r="AB936" s="438"/>
      <c r="AC936" s="438"/>
      <c r="AD936" s="940"/>
      <c r="AE936" s="940"/>
      <c r="AF936" s="438"/>
      <c r="AH936" s="438"/>
      <c r="AI936" s="437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</row>
    <row r="937" ht="14.25" customHeight="1">
      <c r="A937" s="1"/>
      <c r="B937" s="1"/>
      <c r="C937" s="1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438"/>
      <c r="Q937" s="438"/>
      <c r="R937" s="437"/>
      <c r="S937" s="437"/>
      <c r="T937" s="438"/>
      <c r="U937" s="438"/>
      <c r="V937" s="437"/>
      <c r="W937" s="437"/>
      <c r="X937" s="438"/>
      <c r="Y937" s="438"/>
      <c r="Z937" s="940"/>
      <c r="AA937" s="940"/>
      <c r="AB937" s="438"/>
      <c r="AC937" s="438"/>
      <c r="AD937" s="940"/>
      <c r="AE937" s="940"/>
      <c r="AF937" s="438"/>
      <c r="AH937" s="438"/>
      <c r="AI937" s="437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</row>
    <row r="938" ht="14.25" customHeight="1">
      <c r="A938" s="1"/>
      <c r="B938" s="1"/>
      <c r="C938" s="1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438"/>
      <c r="Q938" s="438"/>
      <c r="R938" s="437"/>
      <c r="S938" s="437"/>
      <c r="T938" s="438"/>
      <c r="U938" s="438"/>
      <c r="V938" s="437"/>
      <c r="W938" s="437"/>
      <c r="X938" s="438"/>
      <c r="Y938" s="438"/>
      <c r="Z938" s="940"/>
      <c r="AA938" s="940"/>
      <c r="AB938" s="438"/>
      <c r="AC938" s="438"/>
      <c r="AD938" s="940"/>
      <c r="AE938" s="940"/>
      <c r="AF938" s="438"/>
      <c r="AH938" s="438"/>
      <c r="AI938" s="437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</row>
    <row r="939" ht="14.25" customHeight="1">
      <c r="A939" s="1"/>
      <c r="B939" s="1"/>
      <c r="C939" s="1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438"/>
      <c r="Q939" s="438"/>
      <c r="R939" s="437"/>
      <c r="S939" s="437"/>
      <c r="T939" s="438"/>
      <c r="U939" s="438"/>
      <c r="V939" s="437"/>
      <c r="W939" s="437"/>
      <c r="X939" s="438"/>
      <c r="Y939" s="438"/>
      <c r="Z939" s="940"/>
      <c r="AA939" s="940"/>
      <c r="AB939" s="438"/>
      <c r="AC939" s="438"/>
      <c r="AD939" s="940"/>
      <c r="AE939" s="940"/>
      <c r="AF939" s="438"/>
      <c r="AH939" s="438"/>
      <c r="AI939" s="437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</row>
    <row r="940" ht="14.25" customHeight="1">
      <c r="A940" s="1"/>
      <c r="B940" s="1"/>
      <c r="C940" s="1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438"/>
      <c r="Q940" s="438"/>
      <c r="R940" s="437"/>
      <c r="S940" s="437"/>
      <c r="T940" s="438"/>
      <c r="U940" s="438"/>
      <c r="V940" s="437"/>
      <c r="W940" s="437"/>
      <c r="X940" s="438"/>
      <c r="Y940" s="438"/>
      <c r="Z940" s="940"/>
      <c r="AA940" s="940"/>
      <c r="AB940" s="438"/>
      <c r="AC940" s="438"/>
      <c r="AD940" s="940"/>
      <c r="AE940" s="940"/>
      <c r="AF940" s="438"/>
      <c r="AH940" s="438"/>
      <c r="AI940" s="437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</row>
    <row r="941" ht="14.25" customHeight="1">
      <c r="A941" s="1"/>
      <c r="B941" s="1"/>
      <c r="C941" s="1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438"/>
      <c r="Q941" s="438"/>
      <c r="R941" s="437"/>
      <c r="S941" s="437"/>
      <c r="T941" s="438"/>
      <c r="U941" s="438"/>
      <c r="V941" s="437"/>
      <c r="W941" s="437"/>
      <c r="X941" s="438"/>
      <c r="Y941" s="438"/>
      <c r="Z941" s="940"/>
      <c r="AA941" s="940"/>
      <c r="AB941" s="438"/>
      <c r="AC941" s="438"/>
      <c r="AD941" s="940"/>
      <c r="AE941" s="940"/>
      <c r="AF941" s="438"/>
      <c r="AH941" s="438"/>
      <c r="AI941" s="437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</row>
    <row r="942" ht="14.25" customHeight="1">
      <c r="A942" s="1"/>
      <c r="B942" s="1"/>
      <c r="C942" s="1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438"/>
      <c r="Q942" s="438"/>
      <c r="R942" s="437"/>
      <c r="S942" s="437"/>
      <c r="T942" s="438"/>
      <c r="U942" s="438"/>
      <c r="V942" s="437"/>
      <c r="W942" s="437"/>
      <c r="X942" s="438"/>
      <c r="Y942" s="438"/>
      <c r="Z942" s="940"/>
      <c r="AA942" s="940"/>
      <c r="AB942" s="438"/>
      <c r="AC942" s="438"/>
      <c r="AD942" s="940"/>
      <c r="AE942" s="940"/>
      <c r="AF942" s="438"/>
      <c r="AH942" s="438"/>
      <c r="AI942" s="437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</row>
    <row r="943" ht="14.25" customHeight="1">
      <c r="A943" s="1"/>
      <c r="B943" s="1"/>
      <c r="C943" s="1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438"/>
      <c r="Q943" s="438"/>
      <c r="R943" s="437"/>
      <c r="S943" s="437"/>
      <c r="T943" s="438"/>
      <c r="U943" s="438"/>
      <c r="V943" s="437"/>
      <c r="W943" s="437"/>
      <c r="X943" s="438"/>
      <c r="Y943" s="438"/>
      <c r="Z943" s="940"/>
      <c r="AA943" s="940"/>
      <c r="AB943" s="438"/>
      <c r="AC943" s="438"/>
      <c r="AD943" s="940"/>
      <c r="AE943" s="940"/>
      <c r="AF943" s="438"/>
      <c r="AH943" s="438"/>
      <c r="AI943" s="437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</row>
    <row r="944" ht="14.25" customHeight="1">
      <c r="A944" s="1"/>
      <c r="B944" s="1"/>
      <c r="C944" s="1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438"/>
      <c r="Q944" s="438"/>
      <c r="R944" s="437"/>
      <c r="S944" s="437"/>
      <c r="T944" s="438"/>
      <c r="U944" s="438"/>
      <c r="V944" s="437"/>
      <c r="W944" s="437"/>
      <c r="X944" s="438"/>
      <c r="Y944" s="438"/>
      <c r="Z944" s="940"/>
      <c r="AA944" s="940"/>
      <c r="AB944" s="438"/>
      <c r="AC944" s="438"/>
      <c r="AD944" s="940"/>
      <c r="AE944" s="940"/>
      <c r="AF944" s="438"/>
      <c r="AH944" s="438"/>
      <c r="AI944" s="437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</row>
    <row r="945" ht="14.25" customHeight="1">
      <c r="A945" s="1"/>
      <c r="B945" s="1"/>
      <c r="C945" s="1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438"/>
      <c r="Q945" s="438"/>
      <c r="R945" s="437"/>
      <c r="S945" s="437"/>
      <c r="T945" s="438"/>
      <c r="U945" s="438"/>
      <c r="V945" s="437"/>
      <c r="W945" s="437"/>
      <c r="X945" s="438"/>
      <c r="Y945" s="438"/>
      <c r="Z945" s="940"/>
      <c r="AA945" s="940"/>
      <c r="AB945" s="438"/>
      <c r="AC945" s="438"/>
      <c r="AD945" s="940"/>
      <c r="AE945" s="940"/>
      <c r="AF945" s="438"/>
      <c r="AH945" s="438"/>
      <c r="AI945" s="437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</row>
    <row r="946" ht="14.25" customHeight="1">
      <c r="A946" s="1"/>
      <c r="B946" s="1"/>
      <c r="C946" s="1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438"/>
      <c r="Q946" s="438"/>
      <c r="R946" s="437"/>
      <c r="S946" s="437"/>
      <c r="T946" s="438"/>
      <c r="U946" s="438"/>
      <c r="V946" s="437"/>
      <c r="W946" s="437"/>
      <c r="X946" s="438"/>
      <c r="Y946" s="438"/>
      <c r="Z946" s="940"/>
      <c r="AA946" s="940"/>
      <c r="AB946" s="438"/>
      <c r="AC946" s="438"/>
      <c r="AD946" s="940"/>
      <c r="AE946" s="940"/>
      <c r="AF946" s="438"/>
      <c r="AH946" s="438"/>
      <c r="AI946" s="437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</row>
    <row r="947" ht="14.25" customHeight="1">
      <c r="A947" s="1"/>
      <c r="B947" s="1"/>
      <c r="C947" s="1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438"/>
      <c r="Q947" s="438"/>
      <c r="R947" s="437"/>
      <c r="S947" s="437"/>
      <c r="T947" s="438"/>
      <c r="U947" s="438"/>
      <c r="V947" s="437"/>
      <c r="W947" s="437"/>
      <c r="X947" s="438"/>
      <c r="Y947" s="438"/>
      <c r="Z947" s="940"/>
      <c r="AA947" s="940"/>
      <c r="AB947" s="438"/>
      <c r="AC947" s="438"/>
      <c r="AD947" s="940"/>
      <c r="AE947" s="940"/>
      <c r="AF947" s="438"/>
      <c r="AH947" s="438"/>
      <c r="AI947" s="437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</row>
    <row r="948" ht="14.25" customHeight="1">
      <c r="A948" s="1"/>
      <c r="B948" s="1"/>
      <c r="C948" s="1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438"/>
      <c r="Q948" s="438"/>
      <c r="R948" s="437"/>
      <c r="S948" s="437"/>
      <c r="T948" s="438"/>
      <c r="U948" s="438"/>
      <c r="V948" s="437"/>
      <c r="W948" s="437"/>
      <c r="X948" s="438"/>
      <c r="Y948" s="438"/>
      <c r="Z948" s="940"/>
      <c r="AA948" s="940"/>
      <c r="AB948" s="438"/>
      <c r="AC948" s="438"/>
      <c r="AD948" s="940"/>
      <c r="AE948" s="940"/>
      <c r="AF948" s="438"/>
      <c r="AH948" s="438"/>
      <c r="AI948" s="437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</row>
    <row r="949" ht="14.25" customHeight="1">
      <c r="A949" s="1"/>
      <c r="B949" s="1"/>
      <c r="C949" s="1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438"/>
      <c r="Q949" s="438"/>
      <c r="R949" s="437"/>
      <c r="S949" s="437"/>
      <c r="T949" s="438"/>
      <c r="U949" s="438"/>
      <c r="V949" s="437"/>
      <c r="W949" s="437"/>
      <c r="X949" s="438"/>
      <c r="Y949" s="438"/>
      <c r="Z949" s="940"/>
      <c r="AA949" s="940"/>
      <c r="AB949" s="438"/>
      <c r="AC949" s="438"/>
      <c r="AD949" s="940"/>
      <c r="AE949" s="940"/>
      <c r="AF949" s="438"/>
      <c r="AH949" s="438"/>
      <c r="AI949" s="437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</row>
    <row r="950" ht="14.25" customHeight="1">
      <c r="A950" s="1"/>
      <c r="B950" s="1"/>
      <c r="C950" s="1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438"/>
      <c r="Q950" s="438"/>
      <c r="R950" s="437"/>
      <c r="S950" s="437"/>
      <c r="T950" s="438"/>
      <c r="U950" s="438"/>
      <c r="V950" s="437"/>
      <c r="W950" s="437"/>
      <c r="X950" s="438"/>
      <c r="Y950" s="438"/>
      <c r="Z950" s="940"/>
      <c r="AA950" s="940"/>
      <c r="AB950" s="438"/>
      <c r="AC950" s="438"/>
      <c r="AD950" s="940"/>
      <c r="AE950" s="940"/>
      <c r="AF950" s="438"/>
      <c r="AH950" s="438"/>
      <c r="AI950" s="437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</row>
    <row r="951" ht="14.25" customHeight="1">
      <c r="A951" s="1"/>
      <c r="B951" s="1"/>
      <c r="C951" s="1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438"/>
      <c r="Q951" s="438"/>
      <c r="R951" s="437"/>
      <c r="S951" s="437"/>
      <c r="T951" s="438"/>
      <c r="U951" s="438"/>
      <c r="V951" s="437"/>
      <c r="W951" s="437"/>
      <c r="X951" s="438"/>
      <c r="Y951" s="438"/>
      <c r="Z951" s="940"/>
      <c r="AA951" s="940"/>
      <c r="AB951" s="438"/>
      <c r="AC951" s="438"/>
      <c r="AD951" s="940"/>
      <c r="AE951" s="940"/>
      <c r="AF951" s="438"/>
      <c r="AH951" s="438"/>
      <c r="AI951" s="437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</row>
    <row r="952" ht="14.25" customHeight="1">
      <c r="A952" s="1"/>
      <c r="B952" s="1"/>
      <c r="C952" s="1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438"/>
      <c r="Q952" s="438"/>
      <c r="R952" s="437"/>
      <c r="S952" s="437"/>
      <c r="T952" s="438"/>
      <c r="U952" s="438"/>
      <c r="V952" s="437"/>
      <c r="W952" s="437"/>
      <c r="X952" s="438"/>
      <c r="Y952" s="438"/>
      <c r="Z952" s="940"/>
      <c r="AA952" s="940"/>
      <c r="AB952" s="438"/>
      <c r="AC952" s="438"/>
      <c r="AD952" s="940"/>
      <c r="AE952" s="940"/>
      <c r="AF952" s="438"/>
      <c r="AH952" s="438"/>
      <c r="AI952" s="437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</row>
    <row r="953" ht="14.25" customHeight="1">
      <c r="A953" s="1"/>
      <c r="B953" s="1"/>
      <c r="C953" s="1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438"/>
      <c r="Q953" s="438"/>
      <c r="R953" s="437"/>
      <c r="S953" s="437"/>
      <c r="T953" s="438"/>
      <c r="U953" s="438"/>
      <c r="V953" s="437"/>
      <c r="W953" s="437"/>
      <c r="X953" s="438"/>
      <c r="Y953" s="438"/>
      <c r="Z953" s="940"/>
      <c r="AA953" s="940"/>
      <c r="AB953" s="438"/>
      <c r="AC953" s="438"/>
      <c r="AD953" s="940"/>
      <c r="AE953" s="940"/>
      <c r="AF953" s="438"/>
      <c r="AH953" s="438"/>
      <c r="AI953" s="437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</row>
    <row r="954" ht="14.25" customHeight="1">
      <c r="A954" s="1"/>
      <c r="B954" s="1"/>
      <c r="C954" s="1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438"/>
      <c r="Q954" s="438"/>
      <c r="R954" s="437"/>
      <c r="S954" s="437"/>
      <c r="T954" s="438"/>
      <c r="U954" s="438"/>
      <c r="V954" s="437"/>
      <c r="W954" s="437"/>
      <c r="X954" s="438"/>
      <c r="Y954" s="438"/>
      <c r="Z954" s="940"/>
      <c r="AA954" s="940"/>
      <c r="AB954" s="438"/>
      <c r="AC954" s="438"/>
      <c r="AD954" s="940"/>
      <c r="AE954" s="940"/>
      <c r="AF954" s="438"/>
      <c r="AH954" s="438"/>
      <c r="AI954" s="437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</row>
    <row r="955" ht="14.25" customHeight="1">
      <c r="A955" s="1"/>
      <c r="B955" s="1"/>
      <c r="C955" s="1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438"/>
      <c r="Q955" s="438"/>
      <c r="R955" s="437"/>
      <c r="S955" s="437"/>
      <c r="T955" s="438"/>
      <c r="U955" s="438"/>
      <c r="V955" s="437"/>
      <c r="W955" s="437"/>
      <c r="X955" s="438"/>
      <c r="Y955" s="438"/>
      <c r="Z955" s="940"/>
      <c r="AA955" s="940"/>
      <c r="AB955" s="438"/>
      <c r="AC955" s="438"/>
      <c r="AD955" s="940"/>
      <c r="AE955" s="940"/>
      <c r="AF955" s="438"/>
      <c r="AH955" s="438"/>
      <c r="AI955" s="437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</row>
    <row r="956" ht="14.25" customHeight="1">
      <c r="A956" s="1"/>
      <c r="B956" s="1"/>
      <c r="C956" s="1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438"/>
      <c r="Q956" s="438"/>
      <c r="R956" s="437"/>
      <c r="S956" s="437"/>
      <c r="T956" s="438"/>
      <c r="U956" s="438"/>
      <c r="V956" s="437"/>
      <c r="W956" s="437"/>
      <c r="X956" s="438"/>
      <c r="Y956" s="438"/>
      <c r="Z956" s="940"/>
      <c r="AA956" s="940"/>
      <c r="AB956" s="438"/>
      <c r="AC956" s="438"/>
      <c r="AD956" s="940"/>
      <c r="AE956" s="940"/>
      <c r="AF956" s="438"/>
      <c r="AH956" s="438"/>
      <c r="AI956" s="437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</row>
    <row r="957" ht="14.25" customHeight="1">
      <c r="A957" s="1"/>
      <c r="B957" s="1"/>
      <c r="C957" s="1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438"/>
      <c r="Q957" s="438"/>
      <c r="R957" s="437"/>
      <c r="S957" s="437"/>
      <c r="T957" s="438"/>
      <c r="U957" s="438"/>
      <c r="V957" s="437"/>
      <c r="W957" s="437"/>
      <c r="X957" s="438"/>
      <c r="Y957" s="438"/>
      <c r="Z957" s="940"/>
      <c r="AA957" s="940"/>
      <c r="AB957" s="438"/>
      <c r="AC957" s="438"/>
      <c r="AD957" s="940"/>
      <c r="AE957" s="940"/>
      <c r="AF957" s="438"/>
      <c r="AH957" s="438"/>
      <c r="AI957" s="437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</row>
    <row r="958" ht="14.25" customHeight="1">
      <c r="A958" s="1"/>
      <c r="B958" s="1"/>
      <c r="C958" s="1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438"/>
      <c r="Q958" s="438"/>
      <c r="R958" s="437"/>
      <c r="S958" s="437"/>
      <c r="T958" s="438"/>
      <c r="U958" s="438"/>
      <c r="V958" s="437"/>
      <c r="W958" s="437"/>
      <c r="X958" s="438"/>
      <c r="Y958" s="438"/>
      <c r="Z958" s="940"/>
      <c r="AA958" s="940"/>
      <c r="AB958" s="438"/>
      <c r="AC958" s="438"/>
      <c r="AD958" s="940"/>
      <c r="AE958" s="940"/>
      <c r="AF958" s="438"/>
      <c r="AH958" s="438"/>
      <c r="AI958" s="437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</row>
    <row r="959" ht="14.25" customHeight="1">
      <c r="A959" s="1"/>
      <c r="B959" s="1"/>
      <c r="C959" s="1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438"/>
      <c r="Q959" s="438"/>
      <c r="R959" s="437"/>
      <c r="S959" s="437"/>
      <c r="T959" s="438"/>
      <c r="U959" s="438"/>
      <c r="V959" s="437"/>
      <c r="W959" s="437"/>
      <c r="X959" s="438"/>
      <c r="Y959" s="438"/>
      <c r="Z959" s="940"/>
      <c r="AA959" s="940"/>
      <c r="AB959" s="438"/>
      <c r="AC959" s="438"/>
      <c r="AD959" s="940"/>
      <c r="AE959" s="940"/>
      <c r="AF959" s="438"/>
      <c r="AH959" s="438"/>
      <c r="AI959" s="437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</row>
    <row r="960" ht="14.25" customHeight="1">
      <c r="A960" s="1"/>
      <c r="B960" s="1"/>
      <c r="C960" s="1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438"/>
      <c r="Q960" s="438"/>
      <c r="R960" s="437"/>
      <c r="S960" s="437"/>
      <c r="T960" s="438"/>
      <c r="U960" s="438"/>
      <c r="V960" s="437"/>
      <c r="W960" s="437"/>
      <c r="X960" s="438"/>
      <c r="Y960" s="438"/>
      <c r="Z960" s="940"/>
      <c r="AA960" s="940"/>
      <c r="AB960" s="438"/>
      <c r="AC960" s="438"/>
      <c r="AD960" s="940"/>
      <c r="AE960" s="940"/>
      <c r="AF960" s="438"/>
      <c r="AH960" s="438"/>
      <c r="AI960" s="437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</row>
    <row r="961" ht="14.25" customHeight="1">
      <c r="A961" s="1"/>
      <c r="B961" s="1"/>
      <c r="C961" s="1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438"/>
      <c r="Q961" s="438"/>
      <c r="R961" s="437"/>
      <c r="S961" s="437"/>
      <c r="T961" s="438"/>
      <c r="U961" s="438"/>
      <c r="V961" s="437"/>
      <c r="W961" s="437"/>
      <c r="X961" s="438"/>
      <c r="Y961" s="438"/>
      <c r="Z961" s="940"/>
      <c r="AA961" s="940"/>
      <c r="AB961" s="438"/>
      <c r="AC961" s="438"/>
      <c r="AD961" s="940"/>
      <c r="AE961" s="940"/>
      <c r="AF961" s="438"/>
      <c r="AH961" s="438"/>
      <c r="AI961" s="437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</row>
    <row r="962" ht="14.25" customHeight="1">
      <c r="A962" s="1"/>
      <c r="B962" s="1"/>
      <c r="C962" s="1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438"/>
      <c r="Q962" s="438"/>
      <c r="R962" s="437"/>
      <c r="S962" s="437"/>
      <c r="T962" s="438"/>
      <c r="U962" s="438"/>
      <c r="V962" s="437"/>
      <c r="W962" s="437"/>
      <c r="X962" s="438"/>
      <c r="Y962" s="438"/>
      <c r="Z962" s="940"/>
      <c r="AA962" s="940"/>
      <c r="AB962" s="438"/>
      <c r="AC962" s="438"/>
      <c r="AD962" s="940"/>
      <c r="AE962" s="940"/>
      <c r="AF962" s="438"/>
      <c r="AH962" s="438"/>
      <c r="AI962" s="437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</row>
    <row r="963" ht="14.25" customHeight="1">
      <c r="A963" s="1"/>
      <c r="B963" s="1"/>
      <c r="C963" s="1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438"/>
      <c r="Q963" s="438"/>
      <c r="R963" s="437"/>
      <c r="S963" s="437"/>
      <c r="T963" s="438"/>
      <c r="U963" s="438"/>
      <c r="V963" s="437"/>
      <c r="W963" s="437"/>
      <c r="X963" s="438"/>
      <c r="Y963" s="438"/>
      <c r="Z963" s="940"/>
      <c r="AA963" s="940"/>
      <c r="AB963" s="438"/>
      <c r="AC963" s="438"/>
      <c r="AD963" s="940"/>
      <c r="AE963" s="940"/>
      <c r="AF963" s="438"/>
      <c r="AH963" s="438"/>
      <c r="AI963" s="437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</row>
    <row r="964" ht="14.25" customHeight="1">
      <c r="A964" s="1"/>
      <c r="B964" s="1"/>
      <c r="C964" s="1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438"/>
      <c r="Q964" s="438"/>
      <c r="R964" s="437"/>
      <c r="S964" s="437"/>
      <c r="T964" s="438"/>
      <c r="U964" s="438"/>
      <c r="V964" s="437"/>
      <c r="W964" s="437"/>
      <c r="X964" s="438"/>
      <c r="Y964" s="438"/>
      <c r="Z964" s="940"/>
      <c r="AA964" s="940"/>
      <c r="AB964" s="438"/>
      <c r="AC964" s="438"/>
      <c r="AD964" s="940"/>
      <c r="AE964" s="940"/>
      <c r="AF964" s="438"/>
      <c r="AH964" s="438"/>
      <c r="AI964" s="437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</row>
    <row r="965" ht="14.25" customHeight="1">
      <c r="A965" s="1"/>
      <c r="B965" s="1"/>
      <c r="C965" s="1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438"/>
      <c r="Q965" s="438"/>
      <c r="R965" s="437"/>
      <c r="S965" s="437"/>
      <c r="T965" s="438"/>
      <c r="U965" s="438"/>
      <c r="V965" s="437"/>
      <c r="W965" s="437"/>
      <c r="X965" s="438"/>
      <c r="Y965" s="438"/>
      <c r="Z965" s="940"/>
      <c r="AA965" s="940"/>
      <c r="AB965" s="438"/>
      <c r="AC965" s="438"/>
      <c r="AD965" s="940"/>
      <c r="AE965" s="940"/>
      <c r="AF965" s="438"/>
      <c r="AH965" s="438"/>
      <c r="AI965" s="437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</row>
    <row r="966" ht="14.25" customHeight="1">
      <c r="A966" s="1"/>
      <c r="B966" s="1"/>
      <c r="C966" s="1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438"/>
      <c r="Q966" s="438"/>
      <c r="R966" s="437"/>
      <c r="S966" s="437"/>
      <c r="T966" s="438"/>
      <c r="U966" s="438"/>
      <c r="V966" s="437"/>
      <c r="W966" s="437"/>
      <c r="X966" s="438"/>
      <c r="Y966" s="438"/>
      <c r="Z966" s="940"/>
      <c r="AA966" s="940"/>
      <c r="AB966" s="438"/>
      <c r="AC966" s="438"/>
      <c r="AD966" s="940"/>
      <c r="AE966" s="940"/>
      <c r="AF966" s="438"/>
      <c r="AH966" s="438"/>
      <c r="AI966" s="437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</row>
    <row r="967" ht="14.25" customHeight="1">
      <c r="A967" s="1"/>
      <c r="B967" s="1"/>
      <c r="C967" s="1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438"/>
      <c r="Q967" s="438"/>
      <c r="R967" s="437"/>
      <c r="S967" s="437"/>
      <c r="T967" s="438"/>
      <c r="U967" s="438"/>
      <c r="V967" s="437"/>
      <c r="W967" s="437"/>
      <c r="X967" s="438"/>
      <c r="Y967" s="438"/>
      <c r="Z967" s="940"/>
      <c r="AA967" s="940"/>
      <c r="AB967" s="438"/>
      <c r="AC967" s="438"/>
      <c r="AD967" s="940"/>
      <c r="AE967" s="940"/>
      <c r="AF967" s="438"/>
      <c r="AH967" s="438"/>
      <c r="AI967" s="437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</row>
    <row r="968" ht="14.25" customHeight="1">
      <c r="A968" s="1"/>
      <c r="B968" s="1"/>
      <c r="C968" s="1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438"/>
      <c r="Q968" s="438"/>
      <c r="R968" s="437"/>
      <c r="S968" s="437"/>
      <c r="T968" s="438"/>
      <c r="U968" s="438"/>
      <c r="V968" s="437"/>
      <c r="W968" s="437"/>
      <c r="X968" s="438"/>
      <c r="Y968" s="438"/>
      <c r="Z968" s="940"/>
      <c r="AA968" s="940"/>
      <c r="AB968" s="438"/>
      <c r="AC968" s="438"/>
      <c r="AD968" s="940"/>
      <c r="AE968" s="940"/>
      <c r="AF968" s="438"/>
      <c r="AH968" s="438"/>
      <c r="AI968" s="437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</row>
    <row r="969" ht="14.25" customHeight="1">
      <c r="A969" s="1"/>
      <c r="B969" s="1"/>
      <c r="C969" s="1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438"/>
      <c r="Q969" s="438"/>
      <c r="R969" s="437"/>
      <c r="S969" s="437"/>
      <c r="T969" s="438"/>
      <c r="U969" s="438"/>
      <c r="V969" s="437"/>
      <c r="W969" s="437"/>
      <c r="X969" s="438"/>
      <c r="Y969" s="438"/>
      <c r="Z969" s="940"/>
      <c r="AA969" s="940"/>
      <c r="AB969" s="438"/>
      <c r="AC969" s="438"/>
      <c r="AD969" s="940"/>
      <c r="AE969" s="940"/>
      <c r="AF969" s="438"/>
      <c r="AH969" s="438"/>
      <c r="AI969" s="437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</row>
    <row r="970" ht="14.25" customHeight="1">
      <c r="A970" s="1"/>
      <c r="B970" s="1"/>
      <c r="C970" s="1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438"/>
      <c r="Q970" s="438"/>
      <c r="R970" s="437"/>
      <c r="S970" s="437"/>
      <c r="T970" s="438"/>
      <c r="U970" s="438"/>
      <c r="V970" s="437"/>
      <c r="W970" s="437"/>
      <c r="X970" s="438"/>
      <c r="Y970" s="438"/>
      <c r="Z970" s="940"/>
      <c r="AA970" s="940"/>
      <c r="AB970" s="438"/>
      <c r="AC970" s="438"/>
      <c r="AD970" s="940"/>
      <c r="AE970" s="940"/>
      <c r="AF970" s="438"/>
      <c r="AH970" s="438"/>
      <c r="AI970" s="437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</row>
    <row r="971" ht="14.25" customHeight="1">
      <c r="A971" s="1"/>
      <c r="B971" s="1"/>
      <c r="C971" s="1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438"/>
      <c r="Q971" s="438"/>
      <c r="R971" s="437"/>
      <c r="S971" s="437"/>
      <c r="T971" s="438"/>
      <c r="U971" s="438"/>
      <c r="V971" s="437"/>
      <c r="W971" s="437"/>
      <c r="X971" s="438"/>
      <c r="Y971" s="438"/>
      <c r="Z971" s="940"/>
      <c r="AA971" s="940"/>
      <c r="AB971" s="438"/>
      <c r="AC971" s="438"/>
      <c r="AD971" s="940"/>
      <c r="AE971" s="940"/>
      <c r="AF971" s="438"/>
      <c r="AH971" s="438"/>
      <c r="AI971" s="437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</row>
    <row r="972" ht="14.25" customHeight="1">
      <c r="A972" s="1"/>
      <c r="B972" s="1"/>
      <c r="C972" s="1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438"/>
      <c r="Q972" s="438"/>
      <c r="R972" s="437"/>
      <c r="S972" s="437"/>
      <c r="T972" s="438"/>
      <c r="U972" s="438"/>
      <c r="V972" s="437"/>
      <c r="W972" s="437"/>
      <c r="X972" s="438"/>
      <c r="Y972" s="438"/>
      <c r="Z972" s="940"/>
      <c r="AA972" s="940"/>
      <c r="AB972" s="438"/>
      <c r="AC972" s="438"/>
      <c r="AD972" s="940"/>
      <c r="AE972" s="940"/>
      <c r="AF972" s="438"/>
      <c r="AH972" s="438"/>
      <c r="AI972" s="437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</row>
    <row r="973" ht="14.25" customHeight="1">
      <c r="A973" s="1"/>
      <c r="B973" s="1"/>
      <c r="C973" s="1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438"/>
      <c r="Q973" s="438"/>
      <c r="R973" s="437"/>
      <c r="S973" s="437"/>
      <c r="T973" s="438"/>
      <c r="U973" s="438"/>
      <c r="V973" s="437"/>
      <c r="W973" s="437"/>
      <c r="X973" s="438"/>
      <c r="Y973" s="438"/>
      <c r="Z973" s="940"/>
      <c r="AA973" s="940"/>
      <c r="AB973" s="438"/>
      <c r="AC973" s="438"/>
      <c r="AD973" s="940"/>
      <c r="AE973" s="940"/>
      <c r="AF973" s="438"/>
      <c r="AH973" s="438"/>
      <c r="AI973" s="437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</row>
    <row r="974" ht="14.25" customHeight="1">
      <c r="A974" s="1"/>
      <c r="B974" s="1"/>
      <c r="C974" s="1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438"/>
      <c r="Q974" s="438"/>
      <c r="R974" s="437"/>
      <c r="S974" s="437"/>
      <c r="T974" s="438"/>
      <c r="U974" s="438"/>
      <c r="V974" s="437"/>
      <c r="W974" s="437"/>
      <c r="X974" s="438"/>
      <c r="Y974" s="438"/>
      <c r="Z974" s="940"/>
      <c r="AA974" s="940"/>
      <c r="AB974" s="438"/>
      <c r="AC974" s="438"/>
      <c r="AD974" s="940"/>
      <c r="AE974" s="940"/>
      <c r="AF974" s="438"/>
      <c r="AH974" s="438"/>
      <c r="AI974" s="437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</row>
    <row r="975" ht="14.25" customHeight="1">
      <c r="A975" s="1"/>
      <c r="B975" s="1"/>
      <c r="C975" s="1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438"/>
      <c r="Q975" s="438"/>
      <c r="R975" s="437"/>
      <c r="S975" s="437"/>
      <c r="T975" s="438"/>
      <c r="U975" s="438"/>
      <c r="V975" s="437"/>
      <c r="W975" s="437"/>
      <c r="X975" s="438"/>
      <c r="Y975" s="438"/>
      <c r="Z975" s="940"/>
      <c r="AA975" s="940"/>
      <c r="AB975" s="438"/>
      <c r="AC975" s="438"/>
      <c r="AD975" s="940"/>
      <c r="AE975" s="940"/>
      <c r="AF975" s="438"/>
      <c r="AH975" s="438"/>
      <c r="AI975" s="437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</row>
    <row r="976" ht="14.25" customHeight="1">
      <c r="A976" s="1"/>
      <c r="B976" s="1"/>
      <c r="C976" s="1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438"/>
      <c r="Q976" s="438"/>
      <c r="R976" s="437"/>
      <c r="S976" s="437"/>
      <c r="T976" s="438"/>
      <c r="U976" s="438"/>
      <c r="V976" s="437"/>
      <c r="W976" s="437"/>
      <c r="X976" s="438"/>
      <c r="Y976" s="438"/>
      <c r="Z976" s="940"/>
      <c r="AA976" s="940"/>
      <c r="AB976" s="438"/>
      <c r="AC976" s="438"/>
      <c r="AD976" s="940"/>
      <c r="AE976" s="940"/>
      <c r="AF976" s="438"/>
      <c r="AH976" s="438"/>
      <c r="AI976" s="437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</row>
    <row r="977" ht="14.25" customHeight="1">
      <c r="A977" s="1"/>
      <c r="B977" s="1"/>
      <c r="C977" s="1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438"/>
      <c r="Q977" s="438"/>
      <c r="R977" s="437"/>
      <c r="S977" s="437"/>
      <c r="T977" s="438"/>
      <c r="U977" s="438"/>
      <c r="V977" s="437"/>
      <c r="W977" s="437"/>
      <c r="X977" s="438"/>
      <c r="Y977" s="438"/>
      <c r="Z977" s="940"/>
      <c r="AA977" s="940"/>
      <c r="AB977" s="438"/>
      <c r="AC977" s="438"/>
      <c r="AD977" s="940"/>
      <c r="AE977" s="940"/>
      <c r="AF977" s="438"/>
      <c r="AH977" s="438"/>
      <c r="AI977" s="437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</row>
    <row r="978" ht="14.25" customHeight="1">
      <c r="A978" s="1"/>
      <c r="B978" s="1"/>
      <c r="C978" s="1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438"/>
      <c r="Q978" s="438"/>
      <c r="R978" s="437"/>
      <c r="S978" s="437"/>
      <c r="T978" s="438"/>
      <c r="U978" s="438"/>
      <c r="V978" s="437"/>
      <c r="W978" s="437"/>
      <c r="X978" s="438"/>
      <c r="Y978" s="438"/>
      <c r="Z978" s="940"/>
      <c r="AA978" s="940"/>
      <c r="AB978" s="438"/>
      <c r="AC978" s="438"/>
      <c r="AD978" s="940"/>
      <c r="AE978" s="940"/>
      <c r="AF978" s="438"/>
      <c r="AH978" s="438"/>
      <c r="AI978" s="437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</row>
    <row r="979" ht="14.25" customHeight="1">
      <c r="A979" s="1"/>
      <c r="B979" s="1"/>
      <c r="C979" s="1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438"/>
      <c r="Q979" s="438"/>
      <c r="R979" s="437"/>
      <c r="S979" s="437"/>
      <c r="T979" s="438"/>
      <c r="U979" s="438"/>
      <c r="V979" s="437"/>
      <c r="W979" s="437"/>
      <c r="X979" s="438"/>
      <c r="Y979" s="438"/>
      <c r="Z979" s="940"/>
      <c r="AA979" s="940"/>
      <c r="AB979" s="438"/>
      <c r="AC979" s="438"/>
      <c r="AD979" s="940"/>
      <c r="AE979" s="940"/>
      <c r="AF979" s="438"/>
      <c r="AH979" s="438"/>
      <c r="AI979" s="437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</row>
    <row r="980" ht="14.25" customHeight="1">
      <c r="A980" s="1"/>
      <c r="B980" s="1"/>
      <c r="C980" s="1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438"/>
      <c r="Q980" s="438"/>
      <c r="R980" s="437"/>
      <c r="S980" s="437"/>
      <c r="T980" s="438"/>
      <c r="U980" s="438"/>
      <c r="V980" s="437"/>
      <c r="W980" s="437"/>
      <c r="X980" s="438"/>
      <c r="Y980" s="438"/>
      <c r="Z980" s="940"/>
      <c r="AA980" s="940"/>
      <c r="AB980" s="438"/>
      <c r="AC980" s="438"/>
      <c r="AD980" s="940"/>
      <c r="AE980" s="940"/>
      <c r="AF980" s="438"/>
      <c r="AH980" s="438"/>
      <c r="AI980" s="437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</row>
    <row r="981" ht="14.25" customHeight="1">
      <c r="A981" s="1"/>
      <c r="B981" s="1"/>
      <c r="C981" s="1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438"/>
      <c r="Q981" s="438"/>
      <c r="R981" s="437"/>
      <c r="S981" s="437"/>
      <c r="T981" s="438"/>
      <c r="U981" s="438"/>
      <c r="V981" s="437"/>
      <c r="W981" s="437"/>
      <c r="X981" s="438"/>
      <c r="Y981" s="438"/>
      <c r="Z981" s="940"/>
      <c r="AA981" s="940"/>
      <c r="AB981" s="438"/>
      <c r="AC981" s="438"/>
      <c r="AD981" s="940"/>
      <c r="AE981" s="940"/>
      <c r="AF981" s="438"/>
      <c r="AH981" s="438"/>
      <c r="AI981" s="437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</row>
    <row r="982" ht="14.25" customHeight="1">
      <c r="A982" s="1"/>
      <c r="B982" s="1"/>
      <c r="C982" s="1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438"/>
      <c r="Q982" s="438"/>
      <c r="R982" s="437"/>
      <c r="S982" s="437"/>
      <c r="T982" s="438"/>
      <c r="U982" s="438"/>
      <c r="V982" s="437"/>
      <c r="W982" s="437"/>
      <c r="X982" s="438"/>
      <c r="Y982" s="438"/>
      <c r="Z982" s="940"/>
      <c r="AA982" s="940"/>
      <c r="AB982" s="438"/>
      <c r="AC982" s="438"/>
      <c r="AD982" s="940"/>
      <c r="AE982" s="940"/>
      <c r="AF982" s="438"/>
      <c r="AH982" s="438"/>
      <c r="AI982" s="437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</row>
    <row r="983" ht="14.25" customHeight="1">
      <c r="A983" s="1"/>
      <c r="B983" s="1"/>
      <c r="C983" s="1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438"/>
      <c r="Q983" s="438"/>
      <c r="R983" s="437"/>
      <c r="S983" s="437"/>
      <c r="T983" s="438"/>
      <c r="U983" s="438"/>
      <c r="V983" s="437"/>
      <c r="W983" s="437"/>
      <c r="X983" s="438"/>
      <c r="Y983" s="438"/>
      <c r="Z983" s="940"/>
      <c r="AA983" s="940"/>
      <c r="AB983" s="438"/>
      <c r="AC983" s="438"/>
      <c r="AD983" s="940"/>
      <c r="AE983" s="940"/>
      <c r="AF983" s="438"/>
      <c r="AH983" s="438"/>
      <c r="AI983" s="437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</row>
    <row r="984" ht="14.25" customHeight="1">
      <c r="A984" s="1"/>
      <c r="B984" s="1"/>
      <c r="C984" s="1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438"/>
      <c r="Q984" s="438"/>
      <c r="R984" s="437"/>
      <c r="S984" s="437"/>
      <c r="T984" s="438"/>
      <c r="U984" s="438"/>
      <c r="V984" s="437"/>
      <c r="W984" s="437"/>
      <c r="X984" s="438"/>
      <c r="Y984" s="438"/>
      <c r="Z984" s="940"/>
      <c r="AA984" s="940"/>
      <c r="AB984" s="438"/>
      <c r="AC984" s="438"/>
      <c r="AD984" s="940"/>
      <c r="AE984" s="940"/>
      <c r="AF984" s="438"/>
      <c r="AH984" s="438"/>
      <c r="AI984" s="437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</row>
    <row r="985" ht="14.25" customHeight="1">
      <c r="A985" s="1"/>
      <c r="B985" s="1"/>
      <c r="C985" s="1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438"/>
      <c r="Q985" s="438"/>
      <c r="R985" s="437"/>
      <c r="S985" s="437"/>
      <c r="T985" s="438"/>
      <c r="U985" s="438"/>
      <c r="V985" s="437"/>
      <c r="W985" s="437"/>
      <c r="X985" s="438"/>
      <c r="Y985" s="438"/>
      <c r="Z985" s="940"/>
      <c r="AA985" s="940"/>
      <c r="AB985" s="438"/>
      <c r="AC985" s="438"/>
      <c r="AD985" s="940"/>
      <c r="AE985" s="940"/>
      <c r="AF985" s="438"/>
      <c r="AH985" s="438"/>
      <c r="AI985" s="437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</row>
    <row r="986" ht="14.25" customHeight="1">
      <c r="A986" s="1"/>
      <c r="B986" s="1"/>
      <c r="C986" s="1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438"/>
      <c r="Q986" s="438"/>
      <c r="R986" s="437"/>
      <c r="S986" s="437"/>
      <c r="T986" s="438"/>
      <c r="U986" s="438"/>
      <c r="V986" s="437"/>
      <c r="W986" s="437"/>
      <c r="X986" s="438"/>
      <c r="Y986" s="438"/>
      <c r="Z986" s="940"/>
      <c r="AA986" s="940"/>
      <c r="AB986" s="438"/>
      <c r="AC986" s="438"/>
      <c r="AD986" s="940"/>
      <c r="AE986" s="940"/>
      <c r="AF986" s="438"/>
      <c r="AH986" s="438"/>
      <c r="AI986" s="437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</row>
    <row r="987" ht="14.25" customHeight="1">
      <c r="A987" s="1"/>
      <c r="B987" s="1"/>
      <c r="C987" s="1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438"/>
      <c r="Q987" s="438"/>
      <c r="R987" s="437"/>
      <c r="S987" s="437"/>
      <c r="T987" s="438"/>
      <c r="U987" s="438"/>
      <c r="V987" s="437"/>
      <c r="W987" s="437"/>
      <c r="X987" s="438"/>
      <c r="Y987" s="438"/>
      <c r="Z987" s="940"/>
      <c r="AA987" s="940"/>
      <c r="AB987" s="438"/>
      <c r="AC987" s="438"/>
      <c r="AD987" s="940"/>
      <c r="AE987" s="940"/>
      <c r="AF987" s="438"/>
      <c r="AH987" s="438"/>
      <c r="AI987" s="437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</row>
    <row r="988" ht="14.25" customHeight="1">
      <c r="A988" s="1"/>
      <c r="B988" s="1"/>
      <c r="C988" s="1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438"/>
      <c r="Q988" s="438"/>
      <c r="R988" s="437"/>
      <c r="S988" s="437"/>
      <c r="T988" s="438"/>
      <c r="U988" s="438"/>
      <c r="V988" s="437"/>
      <c r="W988" s="437"/>
      <c r="X988" s="438"/>
      <c r="Y988" s="438"/>
      <c r="Z988" s="940"/>
      <c r="AA988" s="940"/>
      <c r="AB988" s="438"/>
      <c r="AC988" s="438"/>
      <c r="AD988" s="940"/>
      <c r="AE988" s="940"/>
      <c r="AF988" s="438"/>
      <c r="AH988" s="438"/>
      <c r="AI988" s="437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</row>
    <row r="989" ht="14.25" customHeight="1">
      <c r="A989" s="1"/>
      <c r="B989" s="1"/>
      <c r="C989" s="1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438"/>
      <c r="Q989" s="438"/>
      <c r="R989" s="437"/>
      <c r="S989" s="437"/>
      <c r="T989" s="438"/>
      <c r="U989" s="438"/>
      <c r="V989" s="437"/>
      <c r="W989" s="437"/>
      <c r="X989" s="438"/>
      <c r="Y989" s="438"/>
      <c r="Z989" s="940"/>
      <c r="AA989" s="940"/>
      <c r="AB989" s="438"/>
      <c r="AC989" s="438"/>
      <c r="AD989" s="940"/>
      <c r="AE989" s="940"/>
      <c r="AF989" s="438"/>
      <c r="AH989" s="438"/>
      <c r="AI989" s="437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</row>
    <row r="990" ht="14.25" customHeight="1">
      <c r="A990" s="1"/>
      <c r="B990" s="1"/>
      <c r="C990" s="1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438"/>
      <c r="Q990" s="438"/>
      <c r="R990" s="437"/>
      <c r="S990" s="437"/>
      <c r="T990" s="438"/>
      <c r="U990" s="438"/>
      <c r="V990" s="437"/>
      <c r="W990" s="437"/>
      <c r="X990" s="438"/>
      <c r="Y990" s="438"/>
      <c r="Z990" s="940"/>
      <c r="AA990" s="940"/>
      <c r="AB990" s="438"/>
      <c r="AC990" s="438"/>
      <c r="AD990" s="940"/>
      <c r="AE990" s="940"/>
      <c r="AF990" s="438"/>
      <c r="AH990" s="438"/>
      <c r="AI990" s="437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</row>
    <row r="991" ht="14.25" customHeight="1">
      <c r="A991" s="1"/>
      <c r="B991" s="1"/>
      <c r="C991" s="1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438"/>
      <c r="Q991" s="438"/>
      <c r="R991" s="437"/>
      <c r="S991" s="437"/>
      <c r="T991" s="438"/>
      <c r="U991" s="438"/>
      <c r="V991" s="437"/>
      <c r="W991" s="437"/>
      <c r="X991" s="438"/>
      <c r="Y991" s="438"/>
      <c r="Z991" s="940"/>
      <c r="AA991" s="940"/>
      <c r="AB991" s="438"/>
      <c r="AC991" s="438"/>
      <c r="AD991" s="940"/>
      <c r="AE991" s="940"/>
      <c r="AF991" s="438"/>
      <c r="AH991" s="438"/>
      <c r="AI991" s="437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</row>
    <row r="992" ht="14.25" customHeight="1">
      <c r="A992" s="1"/>
      <c r="B992" s="1"/>
      <c r="C992" s="1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438"/>
      <c r="Q992" s="438"/>
      <c r="R992" s="437"/>
      <c r="S992" s="437"/>
      <c r="T992" s="438"/>
      <c r="U992" s="438"/>
      <c r="V992" s="437"/>
      <c r="W992" s="437"/>
      <c r="X992" s="438"/>
      <c r="Y992" s="438"/>
      <c r="Z992" s="940"/>
      <c r="AA992" s="940"/>
      <c r="AB992" s="438"/>
      <c r="AC992" s="438"/>
      <c r="AD992" s="940"/>
      <c r="AE992" s="940"/>
      <c r="AF992" s="438"/>
      <c r="AH992" s="438"/>
      <c r="AI992" s="437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</row>
    <row r="993" ht="14.25" customHeight="1">
      <c r="A993" s="1"/>
      <c r="B993" s="1"/>
      <c r="C993" s="1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438"/>
      <c r="Q993" s="438"/>
      <c r="R993" s="437"/>
      <c r="S993" s="437"/>
      <c r="T993" s="438"/>
      <c r="U993" s="438"/>
      <c r="V993" s="437"/>
      <c r="W993" s="437"/>
      <c r="X993" s="438"/>
      <c r="Y993" s="438"/>
      <c r="Z993" s="940"/>
      <c r="AA993" s="940"/>
      <c r="AB993" s="438"/>
      <c r="AC993" s="438"/>
      <c r="AD993" s="940"/>
      <c r="AE993" s="940"/>
      <c r="AF993" s="438"/>
      <c r="AH993" s="438"/>
      <c r="AI993" s="437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</row>
    <row r="994" ht="14.25" customHeight="1">
      <c r="A994" s="1"/>
      <c r="B994" s="1"/>
      <c r="C994" s="1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438"/>
      <c r="Q994" s="438"/>
      <c r="R994" s="437"/>
      <c r="S994" s="437"/>
      <c r="T994" s="438"/>
      <c r="U994" s="438"/>
      <c r="V994" s="437"/>
      <c r="W994" s="437"/>
      <c r="X994" s="438"/>
      <c r="Y994" s="438"/>
      <c r="Z994" s="940"/>
      <c r="AA994" s="940"/>
      <c r="AB994" s="438"/>
      <c r="AC994" s="438"/>
      <c r="AD994" s="940"/>
      <c r="AE994" s="940"/>
      <c r="AF994" s="438"/>
      <c r="AH994" s="438"/>
      <c r="AI994" s="437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</row>
    <row r="995" ht="14.25" customHeight="1">
      <c r="A995" s="1"/>
      <c r="B995" s="1"/>
      <c r="C995" s="1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438"/>
      <c r="Q995" s="438"/>
      <c r="R995" s="437"/>
      <c r="S995" s="437"/>
      <c r="T995" s="438"/>
      <c r="U995" s="438"/>
      <c r="V995" s="437"/>
      <c r="W995" s="437"/>
      <c r="X995" s="438"/>
      <c r="Y995" s="438"/>
      <c r="Z995" s="940"/>
      <c r="AA995" s="940"/>
      <c r="AB995" s="438"/>
      <c r="AC995" s="438"/>
      <c r="AD995" s="940"/>
      <c r="AE995" s="940"/>
      <c r="AF995" s="438"/>
      <c r="AH995" s="438"/>
      <c r="AI995" s="437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</row>
    <row r="996" ht="14.25" customHeight="1">
      <c r="A996" s="1"/>
      <c r="B996" s="1"/>
      <c r="C996" s="1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438"/>
      <c r="Q996" s="438"/>
      <c r="R996" s="437"/>
      <c r="S996" s="437"/>
      <c r="T996" s="438"/>
      <c r="U996" s="438"/>
      <c r="V996" s="437"/>
      <c r="W996" s="437"/>
      <c r="X996" s="438"/>
      <c r="Y996" s="438"/>
      <c r="Z996" s="940"/>
      <c r="AA996" s="940"/>
      <c r="AB996" s="438"/>
      <c r="AC996" s="438"/>
      <c r="AD996" s="940"/>
      <c r="AE996" s="940"/>
      <c r="AF996" s="438"/>
      <c r="AH996" s="438"/>
      <c r="AI996" s="437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</row>
    <row r="997" ht="14.25" customHeight="1">
      <c r="A997" s="1"/>
      <c r="B997" s="1"/>
      <c r="C997" s="1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438"/>
      <c r="Q997" s="438"/>
      <c r="R997" s="437"/>
      <c r="S997" s="437"/>
      <c r="T997" s="438"/>
      <c r="U997" s="438"/>
      <c r="V997" s="437"/>
      <c r="W997" s="437"/>
      <c r="X997" s="438"/>
      <c r="Y997" s="438"/>
      <c r="Z997" s="940"/>
      <c r="AA997" s="940"/>
      <c r="AB997" s="438"/>
      <c r="AC997" s="438"/>
      <c r="AD997" s="940"/>
      <c r="AE997" s="940"/>
      <c r="AF997" s="438"/>
      <c r="AH997" s="438"/>
      <c r="AI997" s="437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</row>
    <row r="998" ht="14.25" customHeight="1">
      <c r="A998" s="1"/>
      <c r="B998" s="1"/>
      <c r="C998" s="1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438"/>
      <c r="Q998" s="438"/>
      <c r="R998" s="437"/>
      <c r="S998" s="437"/>
      <c r="T998" s="438"/>
      <c r="U998" s="438"/>
      <c r="V998" s="437"/>
      <c r="W998" s="437"/>
      <c r="X998" s="438"/>
      <c r="Y998" s="438"/>
      <c r="Z998" s="940"/>
      <c r="AA998" s="940"/>
      <c r="AB998" s="438"/>
      <c r="AC998" s="438"/>
      <c r="AD998" s="940"/>
      <c r="AE998" s="940"/>
      <c r="AF998" s="438"/>
      <c r="AH998" s="438"/>
      <c r="AI998" s="437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</row>
    <row r="999" ht="14.25" customHeight="1">
      <c r="A999" s="1"/>
      <c r="B999" s="1"/>
      <c r="C999" s="1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438"/>
      <c r="Q999" s="438"/>
      <c r="R999" s="437"/>
      <c r="S999" s="437"/>
      <c r="T999" s="438"/>
      <c r="U999" s="438"/>
      <c r="V999" s="437"/>
      <c r="W999" s="437"/>
      <c r="X999" s="438"/>
      <c r="Y999" s="438"/>
      <c r="Z999" s="940"/>
      <c r="AA999" s="940"/>
      <c r="AB999" s="438"/>
      <c r="AC999" s="438"/>
      <c r="AD999" s="940"/>
      <c r="AE999" s="940"/>
      <c r="AF999" s="438"/>
      <c r="AH999" s="438"/>
      <c r="AI999" s="437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</row>
    <row r="1000" ht="14.25" customHeight="1">
      <c r="A1000" s="1"/>
      <c r="B1000" s="1"/>
      <c r="C1000" s="1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438"/>
      <c r="Q1000" s="438"/>
      <c r="R1000" s="437"/>
      <c r="S1000" s="437"/>
      <c r="T1000" s="438"/>
      <c r="U1000" s="438"/>
      <c r="V1000" s="437"/>
      <c r="W1000" s="437"/>
      <c r="X1000" s="438"/>
      <c r="Y1000" s="438"/>
      <c r="Z1000" s="940"/>
      <c r="AA1000" s="940"/>
      <c r="AB1000" s="438"/>
      <c r="AC1000" s="438"/>
      <c r="AD1000" s="940"/>
      <c r="AE1000" s="940"/>
      <c r="AF1000" s="438"/>
      <c r="AH1000" s="438"/>
      <c r="AI1000" s="437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</row>
  </sheetData>
  <mergeCells count="1371">
    <mergeCell ref="X267:Z267"/>
    <mergeCell ref="X268:Z268"/>
    <mergeCell ref="X269:Z269"/>
    <mergeCell ref="AF267:AH267"/>
    <mergeCell ref="AF268:AH268"/>
    <mergeCell ref="AF269:AH269"/>
    <mergeCell ref="L266:N266"/>
    <mergeCell ref="P266:R266"/>
    <mergeCell ref="X266:Z266"/>
    <mergeCell ref="L267:N267"/>
    <mergeCell ref="L268:N268"/>
    <mergeCell ref="T268:V268"/>
    <mergeCell ref="AB268:AD268"/>
    <mergeCell ref="L269:N269"/>
    <mergeCell ref="P269:R269"/>
    <mergeCell ref="T269:V269"/>
    <mergeCell ref="AB269:AD269"/>
    <mergeCell ref="AJ269:AL269"/>
    <mergeCell ref="L270:N270"/>
    <mergeCell ref="P270:R270"/>
    <mergeCell ref="AJ270:AL270"/>
    <mergeCell ref="T271:V271"/>
    <mergeCell ref="T272:V272"/>
    <mergeCell ref="T273:V273"/>
    <mergeCell ref="X273:Z273"/>
    <mergeCell ref="T274:V274"/>
    <mergeCell ref="X274:Z274"/>
    <mergeCell ref="T275:V275"/>
    <mergeCell ref="X275:Z275"/>
    <mergeCell ref="AF274:AH274"/>
    <mergeCell ref="AF275:AH275"/>
    <mergeCell ref="AB272:AD272"/>
    <mergeCell ref="AB273:AD273"/>
    <mergeCell ref="AF273:AH273"/>
    <mergeCell ref="AJ273:AL273"/>
    <mergeCell ref="AB274:AD274"/>
    <mergeCell ref="AJ274:AL274"/>
    <mergeCell ref="AB275:AD275"/>
    <mergeCell ref="AJ275:AL275"/>
    <mergeCell ref="P275:R275"/>
    <mergeCell ref="P276:R276"/>
    <mergeCell ref="T276:V276"/>
    <mergeCell ref="X276:Z276"/>
    <mergeCell ref="AB276:AD276"/>
    <mergeCell ref="AF276:AH276"/>
    <mergeCell ref="AJ276:AL276"/>
    <mergeCell ref="L277:N277"/>
    <mergeCell ref="P277:R277"/>
    <mergeCell ref="T277:V277"/>
    <mergeCell ref="X277:Z277"/>
    <mergeCell ref="AB277:AD277"/>
    <mergeCell ref="AF277:AH277"/>
    <mergeCell ref="AJ277:AL277"/>
    <mergeCell ref="AF278:AH278"/>
    <mergeCell ref="L279:N279"/>
    <mergeCell ref="L281:N281"/>
    <mergeCell ref="P281:R281"/>
    <mergeCell ref="T281:V281"/>
    <mergeCell ref="X281:Z281"/>
    <mergeCell ref="AB281:AD281"/>
    <mergeCell ref="AF281:AH281"/>
    <mergeCell ref="AJ281:AL281"/>
    <mergeCell ref="M284:O284"/>
    <mergeCell ref="L297:N297"/>
    <mergeCell ref="L299:N299"/>
    <mergeCell ref="L301:N301"/>
    <mergeCell ref="L272:N272"/>
    <mergeCell ref="L273:N273"/>
    <mergeCell ref="P273:R273"/>
    <mergeCell ref="L274:N274"/>
    <mergeCell ref="P274:R274"/>
    <mergeCell ref="L275:N275"/>
    <mergeCell ref="L276:N276"/>
    <mergeCell ref="P279:R279"/>
    <mergeCell ref="T279:V279"/>
    <mergeCell ref="X279:Z279"/>
    <mergeCell ref="AB279:AD279"/>
    <mergeCell ref="AF279:AH279"/>
    <mergeCell ref="AJ279:AL279"/>
    <mergeCell ref="AF280:AH280"/>
    <mergeCell ref="AF301:AH301"/>
    <mergeCell ref="AV303:AX303"/>
    <mergeCell ref="AZ303:BB303"/>
    <mergeCell ref="BD303:BF303"/>
    <mergeCell ref="AD296:AF296"/>
    <mergeCell ref="P297:R297"/>
    <mergeCell ref="T297:V297"/>
    <mergeCell ref="X297:Z297"/>
    <mergeCell ref="AB297:AD297"/>
    <mergeCell ref="AF297:AH297"/>
    <mergeCell ref="AJ297:AL297"/>
    <mergeCell ref="AB259:AD259"/>
    <mergeCell ref="AB260:AD260"/>
    <mergeCell ref="T257:V257"/>
    <mergeCell ref="T258:V258"/>
    <mergeCell ref="T259:V259"/>
    <mergeCell ref="X259:Z259"/>
    <mergeCell ref="AF259:AH259"/>
    <mergeCell ref="X260:Z260"/>
    <mergeCell ref="AF260:AH260"/>
    <mergeCell ref="AF261:AH261"/>
    <mergeCell ref="AF262:AH262"/>
    <mergeCell ref="T260:V260"/>
    <mergeCell ref="T261:V261"/>
    <mergeCell ref="X261:Z261"/>
    <mergeCell ref="AB261:AD261"/>
    <mergeCell ref="T262:V262"/>
    <mergeCell ref="X262:Z262"/>
    <mergeCell ref="AB262:AD262"/>
    <mergeCell ref="P250:R250"/>
    <mergeCell ref="P251:R251"/>
    <mergeCell ref="P252:R252"/>
    <mergeCell ref="P253:R253"/>
    <mergeCell ref="P254:R254"/>
    <mergeCell ref="P255:R255"/>
    <mergeCell ref="P256:R256"/>
    <mergeCell ref="P257:R257"/>
    <mergeCell ref="P258:R258"/>
    <mergeCell ref="P259:R259"/>
    <mergeCell ref="P260:R260"/>
    <mergeCell ref="P261:R261"/>
    <mergeCell ref="P262:R262"/>
    <mergeCell ref="P263:R263"/>
    <mergeCell ref="P239:R239"/>
    <mergeCell ref="P240:R240"/>
    <mergeCell ref="L241:N241"/>
    <mergeCell ref="P241:R241"/>
    <mergeCell ref="T241:V241"/>
    <mergeCell ref="P242:R242"/>
    <mergeCell ref="T242:V242"/>
    <mergeCell ref="L242:N242"/>
    <mergeCell ref="L243:N243"/>
    <mergeCell ref="P243:R243"/>
    <mergeCell ref="T243:V243"/>
    <mergeCell ref="L245:N245"/>
    <mergeCell ref="T245:V245"/>
    <mergeCell ref="T246:V246"/>
    <mergeCell ref="L248:N248"/>
    <mergeCell ref="P248:R248"/>
    <mergeCell ref="T248:V248"/>
    <mergeCell ref="L249:N249"/>
    <mergeCell ref="P249:R249"/>
    <mergeCell ref="L250:N250"/>
    <mergeCell ref="T251:V251"/>
    <mergeCell ref="AJ259:AL259"/>
    <mergeCell ref="AJ260:AL260"/>
    <mergeCell ref="AJ261:AL261"/>
    <mergeCell ref="AJ262:AL262"/>
    <mergeCell ref="AJ263:AL263"/>
    <mergeCell ref="AJ264:AL264"/>
    <mergeCell ref="AJ265:AL265"/>
    <mergeCell ref="T249:V249"/>
    <mergeCell ref="T250:V250"/>
    <mergeCell ref="T252:V252"/>
    <mergeCell ref="T253:V253"/>
    <mergeCell ref="T254:V254"/>
    <mergeCell ref="T255:V255"/>
    <mergeCell ref="T256:V256"/>
    <mergeCell ref="P264:R264"/>
    <mergeCell ref="P265:R265"/>
    <mergeCell ref="X264:Z264"/>
    <mergeCell ref="X265:Z265"/>
    <mergeCell ref="L262:N262"/>
    <mergeCell ref="L263:N263"/>
    <mergeCell ref="T263:V263"/>
    <mergeCell ref="X263:Z263"/>
    <mergeCell ref="AB263:AD263"/>
    <mergeCell ref="AF263:AH263"/>
    <mergeCell ref="AF264:AH264"/>
    <mergeCell ref="AF265:AH265"/>
    <mergeCell ref="AF266:AH266"/>
    <mergeCell ref="L261:N261"/>
    <mergeCell ref="L264:N264"/>
    <mergeCell ref="T264:V264"/>
    <mergeCell ref="AB264:AD264"/>
    <mergeCell ref="L265:N265"/>
    <mergeCell ref="T265:V265"/>
    <mergeCell ref="AB265:AD265"/>
    <mergeCell ref="T266:V266"/>
    <mergeCell ref="T267:V267"/>
    <mergeCell ref="AB266:AD266"/>
    <mergeCell ref="AB267:AD267"/>
    <mergeCell ref="AJ266:AL266"/>
    <mergeCell ref="AJ267:AL267"/>
    <mergeCell ref="AJ268:AL268"/>
    <mergeCell ref="P267:R267"/>
    <mergeCell ref="P268:R268"/>
    <mergeCell ref="T270:V270"/>
    <mergeCell ref="X270:Z270"/>
    <mergeCell ref="L271:N271"/>
    <mergeCell ref="P271:R271"/>
    <mergeCell ref="X271:Z271"/>
    <mergeCell ref="P272:R272"/>
    <mergeCell ref="X272:Z272"/>
    <mergeCell ref="AB270:AD270"/>
    <mergeCell ref="AF270:AH270"/>
    <mergeCell ref="AB271:AD271"/>
    <mergeCell ref="AF271:AH271"/>
    <mergeCell ref="AJ271:AL271"/>
    <mergeCell ref="AF272:AH272"/>
    <mergeCell ref="AJ272:AL272"/>
    <mergeCell ref="L311:N311"/>
    <mergeCell ref="P311:R311"/>
    <mergeCell ref="T311:V311"/>
    <mergeCell ref="X311:Z311"/>
    <mergeCell ref="AB311:AD311"/>
    <mergeCell ref="AF311:AH311"/>
    <mergeCell ref="AJ311:AL311"/>
    <mergeCell ref="L313:N313"/>
    <mergeCell ref="P313:R313"/>
    <mergeCell ref="T313:V313"/>
    <mergeCell ref="X313:Z313"/>
    <mergeCell ref="AB313:AD313"/>
    <mergeCell ref="AF313:AH313"/>
    <mergeCell ref="AJ313:AL313"/>
    <mergeCell ref="X333:Z333"/>
    <mergeCell ref="X334:Z334"/>
    <mergeCell ref="AF333:AH333"/>
    <mergeCell ref="AF334:AH334"/>
    <mergeCell ref="L333:N333"/>
    <mergeCell ref="T333:V333"/>
    <mergeCell ref="AB333:AD333"/>
    <mergeCell ref="AJ333:AL333"/>
    <mergeCell ref="L334:N334"/>
    <mergeCell ref="T334:V334"/>
    <mergeCell ref="AB334:AD334"/>
    <mergeCell ref="AJ334:AL334"/>
    <mergeCell ref="P333:R333"/>
    <mergeCell ref="P334:R334"/>
    <mergeCell ref="L335:N335"/>
    <mergeCell ref="P335:R335"/>
    <mergeCell ref="T335:V335"/>
    <mergeCell ref="X335:Z335"/>
    <mergeCell ref="AB335:AD335"/>
    <mergeCell ref="X337:Z337"/>
    <mergeCell ref="X338:Z338"/>
    <mergeCell ref="X349:Z349"/>
    <mergeCell ref="AB349:AD349"/>
    <mergeCell ref="AF349:AH349"/>
    <mergeCell ref="X351:Z351"/>
    <mergeCell ref="AB351:AD351"/>
    <mergeCell ref="AF351:AH351"/>
    <mergeCell ref="AF337:AH337"/>
    <mergeCell ref="AF338:AH338"/>
    <mergeCell ref="AJ339:AL339"/>
    <mergeCell ref="L337:N337"/>
    <mergeCell ref="T337:V337"/>
    <mergeCell ref="AB337:AD337"/>
    <mergeCell ref="AJ337:AL337"/>
    <mergeCell ref="L338:N338"/>
    <mergeCell ref="T338:V338"/>
    <mergeCell ref="AB338:AD338"/>
    <mergeCell ref="AI353:AK353"/>
    <mergeCell ref="AV353:AX353"/>
    <mergeCell ref="AZ353:BB353"/>
    <mergeCell ref="BD353:BF353"/>
    <mergeCell ref="L351:N351"/>
    <mergeCell ref="L353:N353"/>
    <mergeCell ref="P353:R353"/>
    <mergeCell ref="T353:V353"/>
    <mergeCell ref="X353:Z353"/>
    <mergeCell ref="AB353:AD353"/>
    <mergeCell ref="AF353:AH353"/>
    <mergeCell ref="P337:R337"/>
    <mergeCell ref="P338:R338"/>
    <mergeCell ref="L349:N349"/>
    <mergeCell ref="P349:R349"/>
    <mergeCell ref="T349:V349"/>
    <mergeCell ref="P351:R351"/>
    <mergeCell ref="T351:V351"/>
    <mergeCell ref="P377:R377"/>
    <mergeCell ref="T377:V377"/>
    <mergeCell ref="P379:R379"/>
    <mergeCell ref="T379:V379"/>
    <mergeCell ref="X379:Z379"/>
    <mergeCell ref="AB379:AD379"/>
    <mergeCell ref="AF379:AH379"/>
    <mergeCell ref="L379:N379"/>
    <mergeCell ref="L381:N381"/>
    <mergeCell ref="P381:R381"/>
    <mergeCell ref="T381:V381"/>
    <mergeCell ref="X381:Z381"/>
    <mergeCell ref="AB381:AD381"/>
    <mergeCell ref="AF381:AH381"/>
    <mergeCell ref="AB383:AD383"/>
    <mergeCell ref="AB384:AD384"/>
    <mergeCell ref="L383:N383"/>
    <mergeCell ref="P383:R383"/>
    <mergeCell ref="X383:Z383"/>
    <mergeCell ref="AF383:AH383"/>
    <mergeCell ref="L384:N384"/>
    <mergeCell ref="P384:R384"/>
    <mergeCell ref="X384:Z384"/>
    <mergeCell ref="AF384:AH384"/>
    <mergeCell ref="T383:V383"/>
    <mergeCell ref="T384:V384"/>
    <mergeCell ref="P385:R385"/>
    <mergeCell ref="T385:V385"/>
    <mergeCell ref="X385:Z385"/>
    <mergeCell ref="AB385:AD385"/>
    <mergeCell ref="AF385:AH385"/>
    <mergeCell ref="L385:N385"/>
    <mergeCell ref="L387:N387"/>
    <mergeCell ref="P387:R387"/>
    <mergeCell ref="T387:V387"/>
    <mergeCell ref="X387:Z387"/>
    <mergeCell ref="AB387:AD387"/>
    <mergeCell ref="AF387:AH387"/>
    <mergeCell ref="X369:Z369"/>
    <mergeCell ref="AB369:AD369"/>
    <mergeCell ref="L367:N367"/>
    <mergeCell ref="P367:R367"/>
    <mergeCell ref="T367:V367"/>
    <mergeCell ref="X367:Z367"/>
    <mergeCell ref="AB367:AD367"/>
    <mergeCell ref="AF367:AH367"/>
    <mergeCell ref="L369:N369"/>
    <mergeCell ref="AF369:AH369"/>
    <mergeCell ref="P369:R369"/>
    <mergeCell ref="T369:V369"/>
    <mergeCell ref="P371:R371"/>
    <mergeCell ref="T371:V371"/>
    <mergeCell ref="X371:Z371"/>
    <mergeCell ref="AB371:AD371"/>
    <mergeCell ref="AF371:AH371"/>
    <mergeCell ref="L371:N371"/>
    <mergeCell ref="L373:N373"/>
    <mergeCell ref="P373:R373"/>
    <mergeCell ref="T373:V373"/>
    <mergeCell ref="X373:Z373"/>
    <mergeCell ref="AB373:AD373"/>
    <mergeCell ref="AF373:AH373"/>
    <mergeCell ref="X377:Z377"/>
    <mergeCell ref="AB377:AD377"/>
    <mergeCell ref="L375:N375"/>
    <mergeCell ref="P375:R375"/>
    <mergeCell ref="T375:V375"/>
    <mergeCell ref="X375:Z375"/>
    <mergeCell ref="AB375:AD375"/>
    <mergeCell ref="AF375:AH375"/>
    <mergeCell ref="L377:N377"/>
    <mergeCell ref="AF377:AH377"/>
    <mergeCell ref="AJ391:AL391"/>
    <mergeCell ref="AJ393:AL393"/>
    <mergeCell ref="AF303:AH303"/>
    <mergeCell ref="AI303:AK303"/>
    <mergeCell ref="AJ306:AL306"/>
    <mergeCell ref="AJ308:AL308"/>
    <mergeCell ref="AJ310:AL310"/>
    <mergeCell ref="AJ312:AL312"/>
    <mergeCell ref="AJ314:AL314"/>
    <mergeCell ref="AJ330:AL330"/>
    <mergeCell ref="AJ332:AL332"/>
    <mergeCell ref="AJ343:AL343"/>
    <mergeCell ref="AJ316:AL316"/>
    <mergeCell ref="AJ318:AL318"/>
    <mergeCell ref="AJ320:AL320"/>
    <mergeCell ref="AJ322:AL322"/>
    <mergeCell ref="AJ324:AL324"/>
    <mergeCell ref="AJ326:AL326"/>
    <mergeCell ref="AJ328:AL328"/>
    <mergeCell ref="L317:N317"/>
    <mergeCell ref="P317:R317"/>
    <mergeCell ref="T317:V317"/>
    <mergeCell ref="X317:Z317"/>
    <mergeCell ref="AB317:AD317"/>
    <mergeCell ref="AF317:AH317"/>
    <mergeCell ref="AJ317:AL317"/>
    <mergeCell ref="L319:N319"/>
    <mergeCell ref="P319:R319"/>
    <mergeCell ref="T319:V319"/>
    <mergeCell ref="X319:Z319"/>
    <mergeCell ref="AB319:AD319"/>
    <mergeCell ref="AF319:AH319"/>
    <mergeCell ref="AJ319:AL319"/>
    <mergeCell ref="L321:N321"/>
    <mergeCell ref="P321:R321"/>
    <mergeCell ref="T321:V321"/>
    <mergeCell ref="X321:Z321"/>
    <mergeCell ref="AB321:AD321"/>
    <mergeCell ref="AF321:AH321"/>
    <mergeCell ref="AJ321:AL321"/>
    <mergeCell ref="L323:N323"/>
    <mergeCell ref="P323:R323"/>
    <mergeCell ref="T323:V323"/>
    <mergeCell ref="X323:Z323"/>
    <mergeCell ref="AB323:AD323"/>
    <mergeCell ref="AF323:AH323"/>
    <mergeCell ref="AJ323:AL323"/>
    <mergeCell ref="L325:N325"/>
    <mergeCell ref="P325:R325"/>
    <mergeCell ref="T325:V325"/>
    <mergeCell ref="X325:Z325"/>
    <mergeCell ref="AB325:AD325"/>
    <mergeCell ref="AF325:AH325"/>
    <mergeCell ref="AJ325:AL325"/>
    <mergeCell ref="L327:N327"/>
    <mergeCell ref="P327:R327"/>
    <mergeCell ref="T327:V327"/>
    <mergeCell ref="X327:Z327"/>
    <mergeCell ref="AB327:AD327"/>
    <mergeCell ref="AF327:AH327"/>
    <mergeCell ref="AJ327:AL327"/>
    <mergeCell ref="L329:N329"/>
    <mergeCell ref="P329:R329"/>
    <mergeCell ref="T329:V329"/>
    <mergeCell ref="X329:Z329"/>
    <mergeCell ref="AB329:AD329"/>
    <mergeCell ref="AF329:AH329"/>
    <mergeCell ref="AJ329:AL329"/>
    <mergeCell ref="L331:N331"/>
    <mergeCell ref="P331:R331"/>
    <mergeCell ref="T331:V331"/>
    <mergeCell ref="X331:Z331"/>
    <mergeCell ref="AB331:AD331"/>
    <mergeCell ref="AF331:AH331"/>
    <mergeCell ref="AJ331:AL331"/>
    <mergeCell ref="P299:R299"/>
    <mergeCell ref="T299:V299"/>
    <mergeCell ref="X299:Z299"/>
    <mergeCell ref="AB299:AD299"/>
    <mergeCell ref="AF299:AH299"/>
    <mergeCell ref="P301:R301"/>
    <mergeCell ref="T301:V301"/>
    <mergeCell ref="X301:Z301"/>
    <mergeCell ref="AB301:AD301"/>
    <mergeCell ref="L303:N303"/>
    <mergeCell ref="P303:R303"/>
    <mergeCell ref="T303:V303"/>
    <mergeCell ref="X303:Z303"/>
    <mergeCell ref="AB303:AD303"/>
    <mergeCell ref="L305:N305"/>
    <mergeCell ref="P305:R305"/>
    <mergeCell ref="T305:V305"/>
    <mergeCell ref="X305:Z305"/>
    <mergeCell ref="AB305:AD305"/>
    <mergeCell ref="AF305:AH305"/>
    <mergeCell ref="AJ305:AL305"/>
    <mergeCell ref="L307:N307"/>
    <mergeCell ref="P307:R307"/>
    <mergeCell ref="T307:V307"/>
    <mergeCell ref="X307:Z307"/>
    <mergeCell ref="AB307:AD307"/>
    <mergeCell ref="AF307:AH307"/>
    <mergeCell ref="AJ307:AL307"/>
    <mergeCell ref="L309:N309"/>
    <mergeCell ref="P309:R309"/>
    <mergeCell ref="T309:V309"/>
    <mergeCell ref="X309:Z309"/>
    <mergeCell ref="AB309:AD309"/>
    <mergeCell ref="AF309:AH309"/>
    <mergeCell ref="AJ309:AL309"/>
    <mergeCell ref="L315:N315"/>
    <mergeCell ref="P315:R315"/>
    <mergeCell ref="T315:V315"/>
    <mergeCell ref="X315:Z315"/>
    <mergeCell ref="AB315:AD315"/>
    <mergeCell ref="AF315:AH315"/>
    <mergeCell ref="AJ315:AL315"/>
    <mergeCell ref="AF335:AH335"/>
    <mergeCell ref="AJ335:AL335"/>
    <mergeCell ref="AJ336:AL336"/>
    <mergeCell ref="P355:R355"/>
    <mergeCell ref="T355:V355"/>
    <mergeCell ref="X355:Z355"/>
    <mergeCell ref="AB355:AD355"/>
    <mergeCell ref="AF355:AH355"/>
    <mergeCell ref="AJ355:AL355"/>
    <mergeCell ref="AJ356:AL356"/>
    <mergeCell ref="AJ357:AL357"/>
    <mergeCell ref="AJ358:AL358"/>
    <mergeCell ref="AJ359:AL359"/>
    <mergeCell ref="AJ360:AL360"/>
    <mergeCell ref="AJ361:AL361"/>
    <mergeCell ref="AJ362:AL362"/>
    <mergeCell ref="L355:N355"/>
    <mergeCell ref="L357:N357"/>
    <mergeCell ref="P357:R357"/>
    <mergeCell ref="T357:V357"/>
    <mergeCell ref="X357:Z357"/>
    <mergeCell ref="AB357:AD357"/>
    <mergeCell ref="AF357:AH357"/>
    <mergeCell ref="X361:Z361"/>
    <mergeCell ref="AB361:AD361"/>
    <mergeCell ref="L359:N359"/>
    <mergeCell ref="P359:R359"/>
    <mergeCell ref="T359:V359"/>
    <mergeCell ref="X359:Z359"/>
    <mergeCell ref="AB359:AD359"/>
    <mergeCell ref="AF359:AH359"/>
    <mergeCell ref="L361:N361"/>
    <mergeCell ref="AF361:AH361"/>
    <mergeCell ref="P361:R361"/>
    <mergeCell ref="T361:V361"/>
    <mergeCell ref="P363:R363"/>
    <mergeCell ref="T363:V363"/>
    <mergeCell ref="X363:Z363"/>
    <mergeCell ref="AB363:AD363"/>
    <mergeCell ref="AF363:AH363"/>
    <mergeCell ref="L363:N363"/>
    <mergeCell ref="L365:N365"/>
    <mergeCell ref="P365:R365"/>
    <mergeCell ref="T365:V365"/>
    <mergeCell ref="X365:Z365"/>
    <mergeCell ref="AB365:AD365"/>
    <mergeCell ref="AF365:AH365"/>
    <mergeCell ref="L16:N16"/>
    <mergeCell ref="P16:R16"/>
    <mergeCell ref="T16:V16"/>
    <mergeCell ref="X16:Z16"/>
    <mergeCell ref="AB16:AD16"/>
    <mergeCell ref="AF16:AH16"/>
    <mergeCell ref="AJ16:AL16"/>
    <mergeCell ref="L18:N18"/>
    <mergeCell ref="P18:R18"/>
    <mergeCell ref="T18:V18"/>
    <mergeCell ref="X18:Z18"/>
    <mergeCell ref="AB18:AD18"/>
    <mergeCell ref="AF18:AH18"/>
    <mergeCell ref="AJ18:AL18"/>
    <mergeCell ref="L20:N20"/>
    <mergeCell ref="P20:R20"/>
    <mergeCell ref="T20:V20"/>
    <mergeCell ref="X20:Z20"/>
    <mergeCell ref="AB20:AD20"/>
    <mergeCell ref="AF20:AH20"/>
    <mergeCell ref="AJ20:AL20"/>
    <mergeCell ref="L22:N22"/>
    <mergeCell ref="P22:R22"/>
    <mergeCell ref="T22:V22"/>
    <mergeCell ref="X22:Z22"/>
    <mergeCell ref="AB22:AD22"/>
    <mergeCell ref="AF22:AH22"/>
    <mergeCell ref="AJ22:AL22"/>
    <mergeCell ref="L24:N24"/>
    <mergeCell ref="P24:R24"/>
    <mergeCell ref="T24:V24"/>
    <mergeCell ref="X24:Z24"/>
    <mergeCell ref="AB24:AD24"/>
    <mergeCell ref="AF24:AH24"/>
    <mergeCell ref="AJ24:AL24"/>
    <mergeCell ref="L26:N26"/>
    <mergeCell ref="P26:R26"/>
    <mergeCell ref="T26:V26"/>
    <mergeCell ref="X26:Z26"/>
    <mergeCell ref="AB26:AD26"/>
    <mergeCell ref="AF26:AH26"/>
    <mergeCell ref="AJ26:AL26"/>
    <mergeCell ref="L28:N28"/>
    <mergeCell ref="P28:R28"/>
    <mergeCell ref="T28:V28"/>
    <mergeCell ref="X28:Z28"/>
    <mergeCell ref="AB28:AD28"/>
    <mergeCell ref="AF28:AH28"/>
    <mergeCell ref="AJ28:AL28"/>
    <mergeCell ref="L30:N30"/>
    <mergeCell ref="P30:R30"/>
    <mergeCell ref="T30:V30"/>
    <mergeCell ref="X30:Z30"/>
    <mergeCell ref="AB30:AD30"/>
    <mergeCell ref="AF30:AH30"/>
    <mergeCell ref="AJ30:AL30"/>
    <mergeCell ref="L32:N32"/>
    <mergeCell ref="P32:R32"/>
    <mergeCell ref="T32:V32"/>
    <mergeCell ref="X32:Z32"/>
    <mergeCell ref="AB32:AD32"/>
    <mergeCell ref="AF32:AH32"/>
    <mergeCell ref="AJ32:AL32"/>
    <mergeCell ref="L34:N34"/>
    <mergeCell ref="P34:R34"/>
    <mergeCell ref="T34:V34"/>
    <mergeCell ref="X34:Z34"/>
    <mergeCell ref="AB34:AD34"/>
    <mergeCell ref="AF34:AH34"/>
    <mergeCell ref="AJ34:AL34"/>
    <mergeCell ref="L36:N36"/>
    <mergeCell ref="P36:R36"/>
    <mergeCell ref="T36:V36"/>
    <mergeCell ref="X36:Z36"/>
    <mergeCell ref="AB36:AD36"/>
    <mergeCell ref="AF36:AH36"/>
    <mergeCell ref="AJ36:AL36"/>
    <mergeCell ref="L38:N38"/>
    <mergeCell ref="P38:R38"/>
    <mergeCell ref="T38:V38"/>
    <mergeCell ref="X38:Z38"/>
    <mergeCell ref="AB38:AD38"/>
    <mergeCell ref="AF38:AH38"/>
    <mergeCell ref="AJ38:AL38"/>
    <mergeCell ref="L40:N40"/>
    <mergeCell ref="P40:R40"/>
    <mergeCell ref="T40:V40"/>
    <mergeCell ref="X40:Z40"/>
    <mergeCell ref="AB40:AD40"/>
    <mergeCell ref="AF40:AH40"/>
    <mergeCell ref="AJ40:AL40"/>
    <mergeCell ref="L42:N42"/>
    <mergeCell ref="P42:R42"/>
    <mergeCell ref="T42:V42"/>
    <mergeCell ref="X42:Z42"/>
    <mergeCell ref="AB42:AD42"/>
    <mergeCell ref="AF42:AH42"/>
    <mergeCell ref="AJ42:AL42"/>
    <mergeCell ref="L44:N44"/>
    <mergeCell ref="P44:R44"/>
    <mergeCell ref="T44:V44"/>
    <mergeCell ref="X44:Z44"/>
    <mergeCell ref="AB44:AD44"/>
    <mergeCell ref="AF44:AH44"/>
    <mergeCell ref="AJ44:AL44"/>
    <mergeCell ref="L46:N46"/>
    <mergeCell ref="P46:R46"/>
    <mergeCell ref="T46:V46"/>
    <mergeCell ref="X46:Z46"/>
    <mergeCell ref="AB46:AD46"/>
    <mergeCell ref="AF46:AH46"/>
    <mergeCell ref="AJ46:AL46"/>
    <mergeCell ref="AB5:AD5"/>
    <mergeCell ref="AF5:AH5"/>
    <mergeCell ref="AJ5:AL5"/>
    <mergeCell ref="AJ8:AL8"/>
    <mergeCell ref="P2:Q2"/>
    <mergeCell ref="AD2:AF3"/>
    <mergeCell ref="B4:D5"/>
    <mergeCell ref="L5:N5"/>
    <mergeCell ref="P5:R5"/>
    <mergeCell ref="T5:V5"/>
    <mergeCell ref="X5:Z5"/>
    <mergeCell ref="AB10:AD10"/>
    <mergeCell ref="AF10:AH10"/>
    <mergeCell ref="AJ10:AL10"/>
    <mergeCell ref="E6:G8"/>
    <mergeCell ref="H6:H8"/>
    <mergeCell ref="J6:J8"/>
    <mergeCell ref="L10:N10"/>
    <mergeCell ref="P10:R10"/>
    <mergeCell ref="T10:V10"/>
    <mergeCell ref="X10:Z10"/>
    <mergeCell ref="L12:N12"/>
    <mergeCell ref="P12:R12"/>
    <mergeCell ref="T12:V12"/>
    <mergeCell ref="X12:Z12"/>
    <mergeCell ref="AB12:AD12"/>
    <mergeCell ref="AF12:AH12"/>
    <mergeCell ref="AJ12:AL12"/>
    <mergeCell ref="L14:N14"/>
    <mergeCell ref="P14:R14"/>
    <mergeCell ref="T14:V14"/>
    <mergeCell ref="X14:Z14"/>
    <mergeCell ref="AB14:AD14"/>
    <mergeCell ref="AF14:AH14"/>
    <mergeCell ref="AJ14:AL14"/>
    <mergeCell ref="L48:N48"/>
    <mergeCell ref="P48:R48"/>
    <mergeCell ref="T48:V48"/>
    <mergeCell ref="X48:Z48"/>
    <mergeCell ref="AB48:AD48"/>
    <mergeCell ref="AF48:AH48"/>
    <mergeCell ref="AJ48:AL48"/>
    <mergeCell ref="X52:Z52"/>
    <mergeCell ref="AB52:AD52"/>
    <mergeCell ref="L50:N50"/>
    <mergeCell ref="P50:R50"/>
    <mergeCell ref="T50:V50"/>
    <mergeCell ref="X50:Z50"/>
    <mergeCell ref="AB50:AD50"/>
    <mergeCell ref="AF50:AH50"/>
    <mergeCell ref="L52:N52"/>
    <mergeCell ref="AF52:AH52"/>
    <mergeCell ref="AF54:AH54"/>
    <mergeCell ref="AJ54:AL54"/>
    <mergeCell ref="P52:R52"/>
    <mergeCell ref="T52:V52"/>
    <mergeCell ref="L54:N54"/>
    <mergeCell ref="P54:R54"/>
    <mergeCell ref="T54:V54"/>
    <mergeCell ref="X54:Z54"/>
    <mergeCell ref="AB54:AD54"/>
    <mergeCell ref="L56:N56"/>
    <mergeCell ref="P56:R56"/>
    <mergeCell ref="T56:V56"/>
    <mergeCell ref="X56:Z56"/>
    <mergeCell ref="AB56:AD56"/>
    <mergeCell ref="AF56:AH56"/>
    <mergeCell ref="AJ56:AL56"/>
    <mergeCell ref="L58:N58"/>
    <mergeCell ref="P58:R58"/>
    <mergeCell ref="T58:V58"/>
    <mergeCell ref="X58:Z58"/>
    <mergeCell ref="AB58:AD58"/>
    <mergeCell ref="AF58:AH58"/>
    <mergeCell ref="AJ58:AL58"/>
    <mergeCell ref="L61:N61"/>
    <mergeCell ref="P61:R61"/>
    <mergeCell ref="T61:V61"/>
    <mergeCell ref="X61:Z61"/>
    <mergeCell ref="AB61:AD61"/>
    <mergeCell ref="AF61:AH61"/>
    <mergeCell ref="AJ61:AL61"/>
    <mergeCell ref="L77:N77"/>
    <mergeCell ref="P77:R77"/>
    <mergeCell ref="T77:V77"/>
    <mergeCell ref="X77:Z77"/>
    <mergeCell ref="AB77:AD77"/>
    <mergeCell ref="AF77:AH77"/>
    <mergeCell ref="AJ77:AL77"/>
    <mergeCell ref="L79:N79"/>
    <mergeCell ref="P79:R79"/>
    <mergeCell ref="T79:V79"/>
    <mergeCell ref="X79:Z79"/>
    <mergeCell ref="AB79:AD79"/>
    <mergeCell ref="AF79:AH79"/>
    <mergeCell ref="AJ79:AL79"/>
    <mergeCell ref="L81:N81"/>
    <mergeCell ref="P81:R81"/>
    <mergeCell ref="T81:V81"/>
    <mergeCell ref="X81:Z81"/>
    <mergeCell ref="AB81:AD81"/>
    <mergeCell ref="AF81:AH81"/>
    <mergeCell ref="AJ81:AL81"/>
    <mergeCell ref="L83:N83"/>
    <mergeCell ref="P83:R83"/>
    <mergeCell ref="T83:V83"/>
    <mergeCell ref="X83:Z83"/>
    <mergeCell ref="AB83:AD83"/>
    <mergeCell ref="AF83:AH83"/>
    <mergeCell ref="AJ83:AL83"/>
    <mergeCell ref="L85:N85"/>
    <mergeCell ref="P85:R85"/>
    <mergeCell ref="T85:V85"/>
    <mergeCell ref="X85:Z85"/>
    <mergeCell ref="AB85:AD85"/>
    <mergeCell ref="AF85:AH85"/>
    <mergeCell ref="AJ85:AL85"/>
    <mergeCell ref="L87:N87"/>
    <mergeCell ref="P87:R87"/>
    <mergeCell ref="T87:V87"/>
    <mergeCell ref="X87:Z87"/>
    <mergeCell ref="AB87:AD87"/>
    <mergeCell ref="AF87:AH87"/>
    <mergeCell ref="AJ87:AL87"/>
    <mergeCell ref="L89:N89"/>
    <mergeCell ref="P89:R89"/>
    <mergeCell ref="T89:V89"/>
    <mergeCell ref="X89:Z89"/>
    <mergeCell ref="AB89:AD89"/>
    <mergeCell ref="AF89:AH89"/>
    <mergeCell ref="AJ89:AL89"/>
    <mergeCell ref="L91:N91"/>
    <mergeCell ref="P91:R91"/>
    <mergeCell ref="T91:V91"/>
    <mergeCell ref="X91:Z91"/>
    <mergeCell ref="AB91:AD91"/>
    <mergeCell ref="AF91:AH91"/>
    <mergeCell ref="AJ91:AL91"/>
    <mergeCell ref="L93:N93"/>
    <mergeCell ref="P93:R93"/>
    <mergeCell ref="T93:V93"/>
    <mergeCell ref="X93:Z93"/>
    <mergeCell ref="AB93:AD93"/>
    <mergeCell ref="AF93:AH93"/>
    <mergeCell ref="AJ93:AL93"/>
    <mergeCell ref="L95:N95"/>
    <mergeCell ref="P95:R95"/>
    <mergeCell ref="T95:V95"/>
    <mergeCell ref="X95:Z95"/>
    <mergeCell ref="AB95:AD95"/>
    <mergeCell ref="AF95:AH95"/>
    <mergeCell ref="AJ95:AL95"/>
    <mergeCell ref="L65:N65"/>
    <mergeCell ref="P65:R65"/>
    <mergeCell ref="T65:V65"/>
    <mergeCell ref="X65:Z65"/>
    <mergeCell ref="AB65:AD65"/>
    <mergeCell ref="AF65:AH65"/>
    <mergeCell ref="AJ65:AL65"/>
    <mergeCell ref="L67:N67"/>
    <mergeCell ref="P67:R67"/>
    <mergeCell ref="T67:V67"/>
    <mergeCell ref="X67:Z67"/>
    <mergeCell ref="AB67:AD67"/>
    <mergeCell ref="AF67:AH67"/>
    <mergeCell ref="AJ67:AL67"/>
    <mergeCell ref="L69:N69"/>
    <mergeCell ref="P69:R69"/>
    <mergeCell ref="T69:V69"/>
    <mergeCell ref="X69:Z69"/>
    <mergeCell ref="AB69:AD69"/>
    <mergeCell ref="AF69:AH69"/>
    <mergeCell ref="AJ69:AL69"/>
    <mergeCell ref="L71:N71"/>
    <mergeCell ref="P71:R71"/>
    <mergeCell ref="T71:V71"/>
    <mergeCell ref="X71:Z71"/>
    <mergeCell ref="AB71:AD71"/>
    <mergeCell ref="AF71:AH71"/>
    <mergeCell ref="AJ71:AL71"/>
    <mergeCell ref="L73:N73"/>
    <mergeCell ref="P73:R73"/>
    <mergeCell ref="T73:V73"/>
    <mergeCell ref="X73:Z73"/>
    <mergeCell ref="AB73:AD73"/>
    <mergeCell ref="AF73:AH73"/>
    <mergeCell ref="AJ73:AL73"/>
    <mergeCell ref="L75:N75"/>
    <mergeCell ref="P75:R75"/>
    <mergeCell ref="T75:V75"/>
    <mergeCell ref="X75:Z75"/>
    <mergeCell ref="AB75:AD75"/>
    <mergeCell ref="AF75:AH75"/>
    <mergeCell ref="AJ75:AL75"/>
    <mergeCell ref="L97:N97"/>
    <mergeCell ref="P97:R97"/>
    <mergeCell ref="T97:V97"/>
    <mergeCell ref="X97:Z97"/>
    <mergeCell ref="AB97:AD97"/>
    <mergeCell ref="AF97:AH97"/>
    <mergeCell ref="AJ97:AL97"/>
    <mergeCell ref="L109:N109"/>
    <mergeCell ref="P109:R109"/>
    <mergeCell ref="T109:V109"/>
    <mergeCell ref="X109:Z109"/>
    <mergeCell ref="AB109:AD109"/>
    <mergeCell ref="AF109:AH109"/>
    <mergeCell ref="AJ109:AL109"/>
    <mergeCell ref="L111:N111"/>
    <mergeCell ref="P111:R111"/>
    <mergeCell ref="T111:V111"/>
    <mergeCell ref="X111:Z111"/>
    <mergeCell ref="AB111:AD111"/>
    <mergeCell ref="AF111:AH111"/>
    <mergeCell ref="AJ111:AL111"/>
    <mergeCell ref="L113:N113"/>
    <mergeCell ref="P113:R113"/>
    <mergeCell ref="T113:V113"/>
    <mergeCell ref="X113:Z113"/>
    <mergeCell ref="AB113:AD113"/>
    <mergeCell ref="AF113:AH113"/>
    <mergeCell ref="AJ113:AL113"/>
    <mergeCell ref="L115:N115"/>
    <mergeCell ref="P115:R115"/>
    <mergeCell ref="T115:V115"/>
    <mergeCell ref="X115:Z115"/>
    <mergeCell ref="AB115:AD115"/>
    <mergeCell ref="AF115:AH115"/>
    <mergeCell ref="AJ115:AL115"/>
    <mergeCell ref="L117:N117"/>
    <mergeCell ref="P117:R117"/>
    <mergeCell ref="T117:V117"/>
    <mergeCell ref="X117:Z117"/>
    <mergeCell ref="AB117:AD117"/>
    <mergeCell ref="AF117:AH117"/>
    <mergeCell ref="AJ117:AL117"/>
    <mergeCell ref="L119:N119"/>
    <mergeCell ref="P119:R119"/>
    <mergeCell ref="T119:V119"/>
    <mergeCell ref="X119:Z119"/>
    <mergeCell ref="AB119:AD119"/>
    <mergeCell ref="AF119:AH119"/>
    <mergeCell ref="AJ119:AL119"/>
    <mergeCell ref="L121:N121"/>
    <mergeCell ref="P121:R121"/>
    <mergeCell ref="T121:V121"/>
    <mergeCell ref="X121:Z121"/>
    <mergeCell ref="AB121:AD121"/>
    <mergeCell ref="AF121:AH121"/>
    <mergeCell ref="AJ121:AL121"/>
    <mergeCell ref="L123:N123"/>
    <mergeCell ref="P123:R123"/>
    <mergeCell ref="T123:V123"/>
    <mergeCell ref="X123:Z123"/>
    <mergeCell ref="AB123:AD123"/>
    <mergeCell ref="AF123:AH123"/>
    <mergeCell ref="AJ123:AL123"/>
    <mergeCell ref="L125:N125"/>
    <mergeCell ref="P125:R125"/>
    <mergeCell ref="T125:V125"/>
    <mergeCell ref="X125:Z125"/>
    <mergeCell ref="AB125:AD125"/>
    <mergeCell ref="AF125:AH125"/>
    <mergeCell ref="AJ125:AL125"/>
    <mergeCell ref="L127:N127"/>
    <mergeCell ref="P127:R127"/>
    <mergeCell ref="T127:V127"/>
    <mergeCell ref="X127:Z127"/>
    <mergeCell ref="AB127:AD127"/>
    <mergeCell ref="AF127:AH127"/>
    <mergeCell ref="AJ127:AL127"/>
    <mergeCell ref="L129:N129"/>
    <mergeCell ref="P129:R129"/>
    <mergeCell ref="T129:V129"/>
    <mergeCell ref="X129:Z129"/>
    <mergeCell ref="AB129:AD129"/>
    <mergeCell ref="AF129:AH129"/>
    <mergeCell ref="AJ129:AL129"/>
    <mergeCell ref="L131:N131"/>
    <mergeCell ref="P131:R131"/>
    <mergeCell ref="T131:V131"/>
    <mergeCell ref="X131:Z131"/>
    <mergeCell ref="AB131:AD131"/>
    <mergeCell ref="AF131:AH131"/>
    <mergeCell ref="AJ131:AL131"/>
    <mergeCell ref="L133:N133"/>
    <mergeCell ref="P133:R133"/>
    <mergeCell ref="T133:V133"/>
    <mergeCell ref="X133:Z133"/>
    <mergeCell ref="AB133:AD133"/>
    <mergeCell ref="AF133:AH133"/>
    <mergeCell ref="AJ133:AL133"/>
    <mergeCell ref="L135:N135"/>
    <mergeCell ref="P135:R135"/>
    <mergeCell ref="T135:V135"/>
    <mergeCell ref="X135:Z135"/>
    <mergeCell ref="AB135:AD135"/>
    <mergeCell ref="AF135:AH135"/>
    <mergeCell ref="AJ135:AL135"/>
    <mergeCell ref="L137:N137"/>
    <mergeCell ref="P137:R137"/>
    <mergeCell ref="T137:V137"/>
    <mergeCell ref="X137:Z137"/>
    <mergeCell ref="AB137:AD137"/>
    <mergeCell ref="AF137:AH137"/>
    <mergeCell ref="AJ137:AL137"/>
    <mergeCell ref="L139:N139"/>
    <mergeCell ref="P139:R139"/>
    <mergeCell ref="T139:V139"/>
    <mergeCell ref="X139:Z139"/>
    <mergeCell ref="AB139:AD139"/>
    <mergeCell ref="AF139:AH139"/>
    <mergeCell ref="AJ139:AL139"/>
    <mergeCell ref="X99:Z99"/>
    <mergeCell ref="X100:Z100"/>
    <mergeCell ref="X101:Z101"/>
    <mergeCell ref="AB101:AD101"/>
    <mergeCell ref="X103:Z103"/>
    <mergeCell ref="AB103:AD103"/>
    <mergeCell ref="AF99:AH99"/>
    <mergeCell ref="AF100:AH100"/>
    <mergeCell ref="AF101:AH101"/>
    <mergeCell ref="AJ101:AL101"/>
    <mergeCell ref="AD102:AF102"/>
    <mergeCell ref="AF103:AH103"/>
    <mergeCell ref="AJ103:AL103"/>
    <mergeCell ref="L99:N99"/>
    <mergeCell ref="T99:V99"/>
    <mergeCell ref="AB99:AD99"/>
    <mergeCell ref="AJ99:AL99"/>
    <mergeCell ref="L100:N100"/>
    <mergeCell ref="T100:V100"/>
    <mergeCell ref="AB100:AD100"/>
    <mergeCell ref="AJ100:AL100"/>
    <mergeCell ref="L103:N103"/>
    <mergeCell ref="L105:N105"/>
    <mergeCell ref="P105:R105"/>
    <mergeCell ref="T105:V105"/>
    <mergeCell ref="X105:Z105"/>
    <mergeCell ref="AB105:AD105"/>
    <mergeCell ref="AF105:AH105"/>
    <mergeCell ref="AJ105:AL105"/>
    <mergeCell ref="P99:R99"/>
    <mergeCell ref="P100:R100"/>
    <mergeCell ref="L101:N101"/>
    <mergeCell ref="P101:R101"/>
    <mergeCell ref="T101:V101"/>
    <mergeCell ref="P103:R103"/>
    <mergeCell ref="T103:V103"/>
    <mergeCell ref="L107:N107"/>
    <mergeCell ref="P107:R107"/>
    <mergeCell ref="T107:V107"/>
    <mergeCell ref="X107:Z107"/>
    <mergeCell ref="AB107:AD107"/>
    <mergeCell ref="AF107:AH107"/>
    <mergeCell ref="AJ107:AL107"/>
    <mergeCell ref="L141:N141"/>
    <mergeCell ref="P141:R141"/>
    <mergeCell ref="T141:V141"/>
    <mergeCell ref="X141:Z141"/>
    <mergeCell ref="AB141:AD141"/>
    <mergeCell ref="AF141:AH141"/>
    <mergeCell ref="AJ141:AL141"/>
    <mergeCell ref="N152:P152"/>
    <mergeCell ref="R152:T152"/>
    <mergeCell ref="V152:X152"/>
    <mergeCell ref="Z152:AB152"/>
    <mergeCell ref="AD152:AF152"/>
    <mergeCell ref="L154:N154"/>
    <mergeCell ref="P154:R154"/>
    <mergeCell ref="T154:V154"/>
    <mergeCell ref="X154:Z154"/>
    <mergeCell ref="L156:N156"/>
    <mergeCell ref="P156:R156"/>
    <mergeCell ref="T156:V156"/>
    <mergeCell ref="X156:Z156"/>
    <mergeCell ref="AB156:AD156"/>
    <mergeCell ref="L158:N158"/>
    <mergeCell ref="P158:R158"/>
    <mergeCell ref="T158:V158"/>
    <mergeCell ref="X158:Z158"/>
    <mergeCell ref="AB158:AD158"/>
    <mergeCell ref="AF158:AH158"/>
    <mergeCell ref="AJ158:AL158"/>
    <mergeCell ref="L160:N160"/>
    <mergeCell ref="P160:R160"/>
    <mergeCell ref="T160:V160"/>
    <mergeCell ref="X160:Z160"/>
    <mergeCell ref="AB160:AD160"/>
    <mergeCell ref="AF160:AH160"/>
    <mergeCell ref="AJ160:AL160"/>
    <mergeCell ref="L168:N168"/>
    <mergeCell ref="P168:R168"/>
    <mergeCell ref="T168:V168"/>
    <mergeCell ref="X168:Z168"/>
    <mergeCell ref="AB168:AD168"/>
    <mergeCell ref="AF168:AH168"/>
    <mergeCell ref="AJ168:AL168"/>
    <mergeCell ref="L170:N170"/>
    <mergeCell ref="P170:R170"/>
    <mergeCell ref="T170:V170"/>
    <mergeCell ref="X170:Z170"/>
    <mergeCell ref="AB170:AD170"/>
    <mergeCell ref="AF170:AH170"/>
    <mergeCell ref="AJ170:AL170"/>
    <mergeCell ref="L162:N162"/>
    <mergeCell ref="P162:R162"/>
    <mergeCell ref="T162:V162"/>
    <mergeCell ref="X162:Z162"/>
    <mergeCell ref="AB162:AD162"/>
    <mergeCell ref="AF162:AH162"/>
    <mergeCell ref="AJ162:AL162"/>
    <mergeCell ref="L165:N165"/>
    <mergeCell ref="P165:R165"/>
    <mergeCell ref="T165:V165"/>
    <mergeCell ref="X165:Z165"/>
    <mergeCell ref="AB165:AD165"/>
    <mergeCell ref="AF165:AH165"/>
    <mergeCell ref="AJ165:AL165"/>
    <mergeCell ref="AJ171:AL171"/>
    <mergeCell ref="AJ172:AL172"/>
    <mergeCell ref="AJ173:AL173"/>
    <mergeCell ref="J174:K174"/>
    <mergeCell ref="L174:N174"/>
    <mergeCell ref="P174:R174"/>
    <mergeCell ref="T174:V174"/>
    <mergeCell ref="AF174:AH174"/>
    <mergeCell ref="X174:Z174"/>
    <mergeCell ref="AB174:AD174"/>
    <mergeCell ref="L176:N176"/>
    <mergeCell ref="P176:R176"/>
    <mergeCell ref="T176:V176"/>
    <mergeCell ref="X176:Z176"/>
    <mergeCell ref="AB176:AD176"/>
    <mergeCell ref="AF178:AH178"/>
    <mergeCell ref="AJ178:AL178"/>
    <mergeCell ref="AF176:AH176"/>
    <mergeCell ref="AJ176:AL176"/>
    <mergeCell ref="L178:N178"/>
    <mergeCell ref="P178:R178"/>
    <mergeCell ref="T178:V178"/>
    <mergeCell ref="X178:Z178"/>
    <mergeCell ref="AB178:AD178"/>
    <mergeCell ref="L144:N144"/>
    <mergeCell ref="P144:R144"/>
    <mergeCell ref="T144:V144"/>
    <mergeCell ref="X144:Z144"/>
    <mergeCell ref="AB144:AD144"/>
    <mergeCell ref="AF144:AH144"/>
    <mergeCell ref="AJ144:AL144"/>
    <mergeCell ref="Z148:AB148"/>
    <mergeCell ref="AD148:AF148"/>
    <mergeCell ref="L146:N146"/>
    <mergeCell ref="P146:R146"/>
    <mergeCell ref="T146:V146"/>
    <mergeCell ref="X146:Z146"/>
    <mergeCell ref="AB146:AD146"/>
    <mergeCell ref="AF146:AH146"/>
    <mergeCell ref="N148:P148"/>
    <mergeCell ref="R148:T148"/>
    <mergeCell ref="V148:X148"/>
    <mergeCell ref="N150:P150"/>
    <mergeCell ref="R150:T150"/>
    <mergeCell ref="V150:X150"/>
    <mergeCell ref="Z150:AB150"/>
    <mergeCell ref="AD150:AF150"/>
    <mergeCell ref="AB154:AD154"/>
    <mergeCell ref="AF154:AH154"/>
    <mergeCell ref="AF156:AH156"/>
    <mergeCell ref="AJ156:AL156"/>
    <mergeCell ref="L180:N180"/>
    <mergeCell ref="P180:R180"/>
    <mergeCell ref="T180:V180"/>
    <mergeCell ref="X180:Z180"/>
    <mergeCell ref="AB180:AD180"/>
    <mergeCell ref="AF180:AH180"/>
    <mergeCell ref="AJ180:AL180"/>
    <mergeCell ref="L190:N190"/>
    <mergeCell ref="C192:E193"/>
    <mergeCell ref="P192:R192"/>
    <mergeCell ref="T192:V192"/>
    <mergeCell ref="X192:Z192"/>
    <mergeCell ref="AB192:AD192"/>
    <mergeCell ref="AF192:AH192"/>
    <mergeCell ref="L192:N192"/>
    <mergeCell ref="L194:N194"/>
    <mergeCell ref="P195:R195"/>
    <mergeCell ref="T195:V195"/>
    <mergeCell ref="X195:Z195"/>
    <mergeCell ref="AB195:AD195"/>
    <mergeCell ref="AF195:AH195"/>
    <mergeCell ref="L217:N217"/>
    <mergeCell ref="P217:R217"/>
    <mergeCell ref="T217:V217"/>
    <mergeCell ref="X217:Z217"/>
    <mergeCell ref="AB217:AD217"/>
    <mergeCell ref="AF217:AH217"/>
    <mergeCell ref="AJ217:AL217"/>
    <mergeCell ref="L219:N219"/>
    <mergeCell ref="P219:R219"/>
    <mergeCell ref="T219:V219"/>
    <mergeCell ref="X219:Z219"/>
    <mergeCell ref="AB219:AD219"/>
    <mergeCell ref="AF219:AH219"/>
    <mergeCell ref="AJ219:AL219"/>
    <mergeCell ref="L221:N221"/>
    <mergeCell ref="P221:R221"/>
    <mergeCell ref="T221:V221"/>
    <mergeCell ref="X221:Z221"/>
    <mergeCell ref="AB221:AD221"/>
    <mergeCell ref="AF221:AH221"/>
    <mergeCell ref="AJ221:AL221"/>
    <mergeCell ref="L223:N223"/>
    <mergeCell ref="P223:R223"/>
    <mergeCell ref="T223:V223"/>
    <mergeCell ref="X223:Z223"/>
    <mergeCell ref="AB223:AD223"/>
    <mergeCell ref="AF223:AH223"/>
    <mergeCell ref="AJ223:AL223"/>
    <mergeCell ref="AJ257:AL257"/>
    <mergeCell ref="AJ258:AL258"/>
    <mergeCell ref="AJ250:AL250"/>
    <mergeCell ref="AJ251:AL251"/>
    <mergeCell ref="AJ252:AL252"/>
    <mergeCell ref="AJ253:AL253"/>
    <mergeCell ref="AJ254:AL254"/>
    <mergeCell ref="AJ255:AL255"/>
    <mergeCell ref="AJ256:AL256"/>
    <mergeCell ref="X239:Z239"/>
    <mergeCell ref="X240:Z240"/>
    <mergeCell ref="X241:Z241"/>
    <mergeCell ref="AB241:AD241"/>
    <mergeCell ref="X242:Z242"/>
    <mergeCell ref="AB242:AD242"/>
    <mergeCell ref="AB243:AD243"/>
    <mergeCell ref="X243:Z243"/>
    <mergeCell ref="X245:Z245"/>
    <mergeCell ref="AB245:AD245"/>
    <mergeCell ref="AF245:AH245"/>
    <mergeCell ref="X246:Z246"/>
    <mergeCell ref="AB246:AD246"/>
    <mergeCell ref="AF246:AH246"/>
    <mergeCell ref="X248:Z248"/>
    <mergeCell ref="AB248:AD248"/>
    <mergeCell ref="AF248:AH248"/>
    <mergeCell ref="AJ248:AL248"/>
    <mergeCell ref="AB249:AD249"/>
    <mergeCell ref="AF249:AH249"/>
    <mergeCell ref="AJ249:AL249"/>
    <mergeCell ref="AB251:AD251"/>
    <mergeCell ref="AB252:AD252"/>
    <mergeCell ref="AB253:AD253"/>
    <mergeCell ref="AB254:AD254"/>
    <mergeCell ref="AB255:AD255"/>
    <mergeCell ref="AB256:AD256"/>
    <mergeCell ref="AB257:AD257"/>
    <mergeCell ref="AB258:AD258"/>
    <mergeCell ref="X252:Z252"/>
    <mergeCell ref="X253:Z253"/>
    <mergeCell ref="X254:Z254"/>
    <mergeCell ref="X255:Z255"/>
    <mergeCell ref="X256:Z256"/>
    <mergeCell ref="X257:Z257"/>
    <mergeCell ref="X258:Z258"/>
    <mergeCell ref="AF253:AH253"/>
    <mergeCell ref="AF254:AH254"/>
    <mergeCell ref="AF255:AH255"/>
    <mergeCell ref="AF256:AH256"/>
    <mergeCell ref="AF257:AH257"/>
    <mergeCell ref="AF258:AH258"/>
    <mergeCell ref="X249:Z249"/>
    <mergeCell ref="X250:Z250"/>
    <mergeCell ref="AB250:AD250"/>
    <mergeCell ref="AF250:AH250"/>
    <mergeCell ref="X251:Z251"/>
    <mergeCell ref="AF251:AH251"/>
    <mergeCell ref="AF252:AH252"/>
    <mergeCell ref="AJ181:AL181"/>
    <mergeCell ref="L183:N183"/>
    <mergeCell ref="P183:R183"/>
    <mergeCell ref="T183:V183"/>
    <mergeCell ref="X183:Z183"/>
    <mergeCell ref="AB183:AD183"/>
    <mergeCell ref="AF183:AH183"/>
    <mergeCell ref="X188:Z188"/>
    <mergeCell ref="AB188:AD188"/>
    <mergeCell ref="L186:N186"/>
    <mergeCell ref="P186:R186"/>
    <mergeCell ref="T186:V186"/>
    <mergeCell ref="X186:Z186"/>
    <mergeCell ref="AB186:AD186"/>
    <mergeCell ref="AF186:AH186"/>
    <mergeCell ref="L188:N188"/>
    <mergeCell ref="AF188:AH188"/>
    <mergeCell ref="P188:R188"/>
    <mergeCell ref="T188:V188"/>
    <mergeCell ref="P190:R190"/>
    <mergeCell ref="T190:V190"/>
    <mergeCell ref="X190:Z190"/>
    <mergeCell ref="AB190:AD190"/>
    <mergeCell ref="AF190:AH190"/>
    <mergeCell ref="AJ192:AL192"/>
    <mergeCell ref="AJ195:AL195"/>
    <mergeCell ref="AD202:AF202"/>
    <mergeCell ref="AB203:AD203"/>
    <mergeCell ref="AF203:AH203"/>
    <mergeCell ref="AJ203:AL203"/>
    <mergeCell ref="AJ182:AL182"/>
    <mergeCell ref="AJ183:AL183"/>
    <mergeCell ref="AJ184:AL184"/>
    <mergeCell ref="AJ185:AL185"/>
    <mergeCell ref="AJ186:AL186"/>
    <mergeCell ref="AJ188:AL188"/>
    <mergeCell ref="AJ190:AL190"/>
    <mergeCell ref="T205:V205"/>
    <mergeCell ref="X205:Z205"/>
    <mergeCell ref="AB205:AD205"/>
    <mergeCell ref="AF205:AH205"/>
    <mergeCell ref="AJ205:AL205"/>
    <mergeCell ref="L225:N225"/>
    <mergeCell ref="P225:R225"/>
    <mergeCell ref="T225:V225"/>
    <mergeCell ref="X225:Z225"/>
    <mergeCell ref="AB225:AD225"/>
    <mergeCell ref="AF225:AH225"/>
    <mergeCell ref="AJ225:AL225"/>
    <mergeCell ref="L227:N227"/>
    <mergeCell ref="P227:R227"/>
    <mergeCell ref="T227:V227"/>
    <mergeCell ref="X227:Z227"/>
    <mergeCell ref="AB227:AD227"/>
    <mergeCell ref="AF227:AH227"/>
    <mergeCell ref="AJ227:AL227"/>
    <mergeCell ref="L229:N229"/>
    <mergeCell ref="P229:R229"/>
    <mergeCell ref="T229:V229"/>
    <mergeCell ref="X229:Z229"/>
    <mergeCell ref="AB229:AD229"/>
    <mergeCell ref="AF229:AH229"/>
    <mergeCell ref="AJ229:AL229"/>
    <mergeCell ref="L231:N231"/>
    <mergeCell ref="P231:R231"/>
    <mergeCell ref="T231:V231"/>
    <mergeCell ref="X231:Z231"/>
    <mergeCell ref="AB231:AD231"/>
    <mergeCell ref="AF231:AH231"/>
    <mergeCell ref="AJ231:AL231"/>
    <mergeCell ref="L233:N233"/>
    <mergeCell ref="P233:R233"/>
    <mergeCell ref="T233:V233"/>
    <mergeCell ref="X233:Z233"/>
    <mergeCell ref="AB233:AD233"/>
    <mergeCell ref="AF233:AH233"/>
    <mergeCell ref="AJ233:AL233"/>
    <mergeCell ref="L235:N235"/>
    <mergeCell ref="P235:R235"/>
    <mergeCell ref="T235:V235"/>
    <mergeCell ref="X235:Z235"/>
    <mergeCell ref="AB235:AD235"/>
    <mergeCell ref="AF235:AH235"/>
    <mergeCell ref="AJ235:AL235"/>
    <mergeCell ref="L195:N195"/>
    <mergeCell ref="L203:N203"/>
    <mergeCell ref="P203:R203"/>
    <mergeCell ref="T203:V203"/>
    <mergeCell ref="X203:Z203"/>
    <mergeCell ref="L205:N205"/>
    <mergeCell ref="P205:R205"/>
    <mergeCell ref="L207:N207"/>
    <mergeCell ref="P207:R207"/>
    <mergeCell ref="T207:V207"/>
    <mergeCell ref="X207:Z207"/>
    <mergeCell ref="AB207:AD207"/>
    <mergeCell ref="AF207:AH207"/>
    <mergeCell ref="AJ207:AL207"/>
    <mergeCell ref="L209:N209"/>
    <mergeCell ref="P209:R209"/>
    <mergeCell ref="T209:V209"/>
    <mergeCell ref="X209:Z209"/>
    <mergeCell ref="AB209:AD209"/>
    <mergeCell ref="AF209:AH209"/>
    <mergeCell ref="AJ209:AL209"/>
    <mergeCell ref="L211:N211"/>
    <mergeCell ref="P211:R211"/>
    <mergeCell ref="T211:V211"/>
    <mergeCell ref="X211:Z211"/>
    <mergeCell ref="AB211:AD211"/>
    <mergeCell ref="AF211:AH211"/>
    <mergeCell ref="AJ211:AL211"/>
    <mergeCell ref="L213:N213"/>
    <mergeCell ref="P213:R213"/>
    <mergeCell ref="T213:V213"/>
    <mergeCell ref="X213:Z213"/>
    <mergeCell ref="AB213:AD213"/>
    <mergeCell ref="AF213:AH213"/>
    <mergeCell ref="AJ213:AL213"/>
    <mergeCell ref="L215:N215"/>
    <mergeCell ref="P215:R215"/>
    <mergeCell ref="T215:V215"/>
    <mergeCell ref="X215:Z215"/>
    <mergeCell ref="AB215:AD215"/>
    <mergeCell ref="AF215:AH215"/>
    <mergeCell ref="AJ215:AL215"/>
    <mergeCell ref="L237:N237"/>
    <mergeCell ref="P237:R237"/>
    <mergeCell ref="T237:V237"/>
    <mergeCell ref="X237:Z237"/>
    <mergeCell ref="AB237:AD237"/>
    <mergeCell ref="AF237:AH237"/>
    <mergeCell ref="AJ237:AL237"/>
    <mergeCell ref="L239:N239"/>
    <mergeCell ref="T239:V239"/>
    <mergeCell ref="AB239:AD239"/>
    <mergeCell ref="AJ239:AL239"/>
    <mergeCell ref="L240:N240"/>
    <mergeCell ref="T240:V240"/>
    <mergeCell ref="AB240:AD240"/>
    <mergeCell ref="AJ240:AL240"/>
    <mergeCell ref="AF243:AH243"/>
    <mergeCell ref="AE244:AG244"/>
    <mergeCell ref="AI244:AK244"/>
    <mergeCell ref="AV244:AX244"/>
    <mergeCell ref="AZ244:BB244"/>
    <mergeCell ref="BD244:BF244"/>
    <mergeCell ref="AF239:AH239"/>
    <mergeCell ref="AF240:AH240"/>
    <mergeCell ref="AF241:AH241"/>
    <mergeCell ref="AJ241:AL241"/>
    <mergeCell ref="AF242:AH242"/>
    <mergeCell ref="AJ242:AL242"/>
    <mergeCell ref="AJ243:AL243"/>
    <mergeCell ref="P245:R245"/>
    <mergeCell ref="P246:R246"/>
    <mergeCell ref="P247:R247"/>
    <mergeCell ref="AJ245:AL245"/>
    <mergeCell ref="AJ246:AL246"/>
    <mergeCell ref="AJ247:AL247"/>
    <mergeCell ref="L246:N246"/>
    <mergeCell ref="L247:N247"/>
    <mergeCell ref="T247:V247"/>
    <mergeCell ref="X247:Z247"/>
    <mergeCell ref="AB247:AD247"/>
    <mergeCell ref="AF247:AH247"/>
    <mergeCell ref="L258:N258"/>
    <mergeCell ref="L259:N259"/>
    <mergeCell ref="L260:N260"/>
    <mergeCell ref="L251:N251"/>
    <mergeCell ref="L252:N252"/>
    <mergeCell ref="L253:N253"/>
    <mergeCell ref="L254:N254"/>
    <mergeCell ref="L255:N255"/>
    <mergeCell ref="L256:N256"/>
    <mergeCell ref="L257:N257"/>
  </mergeCells>
  <dataValidations>
    <dataValidation type="list" allowBlank="1" showErrorMessage="1" sqref="D10 D12 D14 D16 D18 D20 D22 D24 D26 D28 D30 D32 D34 D36 D38 D40 D42 D44">
      <formula1>Yearchoice</formula1>
    </dataValidation>
  </dataValidations>
  <printOptions horizontalCentered="1"/>
  <pageMargins bottom="0.45" footer="0.0" header="0.0" left="0.7" right="0.7" top="0.45"/>
  <pageSetup scale="52" orientation="landscape" pageOrder="overThenDown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0">
    <pageSetUpPr/>
  </sheetPr>
  <sheetViews>
    <sheetView workbookViewId="0">
      <pane xSplit="4.0" ySplit="6.0" topLeftCell="E7" activePane="bottomRight" state="frozen"/>
      <selection activeCell="E1" sqref="E1" pane="topRight"/>
      <selection activeCell="A7" sqref="A7" pane="bottomLeft"/>
      <selection activeCell="E7" sqref="E7" pane="bottomRight"/>
    </sheetView>
  </sheetViews>
  <sheetFormatPr customHeight="1" defaultColWidth="12.63" defaultRowHeight="15.0" outlineLevelCol="1"/>
  <cols>
    <col customWidth="1" min="1" max="1" width="3.75"/>
    <col customWidth="1" min="2" max="2" width="35.5"/>
    <col customWidth="1" min="3" max="4" width="11.75"/>
    <col customWidth="1" min="5" max="5" width="2.13"/>
    <col customWidth="1" min="6" max="6" width="11.75"/>
    <col customWidth="1" min="7" max="7" width="2.63"/>
    <col customWidth="1" min="8" max="8" width="11.75"/>
    <col customWidth="1" min="9" max="9" width="2.63"/>
    <col customWidth="1" min="10" max="10" width="12.5"/>
    <col customWidth="1" min="11" max="11" width="2.63"/>
    <col customWidth="1" min="12" max="12" width="11.63"/>
    <col customWidth="1" min="13" max="13" width="2.63"/>
    <col customWidth="1" min="14" max="14" width="11.63"/>
    <col customWidth="1" min="15" max="15" width="2.63"/>
    <col customWidth="1" min="16" max="16" width="11.63"/>
    <col customWidth="1" min="17" max="17" width="2.25"/>
    <col customWidth="1" min="18" max="18" width="12.5"/>
    <col customWidth="1" min="19" max="19" width="11.63"/>
    <col customWidth="1" min="20" max="33" width="8.38"/>
  </cols>
  <sheetData>
    <row r="1" ht="72.0" customHeight="1">
      <c r="A1" s="1"/>
      <c r="B1" s="2" t="str">
        <f>'A Cover'!G8</f>
        <v>Example University</v>
      </c>
      <c r="C1" s="2"/>
      <c r="D1" s="436"/>
      <c r="E1" s="436"/>
      <c r="F1" s="436"/>
      <c r="G1" s="436"/>
      <c r="H1" s="436"/>
      <c r="I1" s="436"/>
      <c r="J1" s="436"/>
      <c r="K1" s="436"/>
      <c r="L1" s="438"/>
      <c r="M1" s="940"/>
      <c r="N1" s="39"/>
      <c r="O1" s="436"/>
      <c r="P1" s="438"/>
      <c r="Q1" s="94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ht="14.25" customHeight="1">
      <c r="A2" s="1"/>
      <c r="B2" s="364" t="s">
        <v>526</v>
      </c>
      <c r="C2" s="364"/>
      <c r="D2" s="1"/>
      <c r="E2" s="1"/>
      <c r="F2" s="1"/>
      <c r="G2" s="1"/>
      <c r="H2" s="29" t="s">
        <v>0</v>
      </c>
      <c r="I2" s="34" t="s">
        <v>9</v>
      </c>
      <c r="J2" s="1"/>
      <c r="K2" s="1"/>
      <c r="L2" s="1"/>
      <c r="M2" s="1"/>
      <c r="N2" s="438"/>
      <c r="O2" s="1018">
        <f>'A Cover'!G$12</f>
        <v>46307</v>
      </c>
      <c r="P2" s="2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ht="3.75" customHeight="1">
      <c r="A3" s="1"/>
      <c r="B3" s="101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ht="3.0" customHeight="1">
      <c r="A4" s="1"/>
      <c r="B4" s="1019"/>
      <c r="C4" s="969"/>
      <c r="D4" s="1020"/>
      <c r="E4" s="1020"/>
      <c r="F4" s="1021" t="str">
        <f>IF('J Proj CY'!F$151&gt;1,"Projected","Budgeted")</f>
        <v>Projected</v>
      </c>
      <c r="G4" s="437"/>
      <c r="H4" s="438"/>
      <c r="I4" s="437"/>
      <c r="J4" s="438"/>
      <c r="K4" s="940"/>
      <c r="L4" s="438"/>
      <c r="M4" s="940"/>
      <c r="N4" s="438"/>
      <c r="O4" s="437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ht="8.25" customHeight="1">
      <c r="A5" s="1"/>
      <c r="B5" s="1022"/>
      <c r="C5" s="1022"/>
      <c r="D5" s="39"/>
      <c r="E5" s="39"/>
      <c r="F5" s="1023"/>
      <c r="G5" s="1024"/>
      <c r="H5" s="1025"/>
      <c r="I5" s="1026"/>
      <c r="J5" s="1025"/>
      <c r="K5" s="1027"/>
      <c r="L5" s="1025"/>
      <c r="M5" s="1027"/>
      <c r="N5" s="1025"/>
      <c r="O5" s="1028"/>
      <c r="P5" s="15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ht="14.25" customHeight="1">
      <c r="A6" s="1"/>
      <c r="B6" s="180"/>
      <c r="C6" s="180"/>
      <c r="D6" s="39"/>
      <c r="E6" s="39"/>
      <c r="F6" s="553" t="str">
        <f>'F Population'!P$6</f>
        <v>2026 - 27</v>
      </c>
      <c r="G6" s="39"/>
      <c r="H6" s="553" t="str">
        <f>'F Population'!U$6</f>
        <v>2027 - 28</v>
      </c>
      <c r="I6" s="39"/>
      <c r="J6" s="553" t="str">
        <f>'F Population'!W$6</f>
        <v>2028 - 29</v>
      </c>
      <c r="K6" s="39"/>
      <c r="L6" s="553" t="str">
        <f>'F Population'!Y$6</f>
        <v>2029 - 30</v>
      </c>
      <c r="M6" s="39"/>
      <c r="N6" s="553" t="str">
        <f>'F Population'!AA$6</f>
        <v>2030 - 31</v>
      </c>
      <c r="O6" s="39"/>
      <c r="P6" s="553" t="str">
        <f>'F Population'!AC$6</f>
        <v>2031 - 32</v>
      </c>
      <c r="Q6" s="554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ht="14.25" customHeight="1">
      <c r="A7" s="1"/>
      <c r="B7" s="180" t="s">
        <v>527</v>
      </c>
      <c r="C7" s="180"/>
      <c r="D7" s="39"/>
      <c r="E7" s="39"/>
      <c r="F7" s="1029" t="str">
        <f>IF('J Proj CY'!F$151&gt;1,"(from 'J Proj CY')","(from 'E Budg CY')")</f>
        <v>(from 'J Proj CY')</v>
      </c>
      <c r="G7" s="981"/>
      <c r="H7" s="85"/>
      <c r="I7" s="981"/>
      <c r="J7" s="85"/>
      <c r="K7" s="981"/>
      <c r="L7" s="85"/>
      <c r="M7" s="982"/>
      <c r="N7" s="85"/>
      <c r="O7" s="982"/>
      <c r="P7" s="85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ht="3.75" customHeight="1">
      <c r="A8" s="1"/>
      <c r="B8" s="89"/>
      <c r="C8" s="89"/>
      <c r="D8" s="39"/>
      <c r="E8" s="39"/>
      <c r="F8" s="1030"/>
      <c r="G8" s="981"/>
      <c r="H8" s="85"/>
      <c r="I8" s="981"/>
      <c r="J8" s="85"/>
      <c r="K8" s="981"/>
      <c r="L8" s="85"/>
      <c r="M8" s="982"/>
      <c r="N8" s="85"/>
      <c r="O8" s="982"/>
      <c r="P8" s="85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ht="14.25" customHeight="1">
      <c r="A9" s="1"/>
      <c r="B9" s="89" t="str">
        <f>IF('E Budg CY'!B26="","",'E Budg CY'!B26)</f>
        <v>    Annual fund (unrestricted) donations  </v>
      </c>
      <c r="C9" s="89"/>
      <c r="D9" s="39"/>
      <c r="E9" s="39"/>
      <c r="F9" s="1031">
        <f>IF('J Proj CY'!F$151&gt;1,'J Proj CY'!F26,'J Proj CY'!L26)</f>
        <v>3400000</v>
      </c>
      <c r="G9" s="981"/>
      <c r="H9" s="83">
        <v>3500000.0</v>
      </c>
      <c r="I9" s="997"/>
      <c r="J9" s="83">
        <v>3600000.0</v>
      </c>
      <c r="K9" s="998"/>
      <c r="L9" s="83">
        <v>3700000.0</v>
      </c>
      <c r="M9" s="998"/>
      <c r="N9" s="83">
        <v>3800000.0</v>
      </c>
      <c r="O9" s="998"/>
      <c r="P9" s="83">
        <v>3900000.0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ht="3.75" customHeight="1">
      <c r="A10" s="1"/>
      <c r="B10" s="89"/>
      <c r="C10" s="89"/>
      <c r="D10" s="39"/>
      <c r="E10" s="39"/>
      <c r="F10" s="1031"/>
      <c r="G10" s="981"/>
      <c r="H10" s="92"/>
      <c r="I10" s="997"/>
      <c r="J10" s="92"/>
      <c r="K10" s="998"/>
      <c r="L10" s="92"/>
      <c r="M10" s="998"/>
      <c r="N10" s="92"/>
      <c r="O10" s="998"/>
      <c r="P10" s="92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ht="14.25" customHeight="1">
      <c r="A11" s="1"/>
      <c r="B11" s="16" t="str">
        <f>IF('E Budg CY'!B28="","",'E Budg CY'!B28)</f>
        <v>    Other operating revenues</v>
      </c>
      <c r="C11" s="89"/>
      <c r="D11" s="39"/>
      <c r="E11" s="39"/>
      <c r="F11" s="1031">
        <f>IF('J Proj CY'!F$151&gt;1,'J Proj CY'!F28,'J Proj CY'!L28)</f>
        <v>1702000</v>
      </c>
      <c r="G11" s="981"/>
      <c r="H11" s="83">
        <v>1700000.0</v>
      </c>
      <c r="I11" s="997"/>
      <c r="J11" s="83">
        <v>1700000.0</v>
      </c>
      <c r="K11" s="998"/>
      <c r="L11" s="83">
        <v>1700000.0</v>
      </c>
      <c r="M11" s="998"/>
      <c r="N11" s="83">
        <v>1700000.0</v>
      </c>
      <c r="O11" s="998"/>
      <c r="P11" s="83">
        <v>1700000.0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ht="3.75" customHeight="1">
      <c r="A12" s="1"/>
      <c r="B12" s="89"/>
      <c r="C12" s="89"/>
      <c r="D12" s="39"/>
      <c r="E12" s="39"/>
      <c r="F12" s="1031"/>
      <c r="G12" s="981"/>
      <c r="H12" s="92"/>
      <c r="I12" s="997"/>
      <c r="J12" s="92"/>
      <c r="K12" s="998"/>
      <c r="L12" s="92"/>
      <c r="M12" s="998"/>
      <c r="N12" s="92"/>
      <c r="O12" s="998"/>
      <c r="P12" s="92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ht="14.25" customHeight="1">
      <c r="A13" s="1"/>
      <c r="B13" s="16" t="str">
        <f>IF('E Budg CY'!B30="","",'E Budg CY'!B30)</f>
        <v>    Government grants</v>
      </c>
      <c r="C13" s="89"/>
      <c r="D13" s="926"/>
      <c r="E13" s="926"/>
      <c r="F13" s="1031">
        <f>IF('J Proj CY'!F$151&gt;1,'J Proj CY'!F30,'J Proj CY'!L30)</f>
        <v>290000</v>
      </c>
      <c r="G13" s="981"/>
      <c r="H13" s="83">
        <v>300000.0</v>
      </c>
      <c r="I13" s="997"/>
      <c r="J13" s="83">
        <v>300000.0</v>
      </c>
      <c r="K13" s="998"/>
      <c r="L13" s="83">
        <v>300000.0</v>
      </c>
      <c r="M13" s="998"/>
      <c r="N13" s="83">
        <v>300000.0</v>
      </c>
      <c r="O13" s="998"/>
      <c r="P13" s="83">
        <v>300000.0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ht="4.5" customHeight="1">
      <c r="A14" s="1"/>
      <c r="B14" s="89"/>
      <c r="C14" s="89"/>
      <c r="D14" s="39"/>
      <c r="E14" s="39"/>
      <c r="F14" s="1030"/>
      <c r="G14" s="981"/>
      <c r="H14" s="92"/>
      <c r="I14" s="997"/>
      <c r="J14" s="92"/>
      <c r="K14" s="998"/>
      <c r="L14" s="92"/>
      <c r="M14" s="998"/>
      <c r="N14" s="92"/>
      <c r="O14" s="998"/>
      <c r="P14" s="92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ht="14.25" customHeight="1">
      <c r="A15" s="1"/>
      <c r="B15" s="89" t="str">
        <f>IF('E Budg CY'!B32="","",'E Budg CY'!B32)</f>
        <v/>
      </c>
      <c r="C15" s="89"/>
      <c r="D15" s="39"/>
      <c r="E15" s="39"/>
      <c r="F15" s="1031" t="str">
        <f>IF('J Proj CY'!F$151&gt;1,'J Proj CY'!F32,'J Proj CY'!L32)</f>
        <v/>
      </c>
      <c r="G15" s="981"/>
      <c r="H15" s="83"/>
      <c r="I15" s="997"/>
      <c r="J15" s="83"/>
      <c r="K15" s="998"/>
      <c r="L15" s="83"/>
      <c r="M15" s="998"/>
      <c r="N15" s="83"/>
      <c r="O15" s="998"/>
      <c r="P15" s="83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ht="4.5" customHeight="1">
      <c r="A16" s="1"/>
      <c r="B16" s="89"/>
      <c r="C16" s="89"/>
      <c r="D16" s="39"/>
      <c r="E16" s="39"/>
      <c r="F16" s="1030"/>
      <c r="G16" s="981"/>
      <c r="H16" s="92"/>
      <c r="I16" s="997"/>
      <c r="J16" s="92"/>
      <c r="K16" s="998"/>
      <c r="L16" s="92"/>
      <c r="M16" s="998"/>
      <c r="N16" s="92"/>
      <c r="O16" s="998"/>
      <c r="P16" s="92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ht="14.25" customHeight="1">
      <c r="A17" s="1"/>
      <c r="B17" s="89" t="str">
        <f>IF('E Budg CY'!B34="","",'E Budg CY'!B34)</f>
        <v/>
      </c>
      <c r="C17" s="89"/>
      <c r="D17" s="1032"/>
      <c r="E17" s="1032"/>
      <c r="F17" s="1031" t="str">
        <f>IF('J Proj CY'!F$151&gt;1,'J Proj CY'!F34,'J Proj CY'!L34)</f>
        <v/>
      </c>
      <c r="G17" s="981"/>
      <c r="H17" s="83"/>
      <c r="I17" s="997"/>
      <c r="J17" s="83"/>
      <c r="K17" s="998"/>
      <c r="L17" s="83"/>
      <c r="M17" s="998"/>
      <c r="N17" s="83"/>
      <c r="O17" s="998"/>
      <c r="P17" s="83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ht="4.5" customHeight="1">
      <c r="A18" s="1"/>
      <c r="B18" s="89"/>
      <c r="C18" s="89"/>
      <c r="D18" s="39"/>
      <c r="E18" s="39"/>
      <c r="F18" s="1030"/>
      <c r="G18" s="981"/>
      <c r="H18" s="92"/>
      <c r="I18" s="997"/>
      <c r="J18" s="92"/>
      <c r="K18" s="998"/>
      <c r="L18" s="92"/>
      <c r="M18" s="998"/>
      <c r="N18" s="92"/>
      <c r="O18" s="998"/>
      <c r="P18" s="92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ht="14.25" customHeight="1">
      <c r="A19" s="1"/>
      <c r="B19" s="89" t="str">
        <f>IF('E Budg CY'!B38="","",'E Budg CY'!B38)</f>
        <v>    Accrued revenue to be received in the next year</v>
      </c>
      <c r="C19" s="89"/>
      <c r="D19" s="1032"/>
      <c r="E19" s="1032"/>
      <c r="F19" s="1031" t="str">
        <f>IF('J Proj CY'!F$151&gt;1,'J Proj CY'!F38,'J Proj CY'!L38)</f>
        <v/>
      </c>
      <c r="G19" s="981"/>
      <c r="H19" s="83"/>
      <c r="I19" s="997"/>
      <c r="J19" s="83"/>
      <c r="K19" s="998"/>
      <c r="L19" s="83"/>
      <c r="M19" s="998"/>
      <c r="N19" s="83"/>
      <c r="O19" s="998"/>
      <c r="P19" s="83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ht="4.5" customHeight="1">
      <c r="A20" s="1"/>
      <c r="B20" s="89"/>
      <c r="C20" s="89"/>
      <c r="D20" s="39"/>
      <c r="E20" s="39"/>
      <c r="F20" s="1030"/>
      <c r="G20" s="981"/>
      <c r="H20" s="92"/>
      <c r="I20" s="997"/>
      <c r="J20" s="92"/>
      <c r="K20" s="997"/>
      <c r="L20" s="92"/>
      <c r="M20" s="998"/>
      <c r="N20" s="92"/>
      <c r="O20" s="998"/>
      <c r="P20" s="9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ht="14.25" customHeight="1">
      <c r="A21" s="1"/>
      <c r="B21" s="16" t="str">
        <f>IF('E Budg CY'!B36="","",'E Budg CY'!B36)</f>
        <v>    Unrestricted investment income</v>
      </c>
      <c r="C21" s="89"/>
      <c r="D21" s="1033" t="s">
        <v>528</v>
      </c>
      <c r="E21" s="1034"/>
      <c r="F21" s="464">
        <f>IF('J Proj CY'!F$151&gt;1,'J Proj CY'!F36,'J Proj CY'!L36)</f>
        <v>150000</v>
      </c>
      <c r="G21" s="1035"/>
      <c r="H21" s="1036">
        <f>IF(H96&lt;&gt;0,H96,F21)</f>
        <v>177741.48</v>
      </c>
      <c r="I21" s="811"/>
      <c r="J21" s="1036">
        <f>IF(J96&lt;&gt;0,J96,H21)</f>
        <v>177741.48</v>
      </c>
      <c r="K21" s="811"/>
      <c r="L21" s="1036">
        <f>IF(L96&lt;&gt;0,L96,J21)</f>
        <v>177741.48</v>
      </c>
      <c r="M21" s="811"/>
      <c r="N21" s="1036">
        <f>IF(N96&lt;&gt;0,N96,L21)</f>
        <v>177741.48</v>
      </c>
      <c r="O21" s="811"/>
      <c r="P21" s="1036">
        <f>IF(P96&lt;&gt;0,P96,N21)</f>
        <v>177741.48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ht="4.5" customHeight="1">
      <c r="A22" s="1"/>
      <c r="B22" s="89"/>
      <c r="C22" s="89"/>
      <c r="D22" s="469"/>
      <c r="E22" s="39"/>
      <c r="F22" s="1031"/>
      <c r="G22" s="981"/>
      <c r="H22" s="92"/>
      <c r="I22" s="997"/>
      <c r="J22" s="92"/>
      <c r="K22" s="997"/>
      <c r="L22" s="92"/>
      <c r="M22" s="998"/>
      <c r="N22" s="92"/>
      <c r="O22" s="998"/>
      <c r="P22" s="92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ht="14.25" customHeight="1">
      <c r="A23" s="1"/>
      <c r="B23" s="180" t="s">
        <v>529</v>
      </c>
      <c r="C23" s="180"/>
      <c r="D23" s="469"/>
      <c r="E23" s="39"/>
      <c r="F23" s="1031">
        <f>SUM(F9:F21)</f>
        <v>5542000</v>
      </c>
      <c r="G23" s="981"/>
      <c r="H23" s="1037">
        <f>SUM(H9:H21)</f>
        <v>5677741.48</v>
      </c>
      <c r="I23" s="1031"/>
      <c r="J23" s="1037">
        <f>SUM(J9:J21)</f>
        <v>5777741.48</v>
      </c>
      <c r="K23" s="1031"/>
      <c r="L23" s="1037">
        <f>SUM(L9:L21)</f>
        <v>5877741.48</v>
      </c>
      <c r="M23" s="1031"/>
      <c r="N23" s="1037">
        <f>SUM(N9:N21)</f>
        <v>5977741.48</v>
      </c>
      <c r="O23" s="1031"/>
      <c r="P23" s="1037">
        <f>SUM(P9:P21)</f>
        <v>6077741.48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ht="9.75" customHeight="1">
      <c r="A24" s="1"/>
      <c r="B24" s="180"/>
      <c r="C24" s="180"/>
      <c r="D24" s="469"/>
      <c r="E24" s="39"/>
      <c r="F24" s="1031"/>
      <c r="G24" s="981"/>
      <c r="H24" s="1037"/>
      <c r="I24" s="1031"/>
      <c r="J24" s="1037"/>
      <c r="K24" s="1031"/>
      <c r="L24" s="1037"/>
      <c r="M24" s="1031"/>
      <c r="N24" s="1037"/>
      <c r="O24" s="1031"/>
      <c r="P24" s="1037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ht="14.25" customHeight="1">
      <c r="A25" s="1"/>
      <c r="B25" s="180" t="s">
        <v>530</v>
      </c>
      <c r="C25" s="180"/>
      <c r="D25" s="469"/>
      <c r="E25" s="39"/>
      <c r="F25" s="1031"/>
      <c r="G25" s="981"/>
      <c r="H25" s="1037"/>
      <c r="I25" s="1031"/>
      <c r="J25" s="1037"/>
      <c r="K25" s="1031"/>
      <c r="L25" s="1037"/>
      <c r="M25" s="1031"/>
      <c r="N25" s="1037"/>
      <c r="O25" s="1031"/>
      <c r="P25" s="1037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ht="4.5" customHeight="1">
      <c r="A26" s="1"/>
      <c r="B26" s="180"/>
      <c r="C26" s="180"/>
      <c r="D26" s="469"/>
      <c r="E26" s="39"/>
      <c r="F26" s="1031"/>
      <c r="G26" s="981"/>
      <c r="H26" s="1037"/>
      <c r="I26" s="1031"/>
      <c r="J26" s="1037"/>
      <c r="K26" s="1031"/>
      <c r="L26" s="1037"/>
      <c r="M26" s="1031"/>
      <c r="N26" s="1037"/>
      <c r="O26" s="1031"/>
      <c r="P26" s="1037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ht="14.25" customHeight="1">
      <c r="A27" s="1"/>
      <c r="B27" s="180" t="s">
        <v>531</v>
      </c>
      <c r="C27" s="180"/>
      <c r="D27" s="1033" t="s">
        <v>532</v>
      </c>
      <c r="E27" s="39"/>
      <c r="F27" s="1038">
        <f>'P Fcast 5yr'!G24/SUM('E Budg CY'!L50:L62)-1</f>
        <v>0.02796597188</v>
      </c>
      <c r="G27" s="1039"/>
      <c r="H27" s="1038">
        <f>'P Fcast 5yr'!I32/'P Fcast 5yr'!G32-1</f>
        <v>0.06568787574</v>
      </c>
      <c r="I27" s="1031"/>
      <c r="J27" s="455">
        <v>0.025</v>
      </c>
      <c r="K27" s="451"/>
      <c r="L27" s="455">
        <v>0.025</v>
      </c>
      <c r="M27" s="451"/>
      <c r="N27" s="455">
        <v>0.025</v>
      </c>
      <c r="O27" s="451"/>
      <c r="P27" s="455">
        <v>0.025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ht="4.5" customHeight="1">
      <c r="A28" s="1"/>
      <c r="B28" s="180"/>
      <c r="C28" s="180"/>
      <c r="D28" s="469"/>
      <c r="E28" s="39"/>
      <c r="F28" s="1040"/>
      <c r="G28" s="1039"/>
      <c r="H28" s="1040"/>
      <c r="I28" s="1031"/>
      <c r="J28" s="450"/>
      <c r="K28" s="451"/>
      <c r="L28" s="450"/>
      <c r="M28" s="451"/>
      <c r="N28" s="450"/>
      <c r="O28" s="451"/>
      <c r="P28" s="450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ht="14.25" customHeight="1">
      <c r="A29" s="1"/>
      <c r="B29" s="89" t="s">
        <v>533</v>
      </c>
      <c r="C29" s="180"/>
      <c r="D29" s="1041" t="s">
        <v>534</v>
      </c>
      <c r="E29" s="39"/>
      <c r="F29" s="1038">
        <f>IF('J Proj CY'!F151&gt;0,'J Proj CY'!F68/'E Budg CY'!L68-1,'E Budg CY'!F68/'E Budg CY'!L68-1)</f>
        <v>0.06973997774</v>
      </c>
      <c r="G29" s="1039"/>
      <c r="H29" s="1038">
        <f>IF('N Next Yr'!J38&gt;0,IF('J Proj CY'!F151&gt;0,'N Next Yr'!J38/'J Proj CY'!F68,'N Next Yr'!J38/'J Proj CY'!L68),"")</f>
        <v>0.2473043822</v>
      </c>
      <c r="I29" s="1031"/>
      <c r="J29" s="455">
        <v>0.06</v>
      </c>
      <c r="K29" s="451"/>
      <c r="L29" s="455">
        <v>0.05</v>
      </c>
      <c r="M29" s="451"/>
      <c r="N29" s="455">
        <v>0.05</v>
      </c>
      <c r="O29" s="451"/>
      <c r="P29" s="455">
        <v>0.05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ht="4.5" customHeight="1">
      <c r="A30" s="1"/>
      <c r="B30" s="89"/>
      <c r="C30" s="180"/>
      <c r="D30" s="1041"/>
      <c r="E30" s="39"/>
      <c r="F30" s="1038"/>
      <c r="G30" s="1039"/>
      <c r="H30" s="1038"/>
      <c r="I30" s="1031"/>
      <c r="J30" s="1038"/>
      <c r="K30" s="1038"/>
      <c r="L30" s="1038"/>
      <c r="M30" s="1038"/>
      <c r="N30" s="1038"/>
      <c r="O30" s="1038"/>
      <c r="P30" s="1038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ht="14.25" customHeight="1">
      <c r="A31" s="1"/>
      <c r="B31" s="89" t="s">
        <v>535</v>
      </c>
      <c r="C31" s="553" t="str">
        <f>'F Population'!N6</f>
        <v>2025 - 26</v>
      </c>
      <c r="D31" s="83">
        <v>200000.0</v>
      </c>
      <c r="E31" s="39"/>
      <c r="F31" s="83">
        <v>150000.0</v>
      </c>
      <c r="G31" s="981"/>
      <c r="H31" s="83">
        <v>120000.0</v>
      </c>
      <c r="I31" s="997"/>
      <c r="J31" s="83"/>
      <c r="K31" s="998"/>
      <c r="L31" s="83"/>
      <c r="M31" s="998"/>
      <c r="N31" s="83"/>
      <c r="O31" s="998"/>
      <c r="P31" s="83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ht="9.0" customHeight="1">
      <c r="A32" s="1"/>
      <c r="B32" s="180"/>
      <c r="C32" s="180"/>
      <c r="D32" s="469"/>
      <c r="E32" s="39"/>
      <c r="F32" s="1031"/>
      <c r="G32" s="981"/>
      <c r="H32" s="1037"/>
      <c r="I32" s="103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ht="14.25" customHeight="1">
      <c r="A33" s="1"/>
      <c r="B33" s="180" t="s">
        <v>536</v>
      </c>
      <c r="C33" s="180"/>
      <c r="D33" s="1033" t="s">
        <v>537</v>
      </c>
      <c r="E33" s="1034"/>
      <c r="F33" s="1042">
        <f>'L Capital'!L281</f>
        <v>2934772</v>
      </c>
      <c r="G33" s="981"/>
      <c r="H33" s="1037">
        <f>'L Capital'!P281</f>
        <v>3200000</v>
      </c>
      <c r="I33" s="1031"/>
      <c r="J33" s="1037">
        <f>'L Capital'!T281</f>
        <v>1300000</v>
      </c>
      <c r="K33" s="1031"/>
      <c r="L33" s="1037">
        <f>'L Capital'!X281</f>
        <v>0</v>
      </c>
      <c r="M33" s="1031"/>
      <c r="N33" s="1037">
        <f>'L Capital'!AB281</f>
        <v>0</v>
      </c>
      <c r="O33" s="1031"/>
      <c r="P33" s="1037">
        <f>'L Capital'!AF281</f>
        <v>0</v>
      </c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ht="30.0" customHeight="1">
      <c r="A34" s="1"/>
      <c r="B34" s="180" t="s">
        <v>538</v>
      </c>
      <c r="C34" s="180"/>
      <c r="D34" s="469"/>
      <c r="E34" s="39"/>
      <c r="F34" s="1031"/>
      <c r="G34" s="981"/>
      <c r="H34" s="1037"/>
      <c r="I34" s="1031"/>
      <c r="J34" s="1037"/>
      <c r="K34" s="1031"/>
      <c r="L34" s="1037"/>
      <c r="M34" s="1031"/>
      <c r="N34" s="1037"/>
      <c r="O34" s="1031"/>
      <c r="P34" s="1037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ht="14.25" customHeight="1">
      <c r="A35" s="1"/>
      <c r="B35" s="89" t="s">
        <v>539</v>
      </c>
      <c r="C35" s="89"/>
      <c r="D35" s="1033" t="s">
        <v>537</v>
      </c>
      <c r="E35" s="1034"/>
      <c r="F35" s="1042">
        <f>'L Capital'!L61</f>
        <v>530000</v>
      </c>
      <c r="G35" s="1043"/>
      <c r="H35" s="1042">
        <f>'L Capital'!P61</f>
        <v>760000</v>
      </c>
      <c r="I35" s="295"/>
      <c r="J35" s="1042">
        <f>'L Capital'!T61</f>
        <v>0</v>
      </c>
      <c r="K35" s="295"/>
      <c r="L35" s="1042">
        <f>'L Capital'!X61</f>
        <v>0</v>
      </c>
      <c r="M35" s="295"/>
      <c r="N35" s="1042">
        <f>'L Capital'!AB61</f>
        <v>0</v>
      </c>
      <c r="O35" s="295"/>
      <c r="P35" s="1042">
        <f>'L Capital'!AF61</f>
        <v>0</v>
      </c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ht="6.0" customHeight="1">
      <c r="A36" s="1"/>
      <c r="B36" s="1"/>
      <c r="C36" s="1"/>
      <c r="D36" s="39"/>
      <c r="E36" s="39"/>
      <c r="F36" s="438"/>
      <c r="G36" s="437"/>
      <c r="H36" s="438"/>
      <c r="I36" s="437"/>
      <c r="J36" s="438"/>
      <c r="K36" s="940"/>
      <c r="L36" s="438"/>
      <c r="M36" s="940"/>
      <c r="N36" s="438"/>
      <c r="O36" s="437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ht="14.25" customHeight="1">
      <c r="A37" s="1"/>
      <c r="B37" s="89" t="s">
        <v>540</v>
      </c>
      <c r="C37" s="89"/>
      <c r="D37" s="39"/>
      <c r="E37" s="39"/>
      <c r="F37" s="96">
        <v>-900070.0</v>
      </c>
      <c r="G37" s="437"/>
      <c r="H37" s="96">
        <v>500000.0</v>
      </c>
      <c r="I37" s="1044"/>
      <c r="J37" s="96">
        <v>500000.0</v>
      </c>
      <c r="K37" s="1045"/>
      <c r="L37" s="96">
        <v>500000.0</v>
      </c>
      <c r="M37" s="1045"/>
      <c r="N37" s="96">
        <v>500000.0</v>
      </c>
      <c r="O37" s="1045"/>
      <c r="P37" s="96">
        <v>500000.0</v>
      </c>
      <c r="Q37" s="1"/>
      <c r="R37" s="2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ht="27.0" customHeight="1">
      <c r="A38" s="1"/>
      <c r="B38" s="180" t="s">
        <v>541</v>
      </c>
      <c r="C38" s="180"/>
      <c r="D38" s="1046" t="s">
        <v>542</v>
      </c>
      <c r="E38" s="39"/>
      <c r="F38" s="1047">
        <f>F35+F37</f>
        <v>-370070</v>
      </c>
      <c r="G38" s="1035"/>
      <c r="H38" s="1047">
        <f>H35+H37</f>
        <v>1260000</v>
      </c>
      <c r="I38" s="464"/>
      <c r="J38" s="1047">
        <f>J35+J37</f>
        <v>500000</v>
      </c>
      <c r="K38" s="464"/>
      <c r="L38" s="1047">
        <f>L35+L37</f>
        <v>500000</v>
      </c>
      <c r="M38" s="464"/>
      <c r="N38" s="1047">
        <f>N35+N37</f>
        <v>500000</v>
      </c>
      <c r="O38" s="464"/>
      <c r="P38" s="1047">
        <f>P35+P37</f>
        <v>500000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ht="7.5" customHeight="1">
      <c r="A39" s="1"/>
      <c r="B39" s="180"/>
      <c r="C39" s="180"/>
      <c r="D39" s="986"/>
      <c r="E39" s="39"/>
      <c r="F39" s="1047"/>
      <c r="G39" s="1035"/>
      <c r="H39" s="1047"/>
      <c r="I39" s="464"/>
      <c r="J39" s="1047"/>
      <c r="K39" s="464"/>
      <c r="L39" s="1047"/>
      <c r="M39" s="464"/>
      <c r="N39" s="1047"/>
      <c r="O39" s="464"/>
      <c r="P39" s="1047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ht="22.5" customHeight="1">
      <c r="A40" s="1"/>
      <c r="B40" s="151" t="s">
        <v>543</v>
      </c>
      <c r="C40" s="151"/>
      <c r="D40" s="205"/>
      <c r="E40" s="1"/>
      <c r="F40" s="1048" t="s">
        <v>544</v>
      </c>
      <c r="G40" s="92" t="s">
        <v>545</v>
      </c>
      <c r="H40" s="438"/>
      <c r="I40" s="85"/>
      <c r="J40" s="1049" t="s">
        <v>546</v>
      </c>
      <c r="K40" s="85"/>
      <c r="L40" s="85" t="s">
        <v>547</v>
      </c>
      <c r="M40" s="85"/>
      <c r="N40" s="85"/>
      <c r="O40" s="85"/>
      <c r="P40" s="85"/>
      <c r="Q40" s="1"/>
      <c r="R40" s="612" t="s">
        <v>548</v>
      </c>
      <c r="S40" s="612" t="s">
        <v>549</v>
      </c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ht="4.5" customHeight="1">
      <c r="A41" s="1"/>
      <c r="B41" s="151"/>
      <c r="C41" s="151"/>
      <c r="D41" s="23"/>
      <c r="E41" s="1"/>
      <c r="F41" s="1050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ht="14.25" customHeight="1">
      <c r="A42" s="1"/>
      <c r="B42" s="1" t="s">
        <v>550</v>
      </c>
      <c r="C42" s="1051" t="s">
        <v>100</v>
      </c>
      <c r="D42" s="1052">
        <f>'D PY Audit'!H60</f>
        <v>1066000</v>
      </c>
      <c r="E42" s="1"/>
      <c r="F42" s="83">
        <v>2300000.0</v>
      </c>
      <c r="G42" s="85"/>
      <c r="H42" s="83">
        <v>3000000.0</v>
      </c>
      <c r="I42" s="85"/>
      <c r="J42" s="83">
        <v>2000000.0</v>
      </c>
      <c r="K42" s="85"/>
      <c r="L42" s="83">
        <v>1500000.0</v>
      </c>
      <c r="M42" s="85"/>
      <c r="N42" s="83">
        <v>1000000.0</v>
      </c>
      <c r="O42" s="85"/>
      <c r="P42" s="83">
        <v>1000000.0</v>
      </c>
      <c r="Q42" s="1"/>
      <c r="R42" s="85">
        <f>SUM(D42:P42)</f>
        <v>11866000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ht="4.5" customHeight="1">
      <c r="A43" s="1"/>
      <c r="B43" s="1"/>
      <c r="C43" s="1053"/>
      <c r="D43" s="105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ht="14.25" customHeight="1">
      <c r="A44" s="1"/>
      <c r="B44" s="1054" t="str">
        <f>CONCATENATE("C/Y budget = $ ",'E Budg CY'!F26/1000000," million")</f>
        <v>C/Y budget = $ 3.1 million</v>
      </c>
      <c r="C44" s="1055" t="s">
        <v>551</v>
      </c>
      <c r="D44" s="1052"/>
      <c r="E44" s="1"/>
      <c r="F44" s="1056">
        <v>2000000.0</v>
      </c>
      <c r="G44" s="1057"/>
      <c r="H44" s="1056">
        <v>2700000.0</v>
      </c>
      <c r="I44" s="1057"/>
      <c r="J44" s="1056">
        <v>2800000.0</v>
      </c>
      <c r="K44" s="1057"/>
      <c r="L44" s="1056">
        <v>1750000.0</v>
      </c>
      <c r="M44" s="1057"/>
      <c r="N44" s="1056">
        <v>1500000.0</v>
      </c>
      <c r="O44" s="1057"/>
      <c r="P44" s="1056">
        <v>1116000.0</v>
      </c>
      <c r="Q44" s="1"/>
      <c r="R44" s="1049">
        <f>SUM(D44:P44)</f>
        <v>11866000</v>
      </c>
      <c r="S44" s="85">
        <f>R42-R44</f>
        <v>0</v>
      </c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ht="5.25" customHeight="1">
      <c r="A45" s="1"/>
      <c r="B45" s="1"/>
      <c r="C45" s="1"/>
      <c r="D45" s="1052"/>
      <c r="E45" s="1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ht="14.25" customHeight="1">
      <c r="A46" s="1"/>
      <c r="B46" s="1" t="s">
        <v>552</v>
      </c>
      <c r="C46" s="1051" t="s">
        <v>100</v>
      </c>
      <c r="D46" s="1052">
        <f>'D PY Audit'!H62</f>
        <v>3200000</v>
      </c>
      <c r="E46" s="1"/>
      <c r="F46" s="83">
        <v>2300000.0</v>
      </c>
      <c r="G46" s="85"/>
      <c r="H46" s="83">
        <v>3000000.0</v>
      </c>
      <c r="I46" s="85"/>
      <c r="J46" s="83">
        <v>5000000.0</v>
      </c>
      <c r="K46" s="85"/>
      <c r="L46" s="83">
        <v>1000000.0</v>
      </c>
      <c r="M46" s="85"/>
      <c r="N46" s="83">
        <v>500000.0</v>
      </c>
      <c r="O46" s="85"/>
      <c r="P46" s="83">
        <v>500000.0</v>
      </c>
      <c r="Q46" s="1"/>
      <c r="R46" s="85">
        <f>SUM(D46:P46)</f>
        <v>15500000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ht="4.5" customHeight="1">
      <c r="A47" s="1"/>
      <c r="B47" s="1"/>
      <c r="C47" s="1053"/>
      <c r="D47" s="105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ht="15.0" customHeight="1">
      <c r="A48" s="1"/>
      <c r="B48" s="1"/>
      <c r="C48" s="1055" t="s">
        <v>551</v>
      </c>
      <c r="D48" s="1052"/>
      <c r="E48" s="1"/>
      <c r="F48" s="1056">
        <v>1700000.0</v>
      </c>
      <c r="G48" s="1057"/>
      <c r="H48" s="1056">
        <v>2200000.0</v>
      </c>
      <c r="I48" s="1057"/>
      <c r="J48" s="1056">
        <v>4000000.0</v>
      </c>
      <c r="K48" s="1057"/>
      <c r="L48" s="1056">
        <v>3000000.0</v>
      </c>
      <c r="M48" s="1057"/>
      <c r="N48" s="1056">
        <v>3500000.0</v>
      </c>
      <c r="O48" s="1057"/>
      <c r="P48" s="1056">
        <v>1000000.0</v>
      </c>
      <c r="Q48" s="1"/>
      <c r="R48" s="1049">
        <f>SUM(D48:P48)</f>
        <v>15400000</v>
      </c>
      <c r="S48" s="85">
        <f>R46-R48</f>
        <v>100000</v>
      </c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ht="3.75" customHeight="1">
      <c r="A49" s="1"/>
      <c r="B49" s="1"/>
      <c r="C49" s="1"/>
      <c r="D49" s="1052"/>
      <c r="E49" s="1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ht="14.25" customHeight="1">
      <c r="A50" s="1"/>
      <c r="B50" s="1" t="s">
        <v>553</v>
      </c>
      <c r="C50" s="1051" t="s">
        <v>100</v>
      </c>
      <c r="D50" s="1052">
        <f>'D PY Audit'!H64</f>
        <v>1337899</v>
      </c>
      <c r="E50" s="1"/>
      <c r="F50" s="83">
        <v>3300000.0</v>
      </c>
      <c r="G50" s="85"/>
      <c r="H50" s="83">
        <v>2800000.0</v>
      </c>
      <c r="I50" s="85"/>
      <c r="J50" s="83">
        <v>2200000.0</v>
      </c>
      <c r="K50" s="85"/>
      <c r="L50" s="83">
        <v>2000000.0</v>
      </c>
      <c r="M50" s="85"/>
      <c r="N50" s="83">
        <v>1500000.0</v>
      </c>
      <c r="O50" s="85"/>
      <c r="P50" s="83">
        <v>1500000.0</v>
      </c>
      <c r="Q50" s="1"/>
      <c r="R50" s="85">
        <f>SUM(D50:P50)</f>
        <v>14637899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ht="3.75" customHeight="1">
      <c r="A51" s="1"/>
      <c r="B51" s="1"/>
      <c r="C51" s="1053"/>
      <c r="D51" s="105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ht="14.25" customHeight="1">
      <c r="A52" s="1"/>
      <c r="B52" s="1"/>
      <c r="C52" s="1055" t="s">
        <v>551</v>
      </c>
      <c r="D52" s="1052"/>
      <c r="E52" s="1"/>
      <c r="F52" s="1056">
        <v>3600000.0</v>
      </c>
      <c r="G52" s="1057"/>
      <c r="H52" s="1056">
        <v>3200000.0</v>
      </c>
      <c r="I52" s="1057"/>
      <c r="J52" s="1056">
        <v>2750000.0</v>
      </c>
      <c r="K52" s="1057"/>
      <c r="L52" s="1056">
        <v>2200000.0</v>
      </c>
      <c r="M52" s="1057"/>
      <c r="N52" s="1056">
        <v>1700000.0</v>
      </c>
      <c r="O52" s="1057"/>
      <c r="P52" s="1056">
        <f>1300000-12101</f>
        <v>1287899</v>
      </c>
      <c r="Q52" s="1"/>
      <c r="R52" s="1049">
        <f>SUM(D52:P52)</f>
        <v>14737899</v>
      </c>
      <c r="S52" s="85">
        <f>R50-R52</f>
        <v>-100000</v>
      </c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ht="4.5" customHeight="1">
      <c r="A53" s="1"/>
      <c r="B53" s="1"/>
      <c r="C53" s="1"/>
      <c r="D53" s="1052"/>
      <c r="E53" s="1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ht="14.25" customHeight="1">
      <c r="A54" s="1"/>
      <c r="B54" s="1" t="s">
        <v>554</v>
      </c>
      <c r="C54" s="1051" t="s">
        <v>100</v>
      </c>
      <c r="D54" s="1052">
        <f>'D PY Audit'!H66</f>
        <v>3263000</v>
      </c>
      <c r="E54" s="1"/>
      <c r="F54" s="83">
        <v>4100000.0</v>
      </c>
      <c r="G54" s="85"/>
      <c r="H54" s="83">
        <v>4000000.0</v>
      </c>
      <c r="I54" s="85"/>
      <c r="J54" s="83">
        <v>4000000.0</v>
      </c>
      <c r="K54" s="85"/>
      <c r="L54" s="83">
        <v>4000000.0</v>
      </c>
      <c r="M54" s="85"/>
      <c r="N54" s="83">
        <v>4000000.0</v>
      </c>
      <c r="O54" s="85"/>
      <c r="P54" s="83">
        <v>4000000.0</v>
      </c>
      <c r="Q54" s="1"/>
      <c r="R54" s="85">
        <f>SUM(D54:P54)</f>
        <v>27363000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ht="4.5" customHeight="1">
      <c r="A55" s="1"/>
      <c r="B55" s="25"/>
      <c r="C55" s="1053"/>
      <c r="D55" s="1052"/>
      <c r="E55" s="1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ht="14.25" customHeight="1">
      <c r="A56" s="1"/>
      <c r="B56" s="25"/>
      <c r="C56" s="1055" t="s">
        <v>551</v>
      </c>
      <c r="D56" s="1058" t="s">
        <v>555</v>
      </c>
      <c r="E56" s="1"/>
      <c r="F56" s="1059">
        <v>4500000.0</v>
      </c>
      <c r="G56" s="563"/>
      <c r="H56" s="1059">
        <v>5000000.0</v>
      </c>
      <c r="I56" s="563"/>
      <c r="J56" s="1059">
        <v>5000000.0</v>
      </c>
      <c r="K56" s="563"/>
      <c r="L56" s="1059">
        <v>4000000.0</v>
      </c>
      <c r="M56" s="563"/>
      <c r="N56" s="1059">
        <v>4200000.0</v>
      </c>
      <c r="O56" s="563"/>
      <c r="P56" s="1059">
        <v>4063000.0</v>
      </c>
      <c r="Q56" s="1"/>
      <c r="R56" s="1049">
        <f>SUM(D56:P56)</f>
        <v>26763000</v>
      </c>
      <c r="S56" s="85">
        <f>R54-R56</f>
        <v>600000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ht="4.5" customHeight="1">
      <c r="A57" s="1"/>
      <c r="B57" s="25"/>
      <c r="C57" s="25"/>
      <c r="D57" s="1030"/>
      <c r="E57" s="1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ht="14.25" customHeight="1">
      <c r="A58" s="1"/>
      <c r="B58" s="151" t="s">
        <v>556</v>
      </c>
      <c r="C58" s="151"/>
      <c r="D58" s="160">
        <f>SUM(D42:D54)</f>
        <v>8866899</v>
      </c>
      <c r="E58" s="1"/>
      <c r="F58" s="160">
        <f>D58+F42+F46+F50+F54-F44-F48-F52-F56</f>
        <v>9066899</v>
      </c>
      <c r="G58" s="85"/>
      <c r="H58" s="160">
        <f>F58+H42+H46+H50+H54-H44-H48-H52-H56</f>
        <v>8766899</v>
      </c>
      <c r="I58" s="85"/>
      <c r="J58" s="160">
        <f>H58+J42+J46+J50+J54-J44-J48-J52-J56</f>
        <v>7416899</v>
      </c>
      <c r="K58" s="85"/>
      <c r="L58" s="160">
        <f>J58+L42+L46+L50+L54-L44-L48-L52-L56</f>
        <v>4966899</v>
      </c>
      <c r="M58" s="85"/>
      <c r="N58" s="160">
        <f>L58+N42+N46+N50+N54-N44-N48-N52-N56</f>
        <v>1066899</v>
      </c>
      <c r="O58" s="85"/>
      <c r="P58" s="160">
        <f>N58+P42+P46+P50+P54-P44-P48-P52-P56</f>
        <v>600000</v>
      </c>
      <c r="Q58" s="1"/>
      <c r="R58" s="160">
        <f>R42+R46+R50+R54-R44-R48-R52-R56</f>
        <v>600000</v>
      </c>
      <c r="S58" s="160">
        <f>S44+S48+S52+S56</f>
        <v>600000</v>
      </c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ht="41.25" customHeight="1">
      <c r="A59" s="1"/>
      <c r="B59" s="151"/>
      <c r="C59" s="151"/>
      <c r="D59" s="160"/>
      <c r="E59" s="1"/>
      <c r="F59" s="160"/>
      <c r="G59" s="85"/>
      <c r="H59" s="160"/>
      <c r="I59" s="85"/>
      <c r="J59" s="160"/>
      <c r="K59" s="85"/>
      <c r="L59" s="160"/>
      <c r="M59" s="85"/>
      <c r="N59" s="160"/>
      <c r="O59" s="85"/>
      <c r="P59" s="160"/>
      <c r="Q59" s="1"/>
      <c r="R59" s="160"/>
      <c r="S59" s="160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ht="33.0" customHeight="1">
      <c r="A60" s="1"/>
      <c r="B60" s="180"/>
      <c r="C60" s="1"/>
      <c r="D60" s="1070"/>
      <c r="E60" s="39"/>
      <c r="F60" s="1"/>
      <c r="G60" s="1035"/>
      <c r="H60" s="1047"/>
      <c r="I60" s="464"/>
      <c r="J60" s="1047"/>
      <c r="K60" s="464"/>
      <c r="L60" s="1047"/>
      <c r="M60" s="464"/>
      <c r="N60" s="1047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ht="15.0" customHeight="1">
      <c r="A61" s="1"/>
      <c r="B61" s="180"/>
      <c r="C61" s="180"/>
      <c r="D61" s="39"/>
      <c r="E61" s="39"/>
      <c r="F61" s="1075" t="str">
        <f>IF('J Proj CY'!F$151&gt;1,"Projected","Budgeted")</f>
        <v>Projected</v>
      </c>
      <c r="G61" s="1035"/>
      <c r="H61" s="1047"/>
      <c r="I61" s="464"/>
      <c r="J61" s="1047"/>
      <c r="K61" s="464"/>
      <c r="L61" s="1047"/>
      <c r="M61" s="464"/>
      <c r="N61" s="1047"/>
      <c r="O61" s="1076">
        <f>'A Cover'!G$12</f>
        <v>46307</v>
      </c>
      <c r="P61" s="2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ht="15.0" customHeight="1">
      <c r="A62" s="1"/>
      <c r="B62" s="151" t="s">
        <v>564</v>
      </c>
      <c r="C62" s="151"/>
      <c r="D62" s="39"/>
      <c r="E62" s="39"/>
      <c r="F62" s="1077" t="str">
        <f>'F Population'!P$6</f>
        <v>2026 - 27</v>
      </c>
      <c r="G62" s="39"/>
      <c r="H62" s="1077" t="str">
        <f>'F Population'!U$6</f>
        <v>2027 - 28</v>
      </c>
      <c r="I62" s="39"/>
      <c r="J62" s="1077" t="str">
        <f>'F Population'!W$6</f>
        <v>2028 - 29</v>
      </c>
      <c r="K62" s="39"/>
      <c r="L62" s="1077" t="str">
        <f>'F Population'!Y$6</f>
        <v>2029 - 30</v>
      </c>
      <c r="M62" s="39"/>
      <c r="N62" s="1077" t="str">
        <f>'F Population'!AA$6</f>
        <v>2030 - 31</v>
      </c>
      <c r="O62" s="39"/>
      <c r="P62" s="1077" t="str">
        <f>'F Population'!AC$6</f>
        <v>2031 - 32</v>
      </c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ht="4.5" customHeight="1">
      <c r="A63" s="1"/>
      <c r="B63" s="151"/>
      <c r="C63" s="151"/>
      <c r="D63" s="39"/>
      <c r="E63" s="39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ht="15.0" customHeight="1">
      <c r="A64" s="1"/>
      <c r="B64" s="89" t="s">
        <v>569</v>
      </c>
      <c r="C64" s="151"/>
      <c r="D64" s="39"/>
      <c r="E64" s="39"/>
      <c r="F64" s="1079">
        <f>'R Bal sheets'!F13</f>
        <v>91599695</v>
      </c>
      <c r="G64" s="151"/>
      <c r="H64" s="1079">
        <f>'R Bal sheets'!H13</f>
        <v>101008804.4</v>
      </c>
      <c r="I64" s="151"/>
      <c r="J64" s="1079">
        <f>'R Bal sheets'!J13</f>
        <v>111105579</v>
      </c>
      <c r="K64" s="151"/>
      <c r="L64" s="1079">
        <f>'R Bal sheets'!L13</f>
        <v>121178788.4</v>
      </c>
      <c r="M64" s="151"/>
      <c r="N64" s="1079">
        <f>'R Bal sheets'!N13</f>
        <v>130225480.7</v>
      </c>
      <c r="O64" s="151"/>
      <c r="P64" s="1079">
        <f>'R Bal sheets'!P13</f>
        <v>139417014.6</v>
      </c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ht="4.5" customHeight="1">
      <c r="A65" s="1"/>
      <c r="B65" s="151"/>
      <c r="C65" s="151"/>
      <c r="D65" s="39"/>
      <c r="E65" s="39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ht="15.0" customHeight="1">
      <c r="A66" s="1"/>
      <c r="B66" s="1" t="s">
        <v>571</v>
      </c>
      <c r="C66" s="151"/>
      <c r="D66" s="39"/>
      <c r="E66" s="39"/>
      <c r="F66" s="1079">
        <f>'R Bal sheets'!F38+'R Bal sheets'!F48</f>
        <v>91900337</v>
      </c>
      <c r="G66" s="151"/>
      <c r="H66" s="1079">
        <f>'R Bal sheets'!H38+'R Bal sheets'!H48</f>
        <v>105443577.2</v>
      </c>
      <c r="I66" s="151"/>
      <c r="J66" s="1079">
        <f>'R Bal sheets'!J38+'R Bal sheets'!J48</f>
        <v>119744105.5</v>
      </c>
      <c r="K66" s="151"/>
      <c r="L66" s="1079">
        <f>'R Bal sheets'!L38+'R Bal sheets'!L48</f>
        <v>133650440.2</v>
      </c>
      <c r="M66" s="151"/>
      <c r="N66" s="1079">
        <f>'R Bal sheets'!N38+'R Bal sheets'!N48</f>
        <v>148331167.5</v>
      </c>
      <c r="O66" s="151"/>
      <c r="P66" s="1079">
        <f>'R Bal sheets'!P38+'R Bal sheets'!P48</f>
        <v>163423696.4</v>
      </c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ht="3.75" customHeight="1">
      <c r="A67" s="1"/>
      <c r="B67" s="1"/>
      <c r="C67" s="151"/>
      <c r="D67" s="39"/>
      <c r="E67" s="39"/>
      <c r="F67" s="1079"/>
      <c r="G67" s="151"/>
      <c r="H67" s="1079"/>
      <c r="I67" s="151"/>
      <c r="J67" s="1079"/>
      <c r="K67" s="151"/>
      <c r="L67" s="1079"/>
      <c r="M67" s="151"/>
      <c r="N67" s="1079"/>
      <c r="O67" s="151"/>
      <c r="P67" s="1079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ht="15.0" customHeight="1">
      <c r="A68" s="1"/>
      <c r="B68" s="1" t="s">
        <v>573</v>
      </c>
      <c r="C68" s="151"/>
      <c r="D68" s="39"/>
      <c r="E68" s="39"/>
      <c r="F68" s="1081">
        <f>-SUM($D54:D54)+SUM($D56:D56)</f>
        <v>-3263000</v>
      </c>
      <c r="G68" s="1073"/>
      <c r="H68" s="1081">
        <f>-SUM($D54:F54)+SUM($D56:F56)</f>
        <v>-2863000</v>
      </c>
      <c r="I68" s="1073"/>
      <c r="J68" s="1081">
        <f>-SUM($D54:H54)+SUM($D56:H56)</f>
        <v>-1863000</v>
      </c>
      <c r="K68" s="1073"/>
      <c r="L68" s="1081">
        <f>-SUM($D54:J54)+SUM($D56:J56)</f>
        <v>-863000</v>
      </c>
      <c r="M68" s="1073"/>
      <c r="N68" s="1081">
        <f>-SUM($D54:L54)+SUM($D56:L56)</f>
        <v>-863000</v>
      </c>
      <c r="O68" s="1073"/>
      <c r="P68" s="1081">
        <f>-SUM($D54:N54)+SUM($D56:N56)</f>
        <v>-663000</v>
      </c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ht="4.5" customHeight="1">
      <c r="A69" s="1"/>
      <c r="B69" s="1"/>
      <c r="C69" s="151"/>
      <c r="D69" s="39"/>
      <c r="E69" s="39"/>
      <c r="F69" s="1079"/>
      <c r="G69" s="151"/>
      <c r="H69" s="1079"/>
      <c r="I69" s="151"/>
      <c r="J69" s="1079"/>
      <c r="K69" s="151"/>
      <c r="L69" s="1079"/>
      <c r="M69" s="151"/>
      <c r="N69" s="1079"/>
      <c r="O69" s="151"/>
      <c r="P69" s="1079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ht="15.0" customHeight="1">
      <c r="A70" s="1"/>
      <c r="B70" s="1" t="s">
        <v>578</v>
      </c>
      <c r="C70" s="151"/>
      <c r="D70" s="39"/>
      <c r="E70" s="39"/>
      <c r="F70" s="1081">
        <f>F66+F68</f>
        <v>88637337</v>
      </c>
      <c r="G70" s="1073"/>
      <c r="H70" s="1081">
        <f>H66+H68</f>
        <v>102580577.2</v>
      </c>
      <c r="I70" s="1081"/>
      <c r="J70" s="1081">
        <f>J66+J68</f>
        <v>117881105.5</v>
      </c>
      <c r="K70" s="1073"/>
      <c r="L70" s="1081">
        <f>L66+L68</f>
        <v>132787440.2</v>
      </c>
      <c r="M70" s="1073"/>
      <c r="N70" s="1081">
        <f>N66+N68</f>
        <v>147468167.5</v>
      </c>
      <c r="O70" s="1073"/>
      <c r="P70" s="1081">
        <f>P66+P68</f>
        <v>162760696.4</v>
      </c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ht="4.5" customHeight="1">
      <c r="A71" s="1"/>
      <c r="B71" s="151"/>
      <c r="C71" s="151"/>
      <c r="D71" s="39"/>
      <c r="E71" s="39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ht="15.0" customHeight="1">
      <c r="A72" s="1"/>
      <c r="B72" s="1" t="s">
        <v>581</v>
      </c>
      <c r="C72" s="151"/>
      <c r="D72" s="39"/>
      <c r="E72" s="39"/>
      <c r="F72" s="1081">
        <f>F64-F66-F68</f>
        <v>2962358</v>
      </c>
      <c r="G72" s="1073"/>
      <c r="H72" s="1081">
        <f>H64-H66-H68</f>
        <v>-1571772.817</v>
      </c>
      <c r="I72" s="1073"/>
      <c r="J72" s="1081">
        <f>J64-J66-J68</f>
        <v>-6775526.483</v>
      </c>
      <c r="K72" s="1073"/>
      <c r="L72" s="1081">
        <f>L64-L66-L68</f>
        <v>-11608651.81</v>
      </c>
      <c r="M72" s="1073"/>
      <c r="N72" s="1081">
        <f>N64-N66-N68</f>
        <v>-17242686.86</v>
      </c>
      <c r="O72" s="1073"/>
      <c r="P72" s="1081">
        <f>P64-P66-P68</f>
        <v>-23343681.73</v>
      </c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ht="4.5" customHeight="1">
      <c r="A73" s="1"/>
      <c r="B73" s="89"/>
      <c r="C73" s="89"/>
      <c r="D73" s="120"/>
      <c r="E73" s="1093"/>
      <c r="F73" s="1079"/>
      <c r="G73" s="1079"/>
      <c r="H73" s="1079"/>
      <c r="I73" s="1079"/>
      <c r="J73" s="1079"/>
      <c r="K73" s="1079"/>
      <c r="L73" s="1079"/>
      <c r="M73" s="1079"/>
      <c r="N73" s="1079"/>
      <c r="O73" s="1079"/>
      <c r="P73" s="1079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ht="14.25" customHeight="1">
      <c r="A74" s="1"/>
      <c r="B74" s="89" t="s">
        <v>583</v>
      </c>
      <c r="C74" s="89"/>
      <c r="D74" s="1094">
        <f>'D PY Audit'!H90</f>
        <v>3249877</v>
      </c>
      <c r="E74" s="981"/>
      <c r="F74" s="83">
        <v>3000000.0</v>
      </c>
      <c r="G74" s="997"/>
      <c r="H74" s="83">
        <v>3000000.0</v>
      </c>
      <c r="I74" s="997"/>
      <c r="J74" s="83">
        <v>3000000.0</v>
      </c>
      <c r="K74" s="998"/>
      <c r="L74" s="83">
        <v>3000000.0</v>
      </c>
      <c r="M74" s="998"/>
      <c r="N74" s="83">
        <v>3000000.0</v>
      </c>
      <c r="O74" s="998"/>
      <c r="P74" s="83">
        <v>3000000.0</v>
      </c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ht="3.75" customHeight="1">
      <c r="A75" s="1"/>
      <c r="B75" s="89"/>
      <c r="C75" s="89"/>
      <c r="D75" s="1094"/>
      <c r="E75" s="981"/>
      <c r="F75" s="438"/>
      <c r="G75" s="437"/>
      <c r="H75" s="438"/>
      <c r="I75" s="437"/>
      <c r="J75" s="438"/>
      <c r="K75" s="940"/>
      <c r="L75" s="438"/>
      <c r="M75" s="940"/>
      <c r="N75" s="438"/>
      <c r="O75" s="437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ht="14.25" customHeight="1">
      <c r="A76" s="1"/>
      <c r="B76" s="89" t="s">
        <v>584</v>
      </c>
      <c r="C76" s="89"/>
      <c r="D76" s="1094"/>
      <c r="E76" s="981"/>
      <c r="F76" s="1079">
        <f>F56</f>
        <v>4500000</v>
      </c>
      <c r="G76" s="437"/>
      <c r="H76" s="1079">
        <f>H56</f>
        <v>5000000</v>
      </c>
      <c r="I76" s="437"/>
      <c r="J76" s="1079">
        <f>J56</f>
        <v>5000000</v>
      </c>
      <c r="K76" s="940"/>
      <c r="L76" s="1079">
        <f>L56</f>
        <v>4000000</v>
      </c>
      <c r="M76" s="940"/>
      <c r="N76" s="1079">
        <f>N56</f>
        <v>4200000</v>
      </c>
      <c r="O76" s="437"/>
      <c r="P76" s="1079">
        <f>P56</f>
        <v>4063000</v>
      </c>
      <c r="Q76" s="1"/>
      <c r="R76" s="89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ht="4.5" customHeight="1">
      <c r="A77" s="1"/>
      <c r="B77" s="180"/>
      <c r="C77" s="89"/>
      <c r="D77" s="1098"/>
      <c r="E77" s="981"/>
      <c r="F77" s="1079"/>
      <c r="G77" s="1079"/>
      <c r="H77" s="1079"/>
      <c r="I77" s="1079"/>
      <c r="J77" s="1079"/>
      <c r="K77" s="1079"/>
      <c r="L77" s="1079"/>
      <c r="M77" s="1079"/>
      <c r="N77" s="1079"/>
      <c r="O77" s="1079"/>
      <c r="P77" s="1079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ht="15.0" customHeight="1">
      <c r="A78" s="1"/>
      <c r="B78" s="180" t="s">
        <v>587</v>
      </c>
      <c r="C78" s="89"/>
      <c r="D78" s="39"/>
      <c r="E78" s="39"/>
      <c r="F78" s="1079">
        <f>F70+F74/2+F76/2</f>
        <v>92387337</v>
      </c>
      <c r="G78" s="1079"/>
      <c r="H78" s="1079">
        <f>H70+H74/2+H76/2</f>
        <v>106580577.2</v>
      </c>
      <c r="I78" s="1079"/>
      <c r="J78" s="1079">
        <f>J70+J74/2+J76/2</f>
        <v>121881105.5</v>
      </c>
      <c r="K78" s="1079"/>
      <c r="L78" s="1079">
        <f>L70+L74/2+L76/2</f>
        <v>136287440.2</v>
      </c>
      <c r="M78" s="1079"/>
      <c r="N78" s="1079">
        <f>N70+N74/2+N76/2</f>
        <v>151068167.5</v>
      </c>
      <c r="O78" s="1079"/>
      <c r="P78" s="1079">
        <f>P70+P74/2+P76/2</f>
        <v>166292196.4</v>
      </c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ht="6.75" customHeight="1">
      <c r="A79" s="1"/>
      <c r="B79" s="89"/>
      <c r="C79" s="89"/>
      <c r="D79" s="39"/>
      <c r="E79" s="39"/>
      <c r="F79" s="1079"/>
      <c r="G79" s="1079"/>
      <c r="H79" s="1079"/>
      <c r="I79" s="1079"/>
      <c r="J79" s="1079"/>
      <c r="K79" s="1079"/>
      <c r="L79" s="1079"/>
      <c r="M79" s="1079"/>
      <c r="N79" s="1079"/>
      <c r="O79" s="1079"/>
      <c r="P79" s="1079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ht="15.0" customHeight="1">
      <c r="A80" s="1"/>
      <c r="B80" s="151" t="s">
        <v>590</v>
      </c>
      <c r="C80" s="89"/>
      <c r="D80" s="39"/>
      <c r="E80" s="39"/>
      <c r="F80" s="1079"/>
      <c r="G80" s="1079"/>
      <c r="H80" s="1079"/>
      <c r="I80" s="1079"/>
      <c r="J80" s="1079"/>
      <c r="K80" s="1079"/>
      <c r="L80" s="1079"/>
      <c r="M80" s="1079"/>
      <c r="N80" s="1079"/>
      <c r="O80" s="1079"/>
      <c r="P80" s="1079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ht="4.5" customHeight="1">
      <c r="A81" s="1"/>
      <c r="B81" s="89"/>
      <c r="C81" s="89"/>
      <c r="D81" s="39"/>
      <c r="E81" s="39"/>
      <c r="F81" s="1030"/>
      <c r="G81" s="981"/>
      <c r="H81" s="85"/>
      <c r="I81" s="981"/>
      <c r="J81" s="85"/>
      <c r="K81" s="982"/>
      <c r="L81" s="85"/>
      <c r="M81" s="982"/>
      <c r="N81" s="85"/>
      <c r="O81" s="9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ht="14.25" customHeight="1">
      <c r="A82" s="1"/>
      <c r="B82" s="89" t="s">
        <v>593</v>
      </c>
      <c r="C82" s="89"/>
      <c r="D82" s="39"/>
      <c r="E82" s="39"/>
      <c r="F82" s="1101">
        <v>0.06</v>
      </c>
      <c r="G82" s="437"/>
      <c r="H82" s="1101">
        <v>0.06</v>
      </c>
      <c r="I82" s="437"/>
      <c r="J82" s="1101">
        <v>0.06</v>
      </c>
      <c r="K82" s="940"/>
      <c r="L82" s="1101">
        <v>0.06</v>
      </c>
      <c r="M82" s="940"/>
      <c r="N82" s="1101">
        <v>0.06</v>
      </c>
      <c r="O82" s="437"/>
      <c r="P82" s="1101">
        <v>0.06</v>
      </c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ht="4.5" customHeight="1">
      <c r="A83" s="1"/>
      <c r="B83" s="82"/>
      <c r="C83" s="82"/>
      <c r="D83" s="39"/>
      <c r="E83" s="39"/>
      <c r="F83" s="1102"/>
      <c r="G83" s="437"/>
      <c r="H83" s="1102"/>
      <c r="I83" s="437"/>
      <c r="J83" s="1102"/>
      <c r="K83" s="940"/>
      <c r="L83" s="1102"/>
      <c r="M83" s="940"/>
      <c r="N83" s="1102"/>
      <c r="O83" s="437"/>
      <c r="P83" s="1102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ht="14.25" customHeight="1">
      <c r="A84" s="1"/>
      <c r="B84" s="89" t="s">
        <v>595</v>
      </c>
      <c r="C84" s="89"/>
      <c r="D84" s="39"/>
      <c r="E84" s="39"/>
      <c r="F84" s="1101">
        <v>0.041</v>
      </c>
      <c r="G84" s="437"/>
      <c r="H84" s="1101">
        <v>0.041</v>
      </c>
      <c r="I84" s="437"/>
      <c r="J84" s="1101">
        <v>0.041</v>
      </c>
      <c r="K84" s="940"/>
      <c r="L84" s="1101">
        <v>0.041</v>
      </c>
      <c r="M84" s="940"/>
      <c r="N84" s="1101">
        <v>0.041</v>
      </c>
      <c r="O84" s="437"/>
      <c r="P84" s="1101">
        <v>0.041</v>
      </c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ht="4.5" customHeight="1">
      <c r="A85" s="1"/>
      <c r="B85" s="89"/>
      <c r="C85" s="89"/>
      <c r="D85" s="39"/>
      <c r="E85" s="39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ht="14.25" customHeight="1">
      <c r="A86" s="1"/>
      <c r="B86" s="89" t="s">
        <v>596</v>
      </c>
      <c r="C86" s="89"/>
      <c r="D86" s="39"/>
      <c r="E86" s="39"/>
      <c r="F86" s="83"/>
      <c r="G86" s="997"/>
      <c r="H86" s="83"/>
      <c r="I86" s="997"/>
      <c r="J86" s="83"/>
      <c r="K86" s="998"/>
      <c r="L86" s="83"/>
      <c r="M86" s="998"/>
      <c r="N86" s="83"/>
      <c r="O86" s="998"/>
      <c r="P86" s="83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ht="4.5" customHeight="1">
      <c r="A87" s="1"/>
      <c r="B87" s="89"/>
      <c r="C87" s="89"/>
      <c r="D87" s="39"/>
      <c r="E87" s="39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ht="15.0" customHeight="1">
      <c r="A88" s="1"/>
      <c r="B88" s="89" t="s">
        <v>597</v>
      </c>
      <c r="C88" s="89"/>
      <c r="D88" s="39"/>
      <c r="E88" s="39"/>
      <c r="F88" s="1079">
        <f>'R Bal sheets'!F48</f>
        <v>30928000</v>
      </c>
      <c r="G88" s="1079"/>
      <c r="H88" s="1079">
        <f>'R Bal sheets'!H48</f>
        <v>36471240.22</v>
      </c>
      <c r="I88" s="1079"/>
      <c r="J88" s="1079">
        <f>'R Bal sheets'!J48</f>
        <v>42771768.48</v>
      </c>
      <c r="K88" s="1079"/>
      <c r="L88" s="1079">
        <f>'R Bal sheets'!L48</f>
        <v>49678103.22</v>
      </c>
      <c r="M88" s="1079"/>
      <c r="N88" s="1079">
        <f>'R Bal sheets'!N48</f>
        <v>57158830.53</v>
      </c>
      <c r="O88" s="1079"/>
      <c r="P88" s="1079">
        <f>'R Bal sheets'!P48</f>
        <v>65188359.37</v>
      </c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ht="4.5" customHeight="1">
      <c r="A89" s="1"/>
      <c r="B89" s="89"/>
      <c r="C89" s="89"/>
      <c r="D89" s="39"/>
      <c r="E89" s="39"/>
      <c r="F89" s="1079"/>
      <c r="G89" s="1079"/>
      <c r="H89" s="1079"/>
      <c r="I89" s="1079"/>
      <c r="J89" s="1079"/>
      <c r="K89" s="1079"/>
      <c r="L89" s="1079"/>
      <c r="M89" s="1079"/>
      <c r="N89" s="1079"/>
      <c r="O89" s="1079"/>
      <c r="P89" s="1079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ht="14.25" customHeight="1">
      <c r="A90" s="1"/>
      <c r="B90" s="89" t="s">
        <v>598</v>
      </c>
      <c r="C90" s="89"/>
      <c r="D90" s="39"/>
      <c r="E90" s="39"/>
      <c r="F90" s="1103">
        <f>F78*F82</f>
        <v>5543240.22</v>
      </c>
      <c r="G90" s="1104"/>
      <c r="H90" s="1103">
        <f>IF(H72&gt;0,(H66+H68+(H56+H74)/2)*H82,(H64+(H56+H74)/2)*H82)</f>
        <v>6300528.264</v>
      </c>
      <c r="I90" s="1104"/>
      <c r="J90" s="1103">
        <f>IF(J72&gt;0,(J66+J68+(J56+J74)/2)*J82,(J64+(J56+J74)/2)*J82)</f>
        <v>6906334.74</v>
      </c>
      <c r="K90" s="1105"/>
      <c r="L90" s="1103">
        <f>IF(L72&gt;0,(L66+L68+(L56+L74)/2)*L82,(L64+(L56+L74)/2)*L82)</f>
        <v>7480727.305</v>
      </c>
      <c r="M90" s="1105"/>
      <c r="N90" s="1103">
        <f>IF(N72&gt;0,(N66+N68+(N56+N74)/2)*N82,(N64+(N56+N74)/2)*N82)</f>
        <v>8029528.84</v>
      </c>
      <c r="O90" s="1104"/>
      <c r="P90" s="1103">
        <f>IF(P72&gt;0,(P66+P68+(P56+P74)/2)*P82,(P64+(P56+P74)/2)*P82)</f>
        <v>8576910.879</v>
      </c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ht="4.5" customHeight="1">
      <c r="A91" s="1"/>
      <c r="B91" s="1"/>
      <c r="C91" s="1"/>
      <c r="D91" s="39"/>
      <c r="E91" s="39"/>
      <c r="F91" s="438"/>
      <c r="G91" s="437"/>
      <c r="H91" s="438"/>
      <c r="I91" s="437"/>
      <c r="J91" s="438"/>
      <c r="K91" s="940"/>
      <c r="L91" s="438"/>
      <c r="M91" s="940"/>
      <c r="N91" s="438"/>
      <c r="O91" s="437"/>
      <c r="P91" s="438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ht="14.25" customHeight="1">
      <c r="A92" s="1"/>
      <c r="B92" s="89" t="s">
        <v>599</v>
      </c>
      <c r="C92" s="89"/>
      <c r="D92" s="1"/>
      <c r="E92" s="1"/>
      <c r="F92" s="1103">
        <f>-F70*F84-F86</f>
        <v>-3634130.817</v>
      </c>
      <c r="G92" s="437"/>
      <c r="H92" s="1103">
        <f>-(H78+H66+H68-F54)/2*H84-H86</f>
        <v>-4203753.666</v>
      </c>
      <c r="I92" s="437"/>
      <c r="J92" s="1103">
        <f>-(J78+J66+J68-H54)/2*J84-J86</f>
        <v>-4833125.325</v>
      </c>
      <c r="K92" s="940"/>
      <c r="L92" s="1103">
        <f>-(L78+L66+L68-J54)/2*L84-L86</f>
        <v>-5434035.049</v>
      </c>
      <c r="M92" s="940"/>
      <c r="N92" s="1103">
        <f>-(N78+N66+N68-L54)/2*N84-N86</f>
        <v>-6037994.869</v>
      </c>
      <c r="O92" s="437"/>
      <c r="P92" s="1103">
        <f>-(P78+P66+P68-N54)/2*P84-P86</f>
        <v>-6663584.301</v>
      </c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437"/>
      <c r="AG92" s="1103" t="str">
        <f>(#REF!-SUM($D54:N56)+P78)/2*P82</f>
        <v>#REF!</v>
      </c>
    </row>
    <row r="93" ht="4.5" customHeight="1">
      <c r="A93" s="1"/>
      <c r="B93" s="309"/>
      <c r="C93" s="309"/>
      <c r="D93" s="39"/>
      <c r="E93" s="39"/>
      <c r="F93" s="1103"/>
      <c r="G93" s="437"/>
      <c r="H93" s="438"/>
      <c r="I93" s="437"/>
      <c r="J93" s="438"/>
      <c r="K93" s="940"/>
      <c r="L93" s="438"/>
      <c r="M93" s="940"/>
      <c r="N93" s="438"/>
      <c r="O93" s="437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ht="14.25" customHeight="1">
      <c r="A94" s="1"/>
      <c r="B94" s="180" t="s">
        <v>604</v>
      </c>
      <c r="C94" s="89"/>
      <c r="D94" s="39"/>
      <c r="E94" s="39"/>
      <c r="F94" s="1103">
        <f>F88+F90+F92</f>
        <v>32837109.4</v>
      </c>
      <c r="G94" s="437"/>
      <c r="H94" s="1103">
        <f>H88+H90+H92</f>
        <v>38568014.82</v>
      </c>
      <c r="I94" s="437"/>
      <c r="J94" s="1103">
        <f>J88+J90+J92</f>
        <v>44844977.9</v>
      </c>
      <c r="K94" s="940"/>
      <c r="L94" s="1103">
        <f>L88+L90+L92</f>
        <v>51724795.48</v>
      </c>
      <c r="M94" s="940"/>
      <c r="N94" s="1103">
        <f>N88+N90+N92</f>
        <v>59150364.5</v>
      </c>
      <c r="O94" s="437"/>
      <c r="P94" s="1103">
        <f>P88+P90+P92</f>
        <v>67101685.95</v>
      </c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ht="23.25" customHeight="1">
      <c r="A95" s="1"/>
      <c r="B95" s="89" t="s">
        <v>607</v>
      </c>
      <c r="C95" s="89"/>
      <c r="D95" s="39"/>
      <c r="E95" s="39"/>
      <c r="F95" s="1079">
        <f>F72</f>
        <v>2962358</v>
      </c>
      <c r="G95" s="437"/>
      <c r="H95" s="1079">
        <f>F101</f>
        <v>2962358</v>
      </c>
      <c r="I95" s="437"/>
      <c r="J95" s="1079">
        <f>H101</f>
        <v>2962358</v>
      </c>
      <c r="K95" s="940"/>
      <c r="L95" s="1079">
        <f>J101</f>
        <v>2962358</v>
      </c>
      <c r="M95" s="940"/>
      <c r="N95" s="1079">
        <f>L101</f>
        <v>2962358</v>
      </c>
      <c r="O95" s="437"/>
      <c r="P95" s="1079">
        <f>N101</f>
        <v>2962358</v>
      </c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ht="18.0" customHeight="1">
      <c r="A96" s="1"/>
      <c r="B96" s="89" t="s">
        <v>609</v>
      </c>
      <c r="C96" s="89"/>
      <c r="D96" s="39"/>
      <c r="E96" s="39"/>
      <c r="F96" s="1079">
        <f>IF('J Proj CY'!F151&lt;&gt;0,'J Proj CY'!F36,'J Proj CY'!L36)</f>
        <v>150000</v>
      </c>
      <c r="G96" s="1085"/>
      <c r="H96" s="1079">
        <f>F101*H82</f>
        <v>177741.48</v>
      </c>
      <c r="I96" s="1085"/>
      <c r="J96" s="1079">
        <f>H101*J82</f>
        <v>177741.48</v>
      </c>
      <c r="K96" s="1113"/>
      <c r="L96" s="1079">
        <f>J101*L82</f>
        <v>177741.48</v>
      </c>
      <c r="M96" s="1113"/>
      <c r="N96" s="1079">
        <f>L101*N82</f>
        <v>177741.48</v>
      </c>
      <c r="O96" s="1085"/>
      <c r="P96" s="1079">
        <f>N101*P82</f>
        <v>177741.48</v>
      </c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ht="18.0" customHeight="1">
      <c r="A97" s="1"/>
      <c r="B97" s="89" t="s">
        <v>613</v>
      </c>
      <c r="C97" s="89"/>
      <c r="D97" s="39"/>
      <c r="E97" s="39"/>
      <c r="F97" s="1079">
        <f>-F96</f>
        <v>-150000</v>
      </c>
      <c r="G97" s="1085"/>
      <c r="H97" s="1079">
        <f>-H96</f>
        <v>-177741.48</v>
      </c>
      <c r="I97" s="1085"/>
      <c r="J97" s="1079">
        <f>-J96</f>
        <v>-177741.48</v>
      </c>
      <c r="K97" s="1113"/>
      <c r="L97" s="1079">
        <f>-L96</f>
        <v>-177741.48</v>
      </c>
      <c r="M97" s="1113"/>
      <c r="N97" s="1079">
        <f>-N96</f>
        <v>-177741.48</v>
      </c>
      <c r="O97" s="1085"/>
      <c r="P97" s="1079">
        <f>-P96</f>
        <v>-177741.48</v>
      </c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ht="4.5" customHeight="1">
      <c r="A98" s="1"/>
      <c r="B98" s="89"/>
      <c r="C98" s="89"/>
      <c r="D98" s="39"/>
      <c r="E98" s="39"/>
      <c r="F98" s="1103"/>
      <c r="G98" s="437"/>
      <c r="H98" s="1103"/>
      <c r="I98" s="437"/>
      <c r="J98" s="1103"/>
      <c r="K98" s="940"/>
      <c r="L98" s="1103"/>
      <c r="M98" s="940"/>
      <c r="N98" s="1103"/>
      <c r="O98" s="437"/>
      <c r="P98" s="1103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ht="15.0" customHeight="1">
      <c r="A99" s="1"/>
      <c r="B99" s="89" t="s">
        <v>614</v>
      </c>
      <c r="C99" s="89"/>
      <c r="D99" s="1103"/>
      <c r="E99" s="39"/>
      <c r="F99" s="83"/>
      <c r="G99" s="997"/>
      <c r="H99" s="83"/>
      <c r="I99" s="997"/>
      <c r="J99" s="83"/>
      <c r="K99" s="998"/>
      <c r="L99" s="83"/>
      <c r="M99" s="998"/>
      <c r="N99" s="83"/>
      <c r="O99" s="998"/>
      <c r="P99" s="83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ht="4.5" customHeight="1">
      <c r="A100" s="1"/>
      <c r="B100" s="89"/>
      <c r="C100" s="89"/>
      <c r="D100" s="39"/>
      <c r="E100" s="39"/>
      <c r="F100" s="1103"/>
      <c r="G100" s="437"/>
      <c r="H100" s="1103"/>
      <c r="I100" s="437"/>
      <c r="J100" s="1103"/>
      <c r="K100" s="940"/>
      <c r="L100" s="1103"/>
      <c r="M100" s="940"/>
      <c r="N100" s="1103"/>
      <c r="O100" s="437"/>
      <c r="P100" s="1103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ht="14.25" customHeight="1">
      <c r="A101" s="1"/>
      <c r="B101" s="180" t="s">
        <v>616</v>
      </c>
      <c r="C101" s="180"/>
      <c r="D101" s="1116"/>
      <c r="E101" s="39"/>
      <c r="F101" s="1103">
        <f>SUM(F95:F99)</f>
        <v>2962358</v>
      </c>
      <c r="G101" s="437"/>
      <c r="H101" s="1103">
        <f>SUM(H95:H99)</f>
        <v>2962358</v>
      </c>
      <c r="I101" s="437"/>
      <c r="J101" s="1103">
        <f>SUM(J95:J99)</f>
        <v>2962358</v>
      </c>
      <c r="K101" s="940"/>
      <c r="L101" s="1103">
        <f>SUM(L95:L99)</f>
        <v>2962358</v>
      </c>
      <c r="M101" s="940"/>
      <c r="N101" s="1103">
        <f>SUM(N95:N99)</f>
        <v>2962358</v>
      </c>
      <c r="O101" s="437"/>
      <c r="P101" s="1103">
        <f>SUM(P95:P99)</f>
        <v>2962358</v>
      </c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ht="3.0" customHeight="1">
      <c r="A102" s="1"/>
      <c r="B102" s="180"/>
      <c r="C102" s="180"/>
      <c r="D102" s="1116"/>
      <c r="E102" s="39"/>
      <c r="F102" s="1103"/>
      <c r="G102" s="437"/>
      <c r="H102" s="1103"/>
      <c r="I102" s="437"/>
      <c r="J102" s="1103"/>
      <c r="K102" s="940"/>
      <c r="L102" s="1103"/>
      <c r="M102" s="940"/>
      <c r="N102" s="1103"/>
      <c r="O102" s="437"/>
      <c r="P102" s="1103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ht="14.25" customHeight="1">
      <c r="A103" s="1"/>
      <c r="B103" s="89" t="s">
        <v>621</v>
      </c>
      <c r="C103" s="180"/>
      <c r="D103" s="1116"/>
      <c r="E103" s="39"/>
      <c r="F103" s="1103">
        <f>F56-F54</f>
        <v>400000</v>
      </c>
      <c r="G103" s="437"/>
      <c r="H103" s="1103">
        <f>H56-H54</f>
        <v>1000000</v>
      </c>
      <c r="I103" s="437"/>
      <c r="J103" s="1103">
        <f>J56-J54</f>
        <v>1000000</v>
      </c>
      <c r="K103" s="940"/>
      <c r="L103" s="1103">
        <f>L56-L54</f>
        <v>0</v>
      </c>
      <c r="M103" s="940"/>
      <c r="N103" s="1103">
        <f>N56-N54</f>
        <v>200000</v>
      </c>
      <c r="O103" s="437"/>
      <c r="P103" s="1103">
        <f>P56-P54</f>
        <v>63000</v>
      </c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ht="4.5" customHeight="1">
      <c r="A104" s="1"/>
      <c r="B104" s="180"/>
      <c r="C104" s="180"/>
      <c r="D104" s="1116"/>
      <c r="E104" s="39"/>
      <c r="F104" s="1103"/>
      <c r="G104" s="437"/>
      <c r="H104" s="1103"/>
      <c r="I104" s="437"/>
      <c r="J104" s="1103"/>
      <c r="K104" s="940"/>
      <c r="L104" s="1103"/>
      <c r="M104" s="940"/>
      <c r="N104" s="1103"/>
      <c r="O104" s="437"/>
      <c r="P104" s="1103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ht="14.25" customHeight="1">
      <c r="A105" s="1"/>
      <c r="B105" s="180" t="s">
        <v>623</v>
      </c>
      <c r="C105" s="180"/>
      <c r="D105" s="1116"/>
      <c r="E105" s="39"/>
      <c r="F105" s="1103">
        <f>F64+F74+F76+F90+F92+F96+F97+F99</f>
        <v>101008804.4</v>
      </c>
      <c r="G105" s="437"/>
      <c r="H105" s="1103">
        <f>H64+H74+H76+H90+H92+H96+H97+H99</f>
        <v>111105579</v>
      </c>
      <c r="I105" s="437"/>
      <c r="J105" s="1103">
        <f>J64+J74+J76+J90+J92+J96+J97+J99</f>
        <v>121178788.4</v>
      </c>
      <c r="K105" s="940"/>
      <c r="L105" s="1103">
        <f>L64+L74+L76+L90+L92+L96+L97+L99</f>
        <v>130225480.7</v>
      </c>
      <c r="M105" s="940"/>
      <c r="N105" s="1103">
        <f>N64+N74+N76+N90+N92+N96+N97+N99</f>
        <v>139417014.6</v>
      </c>
      <c r="O105" s="437"/>
      <c r="P105" s="1103">
        <f>P64+P74+P76+P90+P92+P96+P97+P99</f>
        <v>148393341.2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ht="6.75" customHeight="1">
      <c r="A106" s="1"/>
      <c r="B106" s="89"/>
      <c r="C106" s="89"/>
      <c r="D106" s="39"/>
      <c r="E106" s="39"/>
      <c r="F106" s="1025"/>
      <c r="G106" s="1025"/>
      <c r="H106" s="1025"/>
      <c r="I106" s="1025"/>
      <c r="J106" s="1025"/>
      <c r="K106" s="1025"/>
      <c r="L106" s="1025"/>
      <c r="M106" s="1025"/>
      <c r="N106" s="1025"/>
      <c r="O106" s="1025"/>
      <c r="P106" s="1025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ht="14.25" customHeight="1">
      <c r="A107" s="1"/>
      <c r="B107" s="180" t="s">
        <v>627</v>
      </c>
      <c r="C107" s="180"/>
      <c r="D107" s="39"/>
      <c r="E107" s="39"/>
      <c r="F107" s="1025"/>
      <c r="G107" s="1025"/>
      <c r="H107" s="1025"/>
      <c r="I107" s="1025"/>
      <c r="J107" s="1025"/>
      <c r="K107" s="1025"/>
      <c r="L107" s="1025"/>
      <c r="M107" s="1025"/>
      <c r="N107" s="1025"/>
      <c r="O107" s="1025"/>
      <c r="P107" s="1025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ht="3.75" customHeight="1">
      <c r="A108" s="1"/>
      <c r="B108" s="180"/>
      <c r="C108" s="180"/>
      <c r="D108" s="39"/>
      <c r="E108" s="39"/>
      <c r="F108" s="1025"/>
      <c r="G108" s="1025"/>
      <c r="H108" s="1025"/>
      <c r="I108" s="1025"/>
      <c r="J108" s="1025"/>
      <c r="K108" s="1025"/>
      <c r="L108" s="1025"/>
      <c r="M108" s="1025"/>
      <c r="N108" s="1025"/>
      <c r="O108" s="1025"/>
      <c r="P108" s="1025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ht="14.25" customHeight="1">
      <c r="A109" s="1"/>
      <c r="B109" s="89" t="s">
        <v>628</v>
      </c>
      <c r="C109" s="180"/>
      <c r="D109" s="1033" t="s">
        <v>629</v>
      </c>
      <c r="E109" s="39"/>
      <c r="F109" s="1103">
        <f>F42</f>
        <v>2300000</v>
      </c>
      <c r="G109" s="1103"/>
      <c r="H109" s="1103">
        <f>H42</f>
        <v>3000000</v>
      </c>
      <c r="I109" s="1103"/>
      <c r="J109" s="1103">
        <f>J42</f>
        <v>2000000</v>
      </c>
      <c r="K109" s="1103"/>
      <c r="L109" s="1103">
        <f>L42</f>
        <v>1500000</v>
      </c>
      <c r="M109" s="1103"/>
      <c r="N109" s="1103">
        <f>N42</f>
        <v>1000000</v>
      </c>
      <c r="O109" s="1103"/>
      <c r="P109" s="1103">
        <f>P42</f>
        <v>1000000</v>
      </c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ht="6.0" customHeight="1">
      <c r="A110" s="1"/>
      <c r="B110" s="89"/>
      <c r="C110" s="180"/>
      <c r="D110" s="1033"/>
      <c r="E110" s="39"/>
      <c r="F110" s="1103"/>
      <c r="G110" s="1103"/>
      <c r="H110" s="1103"/>
      <c r="I110" s="1103"/>
      <c r="J110" s="1103"/>
      <c r="K110" s="1103"/>
      <c r="L110" s="1103"/>
      <c r="M110" s="1103"/>
      <c r="N110" s="1103"/>
      <c r="O110" s="1103"/>
      <c r="P110" s="1103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ht="14.25" customHeight="1">
      <c r="A111" s="1"/>
      <c r="B111" s="89" t="s">
        <v>632</v>
      </c>
      <c r="C111" s="180"/>
      <c r="D111" s="1033" t="s">
        <v>633</v>
      </c>
      <c r="E111" s="39"/>
      <c r="F111" s="1103">
        <f>F44</f>
        <v>2000000</v>
      </c>
      <c r="G111" s="1103"/>
      <c r="H111" s="1103">
        <f>H44</f>
        <v>2700000</v>
      </c>
      <c r="I111" s="1103"/>
      <c r="J111" s="1103">
        <f>J44</f>
        <v>2800000</v>
      </c>
      <c r="K111" s="1103"/>
      <c r="L111" s="1103">
        <f>L44</f>
        <v>1750000</v>
      </c>
      <c r="M111" s="1103"/>
      <c r="N111" s="1103">
        <f>N44</f>
        <v>1500000</v>
      </c>
      <c r="O111" s="1103"/>
      <c r="P111" s="1103">
        <f>P44</f>
        <v>1116000</v>
      </c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ht="4.5" customHeight="1">
      <c r="A112" s="1"/>
      <c r="B112" s="180"/>
      <c r="C112" s="180"/>
      <c r="D112" s="39"/>
      <c r="E112" s="39"/>
      <c r="F112" s="1025"/>
      <c r="G112" s="1025"/>
      <c r="H112" s="1025"/>
      <c r="I112" s="1025"/>
      <c r="J112" s="1025"/>
      <c r="K112" s="1025"/>
      <c r="L112" s="1025"/>
      <c r="M112" s="1025"/>
      <c r="N112" s="1025"/>
      <c r="O112" s="1025"/>
      <c r="P112" s="1025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ht="14.25" customHeight="1">
      <c r="A113" s="1"/>
      <c r="B113" s="89" t="s">
        <v>634</v>
      </c>
      <c r="C113" s="180"/>
      <c r="D113" s="1033" t="s">
        <v>635</v>
      </c>
      <c r="E113" s="39"/>
      <c r="F113" s="1103">
        <f>F50</f>
        <v>3300000</v>
      </c>
      <c r="G113" s="1025"/>
      <c r="H113" s="1103">
        <f>H50</f>
        <v>2800000</v>
      </c>
      <c r="I113" s="1025"/>
      <c r="J113" s="1103">
        <f>J50</f>
        <v>2200000</v>
      </c>
      <c r="K113" s="1025"/>
      <c r="L113" s="1103">
        <f>L50</f>
        <v>2000000</v>
      </c>
      <c r="M113" s="1025"/>
      <c r="N113" s="1103">
        <f>N50</f>
        <v>1500000</v>
      </c>
      <c r="O113" s="1025"/>
      <c r="P113" s="1103">
        <f>P50</f>
        <v>1500000</v>
      </c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ht="4.5" customHeight="1">
      <c r="A114" s="1"/>
      <c r="B114" s="89"/>
      <c r="C114" s="180"/>
      <c r="D114" s="1033"/>
      <c r="E114" s="39"/>
      <c r="F114" s="1103"/>
      <c r="G114" s="1025"/>
      <c r="H114" s="1103"/>
      <c r="I114" s="1025"/>
      <c r="J114" s="1103"/>
      <c r="K114" s="1025"/>
      <c r="L114" s="1103"/>
      <c r="M114" s="1025"/>
      <c r="N114" s="1103"/>
      <c r="O114" s="1025"/>
      <c r="P114" s="1103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ht="14.25" customHeight="1">
      <c r="A115" s="1"/>
      <c r="B115" s="89" t="s">
        <v>636</v>
      </c>
      <c r="C115" s="180"/>
      <c r="D115" s="1033"/>
      <c r="E115" s="39"/>
      <c r="F115" s="1103">
        <f>'G Price-Aid'!F18</f>
        <v>120000</v>
      </c>
      <c r="G115" s="1025"/>
      <c r="H115" s="1103">
        <f>'G Price-Aid'!H18</f>
        <v>120000</v>
      </c>
      <c r="I115" s="1025"/>
      <c r="J115" s="1103">
        <f>'G Price-Aid'!J18</f>
        <v>120000</v>
      </c>
      <c r="K115" s="1025"/>
      <c r="L115" s="1103">
        <f>'G Price-Aid'!L18</f>
        <v>120000</v>
      </c>
      <c r="M115" s="1025"/>
      <c r="N115" s="1103">
        <f>'G Price-Aid'!N18</f>
        <v>120000</v>
      </c>
      <c r="O115" s="1025"/>
      <c r="P115" s="1103">
        <f>'G Price-Aid'!P18</f>
        <v>120000</v>
      </c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ht="4.5" customHeight="1">
      <c r="A116" s="1"/>
      <c r="B116" s="89"/>
      <c r="C116" s="89"/>
      <c r="D116" s="39"/>
      <c r="E116" s="39"/>
      <c r="F116" s="1103"/>
      <c r="G116" s="437"/>
      <c r="H116" s="1103"/>
      <c r="I116" s="437"/>
      <c r="J116" s="1103"/>
      <c r="K116" s="940"/>
      <c r="L116" s="1103"/>
      <c r="M116" s="940"/>
      <c r="N116" s="1103"/>
      <c r="O116" s="437"/>
      <c r="P116" s="1103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ht="14.25" customHeight="1">
      <c r="A117" s="1"/>
      <c r="B117" s="89" t="s">
        <v>638</v>
      </c>
      <c r="C117" s="89"/>
      <c r="D117" s="39"/>
      <c r="E117" s="39"/>
      <c r="F117" s="83">
        <v>900000.0</v>
      </c>
      <c r="G117" s="437"/>
      <c r="H117" s="83"/>
      <c r="I117" s="940"/>
      <c r="J117" s="83"/>
      <c r="K117" s="940"/>
      <c r="L117" s="83"/>
      <c r="M117" s="437"/>
      <c r="N117" s="83"/>
      <c r="O117" s="437"/>
      <c r="P117" s="83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ht="4.5" customHeight="1">
      <c r="A118" s="1"/>
      <c r="B118" s="89"/>
      <c r="C118" s="89"/>
      <c r="D118" s="39"/>
      <c r="E118" s="39"/>
      <c r="F118" s="1103"/>
      <c r="G118" s="437"/>
      <c r="H118" s="1103"/>
      <c r="I118" s="940"/>
      <c r="J118" s="1103"/>
      <c r="K118" s="940"/>
      <c r="L118" s="1103"/>
      <c r="M118" s="437"/>
      <c r="N118" s="1103"/>
      <c r="O118" s="437"/>
      <c r="P118" s="1103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ht="14.25" customHeight="1">
      <c r="A119" s="1"/>
      <c r="B119" s="89" t="s">
        <v>639</v>
      </c>
      <c r="C119" s="89"/>
      <c r="D119" s="39"/>
      <c r="E119" s="39"/>
      <c r="F119" s="83">
        <v>2125000.0</v>
      </c>
      <c r="G119" s="437"/>
      <c r="H119" s="83">
        <v>3200000.0</v>
      </c>
      <c r="I119" s="940"/>
      <c r="J119" s="83">
        <v>2800000.0</v>
      </c>
      <c r="K119" s="940"/>
      <c r="L119" s="83">
        <v>1800000.0</v>
      </c>
      <c r="M119" s="437"/>
      <c r="N119" s="83">
        <v>1400000.0</v>
      </c>
      <c r="O119" s="437"/>
      <c r="P119" s="83">
        <v>1000000.0</v>
      </c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ht="4.5" customHeight="1">
      <c r="A120" s="1"/>
      <c r="B120" s="89"/>
      <c r="C120" s="89"/>
      <c r="D120" s="39"/>
      <c r="E120" s="39"/>
      <c r="F120" s="1103"/>
      <c r="G120" s="437"/>
      <c r="H120" s="1103"/>
      <c r="I120" s="940"/>
      <c r="J120" s="1103"/>
      <c r="K120" s="940"/>
      <c r="L120" s="1103"/>
      <c r="M120" s="437"/>
      <c r="N120" s="1103"/>
      <c r="O120" s="437"/>
      <c r="P120" s="1103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ht="20.25" customHeight="1">
      <c r="A121" s="1"/>
      <c r="B121" s="180" t="s">
        <v>641</v>
      </c>
      <c r="C121" s="180"/>
      <c r="D121" s="39"/>
      <c r="E121" s="39"/>
      <c r="F121" s="1103">
        <f>F109-F111+F113+F117-F119</f>
        <v>2375000</v>
      </c>
      <c r="G121" s="437"/>
      <c r="H121" s="1103">
        <f>H113+H117-H119</f>
        <v>-400000</v>
      </c>
      <c r="I121" s="437"/>
      <c r="J121" s="1103">
        <f>J113+J117-J119</f>
        <v>-600000</v>
      </c>
      <c r="K121" s="940"/>
      <c r="L121" s="1103">
        <f>L113+L117-L119</f>
        <v>200000</v>
      </c>
      <c r="M121" s="940"/>
      <c r="N121" s="1103">
        <f>N113+N117-N119</f>
        <v>100000</v>
      </c>
      <c r="O121" s="437"/>
      <c r="P121" s="1103">
        <f>P113+P117-P119</f>
        <v>500000</v>
      </c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ht="5.25" customHeight="1">
      <c r="A122" s="1"/>
      <c r="B122" s="89"/>
      <c r="C122" s="89"/>
      <c r="D122" s="39"/>
      <c r="E122" s="39"/>
      <c r="F122" s="1141"/>
      <c r="G122" s="437"/>
      <c r="H122" s="438"/>
      <c r="I122" s="438"/>
      <c r="J122" s="438"/>
      <c r="K122" s="438"/>
      <c r="L122" s="438"/>
      <c r="M122" s="438"/>
      <c r="N122" s="438"/>
      <c r="O122" s="438"/>
      <c r="P122" s="438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ht="14.25" customHeight="1">
      <c r="A123" s="1"/>
      <c r="B123" s="89" t="s">
        <v>644</v>
      </c>
      <c r="C123" s="89"/>
      <c r="D123" s="39"/>
      <c r="E123" s="39"/>
      <c r="F123" s="1141" t="str">
        <f>IF('J Proj CY'!F151&gt;1,'J Proj CY'!F70,'J Proj CY'!L70)</f>
        <v/>
      </c>
      <c r="G123" s="437"/>
      <c r="H123" s="83"/>
      <c r="I123" s="940"/>
      <c r="J123" s="83"/>
      <c r="K123" s="940"/>
      <c r="L123" s="83"/>
      <c r="M123" s="437"/>
      <c r="N123" s="83"/>
      <c r="O123" s="437"/>
      <c r="P123" s="83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ht="4.5" customHeight="1">
      <c r="A124" s="1"/>
      <c r="B124" s="89"/>
      <c r="C124" s="89"/>
      <c r="D124" s="39"/>
      <c r="E124" s="39"/>
      <c r="F124" s="1103"/>
      <c r="G124" s="437"/>
      <c r="H124" s="1103"/>
      <c r="I124" s="437"/>
      <c r="J124" s="1103"/>
      <c r="K124" s="940"/>
      <c r="L124" s="1103"/>
      <c r="M124" s="940"/>
      <c r="N124" s="1103"/>
      <c r="O124" s="437"/>
      <c r="P124" s="1103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ht="14.25" customHeight="1">
      <c r="A125" s="1"/>
      <c r="B125" s="1"/>
      <c r="C125" s="1"/>
      <c r="D125" s="39"/>
      <c r="E125" s="39"/>
      <c r="F125" s="438"/>
      <c r="G125" s="437"/>
      <c r="H125" s="438"/>
      <c r="I125" s="437"/>
      <c r="J125" s="438"/>
      <c r="K125" s="940"/>
      <c r="L125" s="438"/>
      <c r="M125" s="940"/>
      <c r="N125" s="438"/>
      <c r="O125" s="437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ht="46.5" customHeight="1">
      <c r="A126" s="1"/>
      <c r="B126" s="89"/>
      <c r="C126" s="185"/>
      <c r="D126" s="39"/>
      <c r="E126" s="39"/>
      <c r="F126" s="1075" t="str">
        <f>IF('J Proj CY'!F$151&gt;1,"Projected","Budgeted")</f>
        <v>Projected</v>
      </c>
      <c r="G126" s="437"/>
      <c r="H126" s="438"/>
      <c r="I126" s="437"/>
      <c r="J126" s="438"/>
      <c r="K126" s="940"/>
      <c r="L126" s="438"/>
      <c r="M126" s="940"/>
      <c r="N126" s="1145"/>
      <c r="O126" s="430">
        <f>'A Cover'!$G$12</f>
        <v>46307</v>
      </c>
      <c r="P126" s="21"/>
      <c r="Q126" s="1145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ht="14.25" customHeight="1">
      <c r="A127" s="1"/>
      <c r="B127" s="180" t="s">
        <v>647</v>
      </c>
      <c r="C127" s="180"/>
      <c r="D127" s="39"/>
      <c r="E127" s="39"/>
      <c r="F127" s="1077" t="str">
        <f>'F Population'!P$6</f>
        <v>2026 - 27</v>
      </c>
      <c r="G127" s="39"/>
      <c r="H127" s="1077" t="str">
        <f>'F Population'!U$6</f>
        <v>2027 - 28</v>
      </c>
      <c r="I127" s="39"/>
      <c r="J127" s="1077" t="str">
        <f>'F Population'!W$6</f>
        <v>2028 - 29</v>
      </c>
      <c r="K127" s="39"/>
      <c r="L127" s="1077" t="str">
        <f>'F Population'!Y$6</f>
        <v>2029 - 30</v>
      </c>
      <c r="M127" s="39"/>
      <c r="N127" s="1077" t="str">
        <f>'F Population'!AA$6</f>
        <v>2030 - 31</v>
      </c>
      <c r="O127" s="39"/>
      <c r="P127" s="1077" t="str">
        <f>'F Population'!AC$6</f>
        <v>2031 - 32</v>
      </c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ht="4.5" customHeight="1">
      <c r="A128" s="1"/>
      <c r="B128" s="82"/>
      <c r="C128" s="82"/>
      <c r="D128" s="39"/>
      <c r="E128" s="39"/>
      <c r="F128" s="1103"/>
      <c r="G128" s="437"/>
      <c r="H128" s="438"/>
      <c r="I128" s="437"/>
      <c r="J128" s="438"/>
      <c r="K128" s="940"/>
      <c r="L128" s="438"/>
      <c r="M128" s="940"/>
      <c r="N128" s="438"/>
      <c r="O128" s="437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ht="14.25" customHeight="1">
      <c r="A129" s="1"/>
      <c r="B129" s="89" t="s">
        <v>650</v>
      </c>
      <c r="C129" s="82"/>
      <c r="D129" s="39"/>
      <c r="E129" s="39"/>
      <c r="F129" s="1103">
        <f>'L Capital'!L101</f>
        <v>3600000</v>
      </c>
      <c r="G129" s="437"/>
      <c r="H129" s="1103">
        <f>'L Capital'!P101</f>
        <v>5400000</v>
      </c>
      <c r="I129" s="437"/>
      <c r="J129" s="1103">
        <f>'L Capital'!T101</f>
        <v>5300000</v>
      </c>
      <c r="K129" s="940"/>
      <c r="L129" s="1103">
        <f>'L Capital'!X101</f>
        <v>3000000</v>
      </c>
      <c r="M129" s="940"/>
      <c r="N129" s="1103">
        <f>'L Capital'!AB101</f>
        <v>3500000</v>
      </c>
      <c r="O129" s="437"/>
      <c r="P129" s="1103">
        <f>'L Capital'!AF101</f>
        <v>1000000</v>
      </c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ht="4.5" customHeight="1">
      <c r="A130" s="1"/>
      <c r="B130" s="89"/>
      <c r="C130" s="309"/>
      <c r="D130" s="39"/>
      <c r="E130" s="39"/>
      <c r="F130" s="438"/>
      <c r="G130" s="437"/>
      <c r="H130" s="438"/>
      <c r="I130" s="437"/>
      <c r="J130" s="438"/>
      <c r="K130" s="940"/>
      <c r="L130" s="438"/>
      <c r="M130" s="940"/>
      <c r="N130" s="438"/>
      <c r="O130" s="437"/>
      <c r="P130" s="438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ht="14.25" customHeight="1">
      <c r="A131" s="1"/>
      <c r="B131" s="89" t="s">
        <v>654</v>
      </c>
      <c r="C131" s="82"/>
      <c r="D131" s="39"/>
      <c r="E131" s="39"/>
      <c r="F131" s="1103">
        <f>-'L Capital'!L281</f>
        <v>-2934772</v>
      </c>
      <c r="G131" s="1156"/>
      <c r="H131" s="1103">
        <f>-'L Capital'!P281</f>
        <v>-3200000</v>
      </c>
      <c r="I131" s="1156"/>
      <c r="J131" s="1103">
        <f>-'L Capital'!T281</f>
        <v>-1300000</v>
      </c>
      <c r="K131" s="1157"/>
      <c r="L131" s="1103">
        <f>-'L Capital'!X281</f>
        <v>0</v>
      </c>
      <c r="M131" s="1157"/>
      <c r="N131" s="1103">
        <f>-'L Capital'!AB281</f>
        <v>0</v>
      </c>
      <c r="O131" s="1156"/>
      <c r="P131" s="1103">
        <f>-'L Capital'!AF281</f>
        <v>0</v>
      </c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ht="4.5" customHeight="1">
      <c r="A132" s="1"/>
      <c r="B132" s="89"/>
      <c r="C132" s="82"/>
      <c r="D132" s="39"/>
      <c r="E132" s="39"/>
      <c r="F132" s="1103"/>
      <c r="G132" s="1156"/>
      <c r="H132" s="1103"/>
      <c r="I132" s="1156"/>
      <c r="J132" s="1103"/>
      <c r="K132" s="1157"/>
      <c r="L132" s="1103"/>
      <c r="M132" s="1157"/>
      <c r="N132" s="1103"/>
      <c r="O132" s="1156"/>
      <c r="P132" s="1103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ht="14.25" customHeight="1">
      <c r="A133" s="1"/>
      <c r="B133" s="89" t="s">
        <v>657</v>
      </c>
      <c r="C133" s="82"/>
      <c r="D133" s="39"/>
      <c r="E133" s="39"/>
      <c r="F133" s="1103">
        <f>F90</f>
        <v>5543240.22</v>
      </c>
      <c r="G133" s="1156"/>
      <c r="H133" s="1103">
        <f>H90</f>
        <v>6300528.264</v>
      </c>
      <c r="I133" s="1156"/>
      <c r="J133" s="1103">
        <f>J90</f>
        <v>6906334.74</v>
      </c>
      <c r="K133" s="1157"/>
      <c r="L133" s="1103">
        <f>L90</f>
        <v>7480727.305</v>
      </c>
      <c r="M133" s="1157"/>
      <c r="N133" s="1103">
        <f>N90</f>
        <v>8029528.84</v>
      </c>
      <c r="O133" s="1156"/>
      <c r="P133" s="1103">
        <f>P90</f>
        <v>8576910.879</v>
      </c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ht="5.25" customHeight="1">
      <c r="A134" s="1"/>
      <c r="B134" s="89"/>
      <c r="C134" s="82"/>
      <c r="D134" s="39"/>
      <c r="E134" s="39"/>
      <c r="F134" s="1103"/>
      <c r="G134" s="1156"/>
      <c r="H134" s="1103"/>
      <c r="I134" s="1156"/>
      <c r="J134" s="1103"/>
      <c r="K134" s="1157"/>
      <c r="L134" s="1103"/>
      <c r="M134" s="1157"/>
      <c r="N134" s="1103"/>
      <c r="O134" s="1156"/>
      <c r="P134" s="1103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ht="14.25" customHeight="1">
      <c r="A135" s="1"/>
      <c r="B135" s="89" t="s">
        <v>659</v>
      </c>
      <c r="C135" s="82"/>
      <c r="D135" s="39"/>
      <c r="E135" s="39"/>
      <c r="F135" s="1103">
        <f>F92</f>
        <v>-3634130.817</v>
      </c>
      <c r="G135" s="1156"/>
      <c r="H135" s="1103">
        <f>H92</f>
        <v>-4203753.666</v>
      </c>
      <c r="I135" s="1156"/>
      <c r="J135" s="1103">
        <f>J92</f>
        <v>-4833125.325</v>
      </c>
      <c r="K135" s="1157"/>
      <c r="L135" s="1103">
        <f>L92</f>
        <v>-5434035.049</v>
      </c>
      <c r="M135" s="1157"/>
      <c r="N135" s="1103">
        <f>N92</f>
        <v>-6037994.869</v>
      </c>
      <c r="O135" s="1156"/>
      <c r="P135" s="1103">
        <f>P92</f>
        <v>-6663584.301</v>
      </c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ht="4.5" customHeight="1">
      <c r="A136" s="1"/>
      <c r="B136" s="89"/>
      <c r="C136" s="82"/>
      <c r="D136" s="39"/>
      <c r="E136" s="39"/>
      <c r="F136" s="438"/>
      <c r="G136" s="437"/>
      <c r="H136" s="438"/>
      <c r="I136" s="437"/>
      <c r="J136" s="438"/>
      <c r="K136" s="940"/>
      <c r="L136" s="438"/>
      <c r="M136" s="940"/>
      <c r="N136" s="438"/>
      <c r="O136" s="437"/>
      <c r="P136" s="438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ht="13.5" customHeight="1">
      <c r="A137" s="1"/>
      <c r="B137" s="89" t="s">
        <v>661</v>
      </c>
      <c r="C137" s="82"/>
      <c r="D137" s="39"/>
      <c r="E137" s="39"/>
      <c r="F137" s="1162">
        <f>F121</f>
        <v>2375000</v>
      </c>
      <c r="G137" s="1163"/>
      <c r="H137" s="1162">
        <f>H121</f>
        <v>-400000</v>
      </c>
      <c r="I137" s="1164"/>
      <c r="J137" s="1162">
        <f>J121</f>
        <v>-600000</v>
      </c>
      <c r="K137" s="1165"/>
      <c r="L137" s="1162">
        <f>L121</f>
        <v>200000</v>
      </c>
      <c r="M137" s="1165"/>
      <c r="N137" s="1162">
        <f>N121</f>
        <v>100000</v>
      </c>
      <c r="O137" s="1163"/>
      <c r="P137" s="1162">
        <f>P121</f>
        <v>500000</v>
      </c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ht="4.5" customHeight="1">
      <c r="A138" s="1"/>
      <c r="B138" s="309"/>
      <c r="C138" s="309"/>
      <c r="D138" s="39"/>
      <c r="E138" s="39"/>
      <c r="F138" s="438"/>
      <c r="G138" s="437"/>
      <c r="H138" s="438"/>
      <c r="I138" s="437"/>
      <c r="J138" s="438"/>
      <c r="K138" s="940"/>
      <c r="L138" s="438"/>
      <c r="M138" s="940"/>
      <c r="N138" s="438"/>
      <c r="O138" s="437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ht="14.25" customHeight="1">
      <c r="A139" s="1"/>
      <c r="B139" s="180" t="s">
        <v>664</v>
      </c>
      <c r="C139" s="180"/>
      <c r="D139" s="82"/>
      <c r="E139" s="82"/>
      <c r="F139" s="1162">
        <f>SUM(F129:F137)</f>
        <v>4949337.403</v>
      </c>
      <c r="G139" s="437"/>
      <c r="H139" s="1162">
        <f>SUM(H129:H137)</f>
        <v>3896774.598</v>
      </c>
      <c r="I139" s="437"/>
      <c r="J139" s="1162">
        <f>SUM(J129:J137)</f>
        <v>5473209.415</v>
      </c>
      <c r="K139" s="940"/>
      <c r="L139" s="1162">
        <f>SUM(L129:L137)</f>
        <v>5246692.256</v>
      </c>
      <c r="M139" s="940"/>
      <c r="N139" s="1162">
        <f>SUM(N129:N137)</f>
        <v>5591533.972</v>
      </c>
      <c r="O139" s="437"/>
      <c r="P139" s="1162">
        <f>SUM(P129:P137)</f>
        <v>3413326.577</v>
      </c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ht="8.25" customHeight="1">
      <c r="A140" s="1"/>
      <c r="B140" s="1"/>
      <c r="C140" s="1"/>
      <c r="D140" s="39"/>
      <c r="E140" s="39"/>
      <c r="F140" s="1075"/>
      <c r="G140" s="1035"/>
      <c r="H140" s="1047"/>
      <c r="I140" s="464"/>
      <c r="J140" s="1047"/>
      <c r="K140" s="464"/>
      <c r="L140" s="1047"/>
      <c r="M140" s="464"/>
      <c r="N140" s="1047"/>
      <c r="O140" s="437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ht="16.5" customHeight="1">
      <c r="A141" s="1"/>
      <c r="B141" s="180" t="s">
        <v>665</v>
      </c>
      <c r="C141" s="82"/>
      <c r="D141" s="39"/>
      <c r="E141" s="39"/>
      <c r="F141" s="438"/>
      <c r="G141" s="437"/>
      <c r="H141" s="438"/>
      <c r="I141" s="437"/>
      <c r="J141" s="438"/>
      <c r="K141" s="940"/>
      <c r="L141" s="438"/>
      <c r="M141" s="940"/>
      <c r="N141" s="438"/>
      <c r="O141" s="437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ht="4.5" customHeight="1">
      <c r="A142" s="1"/>
      <c r="B142" s="82"/>
      <c r="C142" s="82"/>
      <c r="D142" s="39"/>
      <c r="E142" s="39"/>
      <c r="F142" s="1103"/>
      <c r="G142" s="437"/>
      <c r="H142" s="438"/>
      <c r="I142" s="437"/>
      <c r="J142" s="438"/>
      <c r="K142" s="940"/>
      <c r="L142" s="438"/>
      <c r="M142" s="940"/>
      <c r="N142" s="438"/>
      <c r="O142" s="437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ht="15.0" customHeight="1">
      <c r="A143" s="1"/>
      <c r="B143" s="89" t="s">
        <v>666</v>
      </c>
      <c r="C143" s="82"/>
      <c r="D143" s="39"/>
      <c r="E143" s="39"/>
      <c r="F143" s="1103">
        <f>'R Bal sheets'!F13</f>
        <v>91599695</v>
      </c>
      <c r="G143" s="437"/>
      <c r="H143" s="1103">
        <f>'R Bal sheets'!H13</f>
        <v>101008804.4</v>
      </c>
      <c r="I143" s="437"/>
      <c r="J143" s="1103">
        <f>'R Bal sheets'!J13</f>
        <v>111105579</v>
      </c>
      <c r="K143" s="940"/>
      <c r="L143" s="1103">
        <f>'R Bal sheets'!L13</f>
        <v>121178788.4</v>
      </c>
      <c r="M143" s="940"/>
      <c r="N143" s="1103">
        <f>'R Bal sheets'!N13</f>
        <v>130225480.7</v>
      </c>
      <c r="O143" s="437"/>
      <c r="P143" s="1103">
        <f>'R Bal sheets'!P13</f>
        <v>139417014.6</v>
      </c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ht="4.5" customHeight="1">
      <c r="A144" s="1"/>
      <c r="B144" s="89"/>
      <c r="C144" s="309"/>
      <c r="D144" s="39"/>
      <c r="E144" s="39"/>
      <c r="F144" s="438"/>
      <c r="G144" s="437"/>
      <c r="H144" s="438"/>
      <c r="I144" s="437"/>
      <c r="J144" s="438"/>
      <c r="K144" s="940"/>
      <c r="L144" s="438"/>
      <c r="M144" s="940"/>
      <c r="N144" s="438"/>
      <c r="O144" s="437"/>
      <c r="P144" s="438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ht="14.25" customHeight="1">
      <c r="A145" s="1"/>
      <c r="B145" s="89" t="s">
        <v>668</v>
      </c>
      <c r="C145" s="82"/>
      <c r="D145" s="39"/>
      <c r="E145" s="39"/>
      <c r="F145" s="1103">
        <f>F90</f>
        <v>5543240.22</v>
      </c>
      <c r="G145" s="1156"/>
      <c r="H145" s="1103">
        <f>H90</f>
        <v>6300528.264</v>
      </c>
      <c r="I145" s="1156"/>
      <c r="J145" s="1103">
        <f>J90</f>
        <v>6906334.74</v>
      </c>
      <c r="K145" s="1157"/>
      <c r="L145" s="1103">
        <f>L90</f>
        <v>7480727.305</v>
      </c>
      <c r="M145" s="1157"/>
      <c r="N145" s="1103">
        <f>N90</f>
        <v>8029528.84</v>
      </c>
      <c r="O145" s="1156"/>
      <c r="P145" s="1103">
        <f>P90</f>
        <v>8576910.879</v>
      </c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ht="4.5" customHeight="1">
      <c r="A146" s="1"/>
      <c r="B146" s="89"/>
      <c r="C146" s="82"/>
      <c r="D146" s="39"/>
      <c r="E146" s="39"/>
      <c r="F146" s="1103"/>
      <c r="G146" s="1156"/>
      <c r="H146" s="1103"/>
      <c r="I146" s="1156"/>
      <c r="J146" s="1103"/>
      <c r="K146" s="1157"/>
      <c r="L146" s="1103"/>
      <c r="M146" s="1157"/>
      <c r="N146" s="1103"/>
      <c r="O146" s="1156"/>
      <c r="P146" s="1103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ht="14.25" customHeight="1">
      <c r="A147" s="1"/>
      <c r="B147" s="1" t="s">
        <v>670</v>
      </c>
      <c r="C147" s="1"/>
      <c r="D147" s="39"/>
      <c r="E147" s="39"/>
      <c r="F147" s="1103">
        <f>F74</f>
        <v>3000000</v>
      </c>
      <c r="G147" s="1156"/>
      <c r="H147" s="1103">
        <f>H74</f>
        <v>3000000</v>
      </c>
      <c r="I147" s="1156"/>
      <c r="J147" s="1103">
        <f>J74</f>
        <v>3000000</v>
      </c>
      <c r="K147" s="1157"/>
      <c r="L147" s="1103">
        <f>L74</f>
        <v>3000000</v>
      </c>
      <c r="M147" s="1157"/>
      <c r="N147" s="1103">
        <f>N74</f>
        <v>3000000</v>
      </c>
      <c r="O147" s="1156"/>
      <c r="P147" s="1103">
        <f>P74</f>
        <v>3000000</v>
      </c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ht="6.0" customHeight="1">
      <c r="A148" s="1"/>
      <c r="B148" s="89"/>
      <c r="C148" s="82"/>
      <c r="D148" s="39"/>
      <c r="E148" s="39"/>
      <c r="F148" s="1103"/>
      <c r="G148" s="437"/>
      <c r="H148" s="1103"/>
      <c r="I148" s="437"/>
      <c r="J148" s="1103"/>
      <c r="K148" s="940"/>
      <c r="L148" s="1103"/>
      <c r="M148" s="940"/>
      <c r="N148" s="1103"/>
      <c r="O148" s="437"/>
      <c r="P148" s="1103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ht="13.5" customHeight="1">
      <c r="A149" s="1"/>
      <c r="B149" s="1" t="s">
        <v>672</v>
      </c>
      <c r="C149" s="1"/>
      <c r="D149" s="39"/>
      <c r="E149" s="39"/>
      <c r="F149" s="1103">
        <f>F56</f>
        <v>4500000</v>
      </c>
      <c r="G149" s="1163"/>
      <c r="H149" s="1103">
        <f>H56</f>
        <v>5000000</v>
      </c>
      <c r="I149" s="1164"/>
      <c r="J149" s="1103">
        <f>J56</f>
        <v>5000000</v>
      </c>
      <c r="K149" s="1165"/>
      <c r="L149" s="1103">
        <f>L56</f>
        <v>4000000</v>
      </c>
      <c r="M149" s="1165"/>
      <c r="N149" s="1103">
        <f>N56</f>
        <v>4200000</v>
      </c>
      <c r="O149" s="1163"/>
      <c r="P149" s="1103">
        <f>P56</f>
        <v>4063000</v>
      </c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ht="6.0" customHeight="1">
      <c r="A150" s="1"/>
      <c r="B150" s="309"/>
      <c r="C150" s="309"/>
      <c r="D150" s="39"/>
      <c r="E150" s="39"/>
      <c r="F150" s="1103"/>
      <c r="G150" s="437"/>
      <c r="H150" s="1103"/>
      <c r="I150" s="437"/>
      <c r="J150" s="1103"/>
      <c r="K150" s="940"/>
      <c r="L150" s="1103"/>
      <c r="M150" s="940"/>
      <c r="N150" s="1103"/>
      <c r="O150" s="437"/>
      <c r="P150" s="1103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ht="14.25" customHeight="1">
      <c r="A151" s="1"/>
      <c r="B151" s="89" t="s">
        <v>673</v>
      </c>
      <c r="C151" s="82"/>
      <c r="D151" s="39"/>
      <c r="E151" s="39"/>
      <c r="F151" s="1103">
        <f>F92</f>
        <v>-3634130.817</v>
      </c>
      <c r="G151" s="437"/>
      <c r="H151" s="1103">
        <f>H92</f>
        <v>-4203753.666</v>
      </c>
      <c r="I151" s="437"/>
      <c r="J151" s="1103">
        <f>J92</f>
        <v>-4833125.325</v>
      </c>
      <c r="K151" s="940"/>
      <c r="L151" s="1103">
        <f>L92</f>
        <v>-5434035.049</v>
      </c>
      <c r="M151" s="940"/>
      <c r="N151" s="1103">
        <f>N92</f>
        <v>-6037994.869</v>
      </c>
      <c r="O151" s="437"/>
      <c r="P151" s="1103">
        <f>P92</f>
        <v>-6663584.301</v>
      </c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ht="6.0" customHeight="1">
      <c r="A152" s="1"/>
      <c r="B152" s="82"/>
      <c r="C152" s="82"/>
      <c r="D152" s="39"/>
      <c r="E152" s="39"/>
      <c r="F152" s="1103"/>
      <c r="G152" s="437"/>
      <c r="H152" s="1103"/>
      <c r="I152" s="437"/>
      <c r="J152" s="1103"/>
      <c r="K152" s="940"/>
      <c r="L152" s="1103"/>
      <c r="M152" s="940"/>
      <c r="N152" s="1103"/>
      <c r="O152" s="437"/>
      <c r="P152" s="1103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ht="14.25" customHeight="1">
      <c r="A153" s="1"/>
      <c r="B153" s="89" t="s">
        <v>675</v>
      </c>
      <c r="C153" s="82"/>
      <c r="D153" s="39"/>
      <c r="E153" s="39"/>
      <c r="F153" s="1103" t="str">
        <f>F99</f>
        <v/>
      </c>
      <c r="G153" s="437"/>
      <c r="H153" s="1103" t="str">
        <f>H99</f>
        <v/>
      </c>
      <c r="I153" s="437"/>
      <c r="J153" s="1103" t="str">
        <f>J99</f>
        <v/>
      </c>
      <c r="K153" s="940"/>
      <c r="L153" s="1103" t="str">
        <f>L99</f>
        <v/>
      </c>
      <c r="M153" s="940"/>
      <c r="N153" s="1103" t="str">
        <f>N99</f>
        <v/>
      </c>
      <c r="O153" s="437"/>
      <c r="P153" s="1103" t="str">
        <f>P99</f>
        <v/>
      </c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ht="6.0" customHeight="1">
      <c r="A154" s="1"/>
      <c r="B154" s="89"/>
      <c r="C154" s="309"/>
      <c r="D154" s="39"/>
      <c r="E154" s="39"/>
      <c r="F154" s="1103"/>
      <c r="G154" s="437"/>
      <c r="H154" s="1103"/>
      <c r="I154" s="437"/>
      <c r="J154" s="1103"/>
      <c r="K154" s="940"/>
      <c r="L154" s="1103"/>
      <c r="M154" s="940"/>
      <c r="N154" s="1103"/>
      <c r="O154" s="437"/>
      <c r="P154" s="1103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ht="14.25" customHeight="1">
      <c r="A155" s="1"/>
      <c r="B155" s="89" t="s">
        <v>678</v>
      </c>
      <c r="C155" s="82"/>
      <c r="D155" s="39"/>
      <c r="E155" s="39"/>
      <c r="F155" s="1103">
        <f>F96</f>
        <v>150000</v>
      </c>
      <c r="G155" s="1156"/>
      <c r="H155" s="1103">
        <f>H96</f>
        <v>177741.48</v>
      </c>
      <c r="I155" s="1156"/>
      <c r="J155" s="1103">
        <f>J96</f>
        <v>177741.48</v>
      </c>
      <c r="K155" s="1157"/>
      <c r="L155" s="1103">
        <f>L96</f>
        <v>177741.48</v>
      </c>
      <c r="M155" s="1157"/>
      <c r="N155" s="1103">
        <f>N96</f>
        <v>177741.48</v>
      </c>
      <c r="O155" s="1156"/>
      <c r="P155" s="1103">
        <f>P96</f>
        <v>177741.48</v>
      </c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ht="4.5" customHeight="1">
      <c r="A156" s="1"/>
      <c r="B156" s="89"/>
      <c r="C156" s="82"/>
      <c r="D156" s="39"/>
      <c r="E156" s="39"/>
      <c r="F156" s="1103"/>
      <c r="G156" s="1156"/>
      <c r="H156" s="1103"/>
      <c r="I156" s="1156"/>
      <c r="J156" s="1103"/>
      <c r="K156" s="1157"/>
      <c r="L156" s="1103"/>
      <c r="M156" s="1157"/>
      <c r="N156" s="1103"/>
      <c r="O156" s="1156"/>
      <c r="P156" s="1103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ht="14.25" customHeight="1">
      <c r="A157" s="1"/>
      <c r="B157" s="1" t="s">
        <v>680</v>
      </c>
      <c r="C157" s="1"/>
      <c r="D157" s="39"/>
      <c r="E157" s="39"/>
      <c r="F157" s="1162">
        <f>-F155</f>
        <v>-150000</v>
      </c>
      <c r="G157" s="1156"/>
      <c r="H157" s="1162">
        <f>-H155</f>
        <v>-177741.48</v>
      </c>
      <c r="I157" s="1156"/>
      <c r="J157" s="1162">
        <f>-J155</f>
        <v>-177741.48</v>
      </c>
      <c r="K157" s="1157"/>
      <c r="L157" s="1162">
        <f>-L155</f>
        <v>-177741.48</v>
      </c>
      <c r="M157" s="1157"/>
      <c r="N157" s="1162">
        <f>-N155</f>
        <v>-177741.48</v>
      </c>
      <c r="O157" s="1156"/>
      <c r="P157" s="1162">
        <f>-P155</f>
        <v>-177741.48</v>
      </c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ht="6.0" customHeight="1">
      <c r="A158" s="1"/>
      <c r="B158" s="89"/>
      <c r="C158" s="82"/>
      <c r="D158" s="39"/>
      <c r="E158" s="39"/>
      <c r="F158" s="1103"/>
      <c r="G158" s="437"/>
      <c r="H158" s="1103"/>
      <c r="I158" s="437"/>
      <c r="J158" s="1103"/>
      <c r="K158" s="940"/>
      <c r="L158" s="1103"/>
      <c r="M158" s="940"/>
      <c r="N158" s="1103"/>
      <c r="O158" s="437"/>
      <c r="P158" s="1103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ht="13.5" customHeight="1">
      <c r="A159" s="1"/>
      <c r="B159" s="1" t="s">
        <v>683</v>
      </c>
      <c r="C159" s="1"/>
      <c r="D159" s="39"/>
      <c r="E159" s="39"/>
      <c r="F159" s="1162">
        <f>SUM(F143:F157)</f>
        <v>101008804.4</v>
      </c>
      <c r="G159" s="1163"/>
      <c r="H159" s="1162">
        <f>SUM(H143:H157)</f>
        <v>111105579</v>
      </c>
      <c r="I159" s="1164"/>
      <c r="J159" s="1162">
        <f>SUM(J143:J157)</f>
        <v>121178788.4</v>
      </c>
      <c r="K159" s="1165"/>
      <c r="L159" s="1162">
        <f>SUM(L143:L157)</f>
        <v>130225480.7</v>
      </c>
      <c r="M159" s="1165"/>
      <c r="N159" s="1162">
        <f>SUM(N143:N157)</f>
        <v>139417014.6</v>
      </c>
      <c r="O159" s="1163"/>
      <c r="P159" s="1162">
        <f>SUM(P143:P157)</f>
        <v>148393341.2</v>
      </c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ht="6.0" customHeight="1">
      <c r="A160" s="1"/>
      <c r="B160" s="309"/>
      <c r="C160" s="309"/>
      <c r="D160" s="39"/>
      <c r="E160" s="39"/>
      <c r="F160" s="438"/>
      <c r="G160" s="437"/>
      <c r="H160" s="438"/>
      <c r="I160" s="437"/>
      <c r="J160" s="438"/>
      <c r="K160" s="940"/>
      <c r="L160" s="438"/>
      <c r="M160" s="940"/>
      <c r="N160" s="438"/>
      <c r="O160" s="437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ht="14.25" customHeight="1">
      <c r="A161" s="1"/>
      <c r="B161" s="89"/>
      <c r="C161" s="82"/>
      <c r="D161" s="39"/>
      <c r="E161" s="39"/>
      <c r="F161" s="1103">
        <f>F105-F159</f>
        <v>0</v>
      </c>
      <c r="G161" s="437"/>
      <c r="H161" s="1103">
        <f>H105-H159</f>
        <v>0</v>
      </c>
      <c r="I161" s="437"/>
      <c r="J161" s="1103">
        <f>J105-J159</f>
        <v>0</v>
      </c>
      <c r="K161" s="940"/>
      <c r="L161" s="1103">
        <f>L105-L159</f>
        <v>0</v>
      </c>
      <c r="M161" s="940"/>
      <c r="N161" s="1103">
        <f>N105-N159</f>
        <v>0.00000002980232239</v>
      </c>
      <c r="O161" s="437"/>
      <c r="P161" s="1103">
        <f>P105-P159</f>
        <v>0</v>
      </c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ht="14.25" customHeight="1">
      <c r="A162" s="1"/>
      <c r="B162" s="1"/>
      <c r="C162" s="1"/>
      <c r="D162" s="39"/>
      <c r="E162" s="39"/>
      <c r="F162" s="438"/>
      <c r="G162" s="437"/>
      <c r="H162" s="438"/>
      <c r="I162" s="437"/>
      <c r="J162" s="438"/>
      <c r="K162" s="940"/>
      <c r="L162" s="438"/>
      <c r="M162" s="940"/>
      <c r="N162" s="438"/>
      <c r="O162" s="437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ht="14.25" customHeight="1">
      <c r="A163" s="1"/>
      <c r="B163" s="1"/>
      <c r="C163" s="1"/>
      <c r="D163" s="39"/>
      <c r="E163" s="39"/>
      <c r="F163" s="438"/>
      <c r="G163" s="437"/>
      <c r="H163" s="438"/>
      <c r="I163" s="437"/>
      <c r="J163" s="438"/>
      <c r="K163" s="940"/>
      <c r="L163" s="438"/>
      <c r="M163" s="940"/>
      <c r="N163" s="438"/>
      <c r="O163" s="437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ht="14.25" customHeight="1">
      <c r="A164" s="1"/>
      <c r="B164" s="46"/>
      <c r="C164" s="46"/>
      <c r="D164" s="39"/>
      <c r="E164" s="39"/>
      <c r="F164" s="438" t="str">
        <f>IF('E Budg CY'!#REF!&lt;999,'E Budg CY'!#REF!,"")</f>
        <v>#ERROR!</v>
      </c>
      <c r="G164" s="437"/>
      <c r="H164" s="438"/>
      <c r="I164" s="437"/>
      <c r="J164" s="438"/>
      <c r="K164" s="940"/>
      <c r="L164" s="438"/>
      <c r="M164" s="940"/>
      <c r="N164" s="438"/>
      <c r="O164" s="437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ht="14.25" customHeight="1">
      <c r="A165" s="1"/>
      <c r="B165" s="1"/>
      <c r="C165" s="1"/>
      <c r="D165" s="39"/>
      <c r="E165" s="39"/>
      <c r="F165" s="438"/>
      <c r="G165" s="437"/>
      <c r="H165" s="438"/>
      <c r="I165" s="437"/>
      <c r="J165" s="438"/>
      <c r="K165" s="940"/>
      <c r="L165" s="438"/>
      <c r="M165" s="940"/>
      <c r="N165" s="438"/>
      <c r="O165" s="437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ht="14.25" customHeight="1">
      <c r="A166" s="1"/>
      <c r="B166" s="1"/>
      <c r="C166" s="1"/>
      <c r="D166" s="39"/>
      <c r="E166" s="39"/>
      <c r="F166" s="438"/>
      <c r="G166" s="437"/>
      <c r="H166" s="438"/>
      <c r="I166" s="437"/>
      <c r="J166" s="438"/>
      <c r="K166" s="940"/>
      <c r="L166" s="438"/>
      <c r="M166" s="940"/>
      <c r="N166" s="438"/>
      <c r="O166" s="437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ht="14.25" customHeight="1">
      <c r="A167" s="1"/>
      <c r="B167" s="1"/>
      <c r="C167" s="1"/>
      <c r="D167" s="39"/>
      <c r="E167" s="39"/>
      <c r="F167" s="438"/>
      <c r="G167" s="437"/>
      <c r="H167" s="438"/>
      <c r="I167" s="437"/>
      <c r="J167" s="438"/>
      <c r="K167" s="940"/>
      <c r="L167" s="438"/>
      <c r="M167" s="940"/>
      <c r="N167" s="438"/>
      <c r="O167" s="43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ht="14.25" customHeight="1">
      <c r="A168" s="1"/>
      <c r="B168" s="1"/>
      <c r="C168" s="1"/>
      <c r="D168" s="39"/>
      <c r="E168" s="39"/>
      <c r="F168" s="438"/>
      <c r="G168" s="437"/>
      <c r="H168" s="438"/>
      <c r="I168" s="437"/>
      <c r="J168" s="438"/>
      <c r="K168" s="940"/>
      <c r="L168" s="438"/>
      <c r="M168" s="940"/>
      <c r="N168" s="438"/>
      <c r="O168" s="437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ht="14.25" customHeight="1">
      <c r="A169" s="1"/>
      <c r="B169" s="1"/>
      <c r="C169" s="1"/>
      <c r="D169" s="39"/>
      <c r="E169" s="39"/>
      <c r="F169" s="438"/>
      <c r="G169" s="437"/>
      <c r="H169" s="438"/>
      <c r="I169" s="437"/>
      <c r="J169" s="438"/>
      <c r="K169" s="940"/>
      <c r="L169" s="438"/>
      <c r="M169" s="940"/>
      <c r="N169" s="438"/>
      <c r="O169" s="437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ht="14.25" customHeight="1">
      <c r="A170" s="1"/>
      <c r="B170" s="1"/>
      <c r="C170" s="1"/>
      <c r="D170" s="39"/>
      <c r="E170" s="39"/>
      <c r="F170" s="438"/>
      <c r="G170" s="437"/>
      <c r="H170" s="438"/>
      <c r="I170" s="437"/>
      <c r="J170" s="438"/>
      <c r="K170" s="940"/>
      <c r="L170" s="438"/>
      <c r="M170" s="940"/>
      <c r="N170" s="438"/>
      <c r="O170" s="437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ht="14.25" customHeight="1">
      <c r="A171" s="1"/>
      <c r="B171" s="1"/>
      <c r="C171" s="1"/>
      <c r="D171" s="39"/>
      <c r="E171" s="39"/>
      <c r="F171" s="438"/>
      <c r="G171" s="437"/>
      <c r="H171" s="438"/>
      <c r="I171" s="437"/>
      <c r="J171" s="438"/>
      <c r="K171" s="940"/>
      <c r="L171" s="438"/>
      <c r="M171" s="940"/>
      <c r="N171" s="438"/>
      <c r="O171" s="437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ht="14.25" customHeight="1">
      <c r="A172" s="1"/>
      <c r="B172" s="1"/>
      <c r="C172" s="1"/>
      <c r="D172" s="39"/>
      <c r="E172" s="39"/>
      <c r="F172" s="438"/>
      <c r="G172" s="437"/>
      <c r="H172" s="438"/>
      <c r="I172" s="437"/>
      <c r="J172" s="438"/>
      <c r="K172" s="940"/>
      <c r="L172" s="438"/>
      <c r="M172" s="940"/>
      <c r="N172" s="438"/>
      <c r="O172" s="437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ht="14.25" customHeight="1">
      <c r="A173" s="1"/>
      <c r="B173" s="1"/>
      <c r="C173" s="1"/>
      <c r="D173" s="39"/>
      <c r="E173" s="39"/>
      <c r="F173" s="438"/>
      <c r="G173" s="437"/>
      <c r="H173" s="438"/>
      <c r="I173" s="437"/>
      <c r="J173" s="438"/>
      <c r="K173" s="940"/>
      <c r="L173" s="438"/>
      <c r="M173" s="940"/>
      <c r="N173" s="438"/>
      <c r="O173" s="437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ht="14.25" customHeight="1">
      <c r="A174" s="1"/>
      <c r="B174" s="1"/>
      <c r="C174" s="1"/>
      <c r="D174" s="39"/>
      <c r="E174" s="39"/>
      <c r="F174" s="438"/>
      <c r="G174" s="437"/>
      <c r="H174" s="438"/>
      <c r="I174" s="437"/>
      <c r="J174" s="438"/>
      <c r="K174" s="940"/>
      <c r="L174" s="438"/>
      <c r="M174" s="940"/>
      <c r="N174" s="438"/>
      <c r="O174" s="437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ht="14.25" customHeight="1">
      <c r="A175" s="1"/>
      <c r="B175" s="1"/>
      <c r="C175" s="1"/>
      <c r="D175" s="39"/>
      <c r="E175" s="39"/>
      <c r="F175" s="438"/>
      <c r="G175" s="437"/>
      <c r="H175" s="438"/>
      <c r="I175" s="437"/>
      <c r="J175" s="438"/>
      <c r="K175" s="940"/>
      <c r="L175" s="438"/>
      <c r="M175" s="940"/>
      <c r="N175" s="438"/>
      <c r="O175" s="437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ht="14.25" customHeight="1">
      <c r="A176" s="1"/>
      <c r="B176" s="1"/>
      <c r="C176" s="1"/>
      <c r="D176" s="39"/>
      <c r="E176" s="39"/>
      <c r="F176" s="438"/>
      <c r="G176" s="437"/>
      <c r="H176" s="438"/>
      <c r="I176" s="437"/>
      <c r="J176" s="438"/>
      <c r="K176" s="940"/>
      <c r="L176" s="438"/>
      <c r="M176" s="940"/>
      <c r="N176" s="438"/>
      <c r="O176" s="437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ht="14.25" customHeight="1">
      <c r="A177" s="1"/>
      <c r="B177" s="1"/>
      <c r="C177" s="1"/>
      <c r="D177" s="39"/>
      <c r="E177" s="39"/>
      <c r="F177" s="438"/>
      <c r="G177" s="437"/>
      <c r="H177" s="438"/>
      <c r="I177" s="437"/>
      <c r="J177" s="438"/>
      <c r="K177" s="940"/>
      <c r="L177" s="438"/>
      <c r="M177" s="940"/>
      <c r="N177" s="438"/>
      <c r="O177" s="43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ht="14.25" customHeight="1">
      <c r="A178" s="1"/>
      <c r="B178" s="1"/>
      <c r="C178" s="1"/>
      <c r="D178" s="39"/>
      <c r="E178" s="39"/>
      <c r="F178" s="438"/>
      <c r="G178" s="437"/>
      <c r="H178" s="438"/>
      <c r="I178" s="437"/>
      <c r="J178" s="438"/>
      <c r="K178" s="940"/>
      <c r="L178" s="438"/>
      <c r="M178" s="940"/>
      <c r="N178" s="438"/>
      <c r="O178" s="437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ht="14.25" customHeight="1">
      <c r="A179" s="1"/>
      <c r="B179" s="1"/>
      <c r="C179" s="1"/>
      <c r="D179" s="39"/>
      <c r="E179" s="39"/>
      <c r="F179" s="438"/>
      <c r="G179" s="437"/>
      <c r="H179" s="438"/>
      <c r="I179" s="437"/>
      <c r="J179" s="438"/>
      <c r="K179" s="940"/>
      <c r="L179" s="438"/>
      <c r="M179" s="940"/>
      <c r="N179" s="438"/>
      <c r="O179" s="437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ht="14.25" customHeight="1">
      <c r="A180" s="1"/>
      <c r="B180" s="1"/>
      <c r="C180" s="1"/>
      <c r="D180" s="39"/>
      <c r="E180" s="39"/>
      <c r="F180" s="438"/>
      <c r="G180" s="437"/>
      <c r="H180" s="438"/>
      <c r="I180" s="437"/>
      <c r="J180" s="438"/>
      <c r="K180" s="940"/>
      <c r="L180" s="438"/>
      <c r="M180" s="940"/>
      <c r="N180" s="438"/>
      <c r="O180" s="437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ht="14.25" customHeight="1">
      <c r="A181" s="1"/>
      <c r="B181" s="1"/>
      <c r="C181" s="1"/>
      <c r="D181" s="39"/>
      <c r="E181" s="39"/>
      <c r="F181" s="438"/>
      <c r="G181" s="437"/>
      <c r="H181" s="438"/>
      <c r="I181" s="437"/>
      <c r="J181" s="438"/>
      <c r="K181" s="940"/>
      <c r="L181" s="438"/>
      <c r="M181" s="940"/>
      <c r="N181" s="438"/>
      <c r="O181" s="437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ht="14.25" customHeight="1">
      <c r="A182" s="1"/>
      <c r="B182" s="1"/>
      <c r="C182" s="1"/>
      <c r="D182" s="39"/>
      <c r="E182" s="39"/>
      <c r="F182" s="438"/>
      <c r="G182" s="437"/>
      <c r="H182" s="438"/>
      <c r="I182" s="437"/>
      <c r="J182" s="438"/>
      <c r="K182" s="940"/>
      <c r="L182" s="438"/>
      <c r="M182" s="940"/>
      <c r="N182" s="438"/>
      <c r="O182" s="437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ht="14.25" customHeight="1">
      <c r="A183" s="1"/>
      <c r="B183" s="1"/>
      <c r="C183" s="1"/>
      <c r="D183" s="39"/>
      <c r="E183" s="39"/>
      <c r="F183" s="438"/>
      <c r="G183" s="437"/>
      <c r="H183" s="438"/>
      <c r="I183" s="437"/>
      <c r="J183" s="438"/>
      <c r="K183" s="940"/>
      <c r="L183" s="438"/>
      <c r="M183" s="940"/>
      <c r="N183" s="438"/>
      <c r="O183" s="437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ht="14.25" customHeight="1">
      <c r="A184" s="1"/>
      <c r="B184" s="1"/>
      <c r="C184" s="1"/>
      <c r="D184" s="39"/>
      <c r="E184" s="39"/>
      <c r="F184" s="438"/>
      <c r="G184" s="437"/>
      <c r="H184" s="438"/>
      <c r="I184" s="437"/>
      <c r="J184" s="438"/>
      <c r="K184" s="940"/>
      <c r="L184" s="438"/>
      <c r="M184" s="940"/>
      <c r="N184" s="438"/>
      <c r="O184" s="437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ht="14.25" customHeight="1">
      <c r="A185" s="1"/>
      <c r="B185" s="1"/>
      <c r="C185" s="1"/>
      <c r="D185" s="39"/>
      <c r="E185" s="39"/>
      <c r="F185" s="438"/>
      <c r="G185" s="437"/>
      <c r="H185" s="438"/>
      <c r="I185" s="437"/>
      <c r="J185" s="438"/>
      <c r="K185" s="940"/>
      <c r="L185" s="438"/>
      <c r="M185" s="940"/>
      <c r="N185" s="438"/>
      <c r="O185" s="437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ht="14.25" customHeight="1">
      <c r="A186" s="1"/>
      <c r="B186" s="1"/>
      <c r="C186" s="1"/>
      <c r="D186" s="39"/>
      <c r="E186" s="39"/>
      <c r="F186" s="438"/>
      <c r="G186" s="437"/>
      <c r="H186" s="438"/>
      <c r="I186" s="437"/>
      <c r="J186" s="438"/>
      <c r="K186" s="940"/>
      <c r="L186" s="438"/>
      <c r="M186" s="940"/>
      <c r="N186" s="438"/>
      <c r="O186" s="437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ht="14.25" customHeight="1">
      <c r="A187" s="1"/>
      <c r="B187" s="1"/>
      <c r="C187" s="1"/>
      <c r="D187" s="39"/>
      <c r="E187" s="39"/>
      <c r="F187" s="438"/>
      <c r="G187" s="437"/>
      <c r="H187" s="438"/>
      <c r="I187" s="437"/>
      <c r="J187" s="438"/>
      <c r="K187" s="940"/>
      <c r="L187" s="438"/>
      <c r="M187" s="940"/>
      <c r="N187" s="438"/>
      <c r="O187" s="43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ht="14.25" customHeight="1">
      <c r="A188" s="1"/>
      <c r="B188" s="1"/>
      <c r="C188" s="1"/>
      <c r="D188" s="39"/>
      <c r="E188" s="39"/>
      <c r="F188" s="438"/>
      <c r="G188" s="437"/>
      <c r="H188" s="438"/>
      <c r="I188" s="437"/>
      <c r="J188" s="438"/>
      <c r="K188" s="940"/>
      <c r="L188" s="438"/>
      <c r="M188" s="940"/>
      <c r="N188" s="438"/>
      <c r="O188" s="437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ht="14.25" customHeight="1">
      <c r="A189" s="1"/>
      <c r="B189" s="1"/>
      <c r="C189" s="1"/>
      <c r="D189" s="39"/>
      <c r="E189" s="39"/>
      <c r="F189" s="438"/>
      <c r="G189" s="437"/>
      <c r="H189" s="438"/>
      <c r="I189" s="437"/>
      <c r="J189" s="438"/>
      <c r="K189" s="940"/>
      <c r="L189" s="438"/>
      <c r="M189" s="940"/>
      <c r="N189" s="438"/>
      <c r="O189" s="437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ht="14.25" customHeight="1">
      <c r="A190" s="1"/>
      <c r="B190" s="1"/>
      <c r="C190" s="1"/>
      <c r="D190" s="39"/>
      <c r="E190" s="39"/>
      <c r="F190" s="438"/>
      <c r="G190" s="437"/>
      <c r="H190" s="438"/>
      <c r="I190" s="437"/>
      <c r="J190" s="438"/>
      <c r="K190" s="940"/>
      <c r="L190" s="438"/>
      <c r="M190" s="940"/>
      <c r="N190" s="438"/>
      <c r="O190" s="437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ht="14.25" customHeight="1">
      <c r="A191" s="1"/>
      <c r="B191" s="1"/>
      <c r="C191" s="1"/>
      <c r="D191" s="39"/>
      <c r="E191" s="39"/>
      <c r="F191" s="438"/>
      <c r="G191" s="437"/>
      <c r="H191" s="438"/>
      <c r="I191" s="437"/>
      <c r="J191" s="438"/>
      <c r="K191" s="940"/>
      <c r="L191" s="438"/>
      <c r="M191" s="940"/>
      <c r="N191" s="438"/>
      <c r="O191" s="437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ht="14.25" customHeight="1">
      <c r="A192" s="1"/>
      <c r="B192" s="1"/>
      <c r="C192" s="1"/>
      <c r="D192" s="39"/>
      <c r="E192" s="39"/>
      <c r="F192" s="438"/>
      <c r="G192" s="437"/>
      <c r="H192" s="438"/>
      <c r="I192" s="437"/>
      <c r="J192" s="438"/>
      <c r="K192" s="940"/>
      <c r="L192" s="438"/>
      <c r="M192" s="940"/>
      <c r="N192" s="438"/>
      <c r="O192" s="437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ht="14.25" customHeight="1">
      <c r="A193" s="1"/>
      <c r="B193" s="1"/>
      <c r="C193" s="1"/>
      <c r="D193" s="39"/>
      <c r="E193" s="39"/>
      <c r="F193" s="438"/>
      <c r="G193" s="437"/>
      <c r="H193" s="438"/>
      <c r="I193" s="437"/>
      <c r="J193" s="438"/>
      <c r="K193" s="940"/>
      <c r="L193" s="438"/>
      <c r="M193" s="940"/>
      <c r="N193" s="438"/>
      <c r="O193" s="437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ht="14.25" customHeight="1">
      <c r="A194" s="1"/>
      <c r="B194" s="1"/>
      <c r="C194" s="1"/>
      <c r="D194" s="39"/>
      <c r="E194" s="39"/>
      <c r="F194" s="438"/>
      <c r="G194" s="437"/>
      <c r="H194" s="438"/>
      <c r="I194" s="437"/>
      <c r="J194" s="438"/>
      <c r="K194" s="940"/>
      <c r="L194" s="438"/>
      <c r="M194" s="940"/>
      <c r="N194" s="438"/>
      <c r="O194" s="437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ht="14.25" customHeight="1">
      <c r="A195" s="1"/>
      <c r="B195" s="1"/>
      <c r="C195" s="1"/>
      <c r="D195" s="39"/>
      <c r="E195" s="39"/>
      <c r="F195" s="438"/>
      <c r="G195" s="437"/>
      <c r="H195" s="438"/>
      <c r="I195" s="437"/>
      <c r="J195" s="438"/>
      <c r="K195" s="940"/>
      <c r="L195" s="438"/>
      <c r="M195" s="940"/>
      <c r="N195" s="438"/>
      <c r="O195" s="437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ht="14.25" customHeight="1">
      <c r="A196" s="1"/>
      <c r="B196" s="1"/>
      <c r="C196" s="1"/>
      <c r="D196" s="39"/>
      <c r="E196" s="39"/>
      <c r="F196" s="438"/>
      <c r="G196" s="437"/>
      <c r="H196" s="438"/>
      <c r="I196" s="437"/>
      <c r="J196" s="438"/>
      <c r="K196" s="940"/>
      <c r="L196" s="438"/>
      <c r="M196" s="940"/>
      <c r="N196" s="438"/>
      <c r="O196" s="437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ht="14.25" customHeight="1">
      <c r="A197" s="1"/>
      <c r="B197" s="1"/>
      <c r="C197" s="1"/>
      <c r="D197" s="39"/>
      <c r="E197" s="39"/>
      <c r="F197" s="438"/>
      <c r="G197" s="437"/>
      <c r="H197" s="438"/>
      <c r="I197" s="437"/>
      <c r="J197" s="438"/>
      <c r="K197" s="940"/>
      <c r="L197" s="438"/>
      <c r="M197" s="940"/>
      <c r="N197" s="438"/>
      <c r="O197" s="43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ht="14.25" customHeight="1">
      <c r="A198" s="1"/>
      <c r="B198" s="1"/>
      <c r="C198" s="1"/>
      <c r="D198" s="39"/>
      <c r="E198" s="39"/>
      <c r="F198" s="438"/>
      <c r="G198" s="437"/>
      <c r="H198" s="438"/>
      <c r="I198" s="437"/>
      <c r="J198" s="438"/>
      <c r="K198" s="940"/>
      <c r="L198" s="438"/>
      <c r="M198" s="940"/>
      <c r="N198" s="438"/>
      <c r="O198" s="437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ht="14.25" customHeight="1">
      <c r="A199" s="1"/>
      <c r="B199" s="1"/>
      <c r="C199" s="1"/>
      <c r="D199" s="39"/>
      <c r="E199" s="39"/>
      <c r="F199" s="438"/>
      <c r="G199" s="437"/>
      <c r="H199" s="438"/>
      <c r="I199" s="437"/>
      <c r="J199" s="438"/>
      <c r="K199" s="940"/>
      <c r="L199" s="438"/>
      <c r="M199" s="940"/>
      <c r="N199" s="438"/>
      <c r="O199" s="437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ht="14.25" customHeight="1">
      <c r="A200" s="1"/>
      <c r="B200" s="1"/>
      <c r="C200" s="1"/>
      <c r="D200" s="39"/>
      <c r="E200" s="39"/>
      <c r="F200" s="438"/>
      <c r="G200" s="437"/>
      <c r="H200" s="438"/>
      <c r="I200" s="437"/>
      <c r="J200" s="438"/>
      <c r="K200" s="940"/>
      <c r="L200" s="438"/>
      <c r="M200" s="940"/>
      <c r="N200" s="438"/>
      <c r="O200" s="437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ht="14.25" customHeight="1">
      <c r="A201" s="1"/>
      <c r="B201" s="1"/>
      <c r="C201" s="1"/>
      <c r="D201" s="39"/>
      <c r="E201" s="39"/>
      <c r="F201" s="438"/>
      <c r="G201" s="437"/>
      <c r="H201" s="438"/>
      <c r="I201" s="437"/>
      <c r="J201" s="438"/>
      <c r="K201" s="940"/>
      <c r="L201" s="438"/>
      <c r="M201" s="940"/>
      <c r="N201" s="438"/>
      <c r="O201" s="437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ht="14.25" customHeight="1">
      <c r="A202" s="1"/>
      <c r="B202" s="1"/>
      <c r="C202" s="1"/>
      <c r="D202" s="39"/>
      <c r="E202" s="39"/>
      <c r="F202" s="438"/>
      <c r="G202" s="437"/>
      <c r="H202" s="438"/>
      <c r="I202" s="437"/>
      <c r="J202" s="438"/>
      <c r="K202" s="940"/>
      <c r="L202" s="438"/>
      <c r="M202" s="940"/>
      <c r="N202" s="438"/>
      <c r="O202" s="437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ht="14.25" customHeight="1">
      <c r="A203" s="1"/>
      <c r="B203" s="1"/>
      <c r="C203" s="1"/>
      <c r="D203" s="39"/>
      <c r="E203" s="39"/>
      <c r="F203" s="438"/>
      <c r="G203" s="437"/>
      <c r="H203" s="438"/>
      <c r="I203" s="437"/>
      <c r="J203" s="438"/>
      <c r="K203" s="940"/>
      <c r="L203" s="438"/>
      <c r="M203" s="940"/>
      <c r="N203" s="438"/>
      <c r="O203" s="437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ht="14.25" customHeight="1">
      <c r="A204" s="1"/>
      <c r="B204" s="1"/>
      <c r="C204" s="1"/>
      <c r="D204" s="39"/>
      <c r="E204" s="39"/>
      <c r="F204" s="438"/>
      <c r="G204" s="437"/>
      <c r="H204" s="438"/>
      <c r="I204" s="437"/>
      <c r="J204" s="438"/>
      <c r="K204" s="940"/>
      <c r="L204" s="438"/>
      <c r="M204" s="940"/>
      <c r="N204" s="438"/>
      <c r="O204" s="437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ht="14.25" customHeight="1">
      <c r="A205" s="1"/>
      <c r="B205" s="1"/>
      <c r="C205" s="1"/>
      <c r="D205" s="39"/>
      <c r="E205" s="39"/>
      <c r="F205" s="438"/>
      <c r="G205" s="437"/>
      <c r="H205" s="438"/>
      <c r="I205" s="437"/>
      <c r="J205" s="438"/>
      <c r="K205" s="940"/>
      <c r="L205" s="438"/>
      <c r="M205" s="940"/>
      <c r="N205" s="438"/>
      <c r="O205" s="437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ht="14.25" customHeight="1">
      <c r="A206" s="1"/>
      <c r="B206" s="1"/>
      <c r="C206" s="1"/>
      <c r="D206" s="39"/>
      <c r="E206" s="39"/>
      <c r="F206" s="438"/>
      <c r="G206" s="437"/>
      <c r="H206" s="438"/>
      <c r="I206" s="437"/>
      <c r="J206" s="438"/>
      <c r="K206" s="940"/>
      <c r="L206" s="438"/>
      <c r="M206" s="940"/>
      <c r="N206" s="438"/>
      <c r="O206" s="437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ht="14.25" customHeight="1">
      <c r="A207" s="1"/>
      <c r="B207" s="1"/>
      <c r="C207" s="1"/>
      <c r="D207" s="39"/>
      <c r="E207" s="39"/>
      <c r="F207" s="438"/>
      <c r="G207" s="437"/>
      <c r="H207" s="438"/>
      <c r="I207" s="437"/>
      <c r="J207" s="438"/>
      <c r="K207" s="940"/>
      <c r="L207" s="438"/>
      <c r="M207" s="940"/>
      <c r="N207" s="438"/>
      <c r="O207" s="43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ht="14.25" customHeight="1">
      <c r="A208" s="1"/>
      <c r="B208" s="1"/>
      <c r="C208" s="1"/>
      <c r="D208" s="39"/>
      <c r="E208" s="39"/>
      <c r="F208" s="438"/>
      <c r="G208" s="437"/>
      <c r="H208" s="438"/>
      <c r="I208" s="437"/>
      <c r="J208" s="438"/>
      <c r="K208" s="940"/>
      <c r="L208" s="438"/>
      <c r="M208" s="940"/>
      <c r="N208" s="438"/>
      <c r="O208" s="437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ht="14.25" customHeight="1">
      <c r="A209" s="1"/>
      <c r="B209" s="1"/>
      <c r="C209" s="1"/>
      <c r="D209" s="39"/>
      <c r="E209" s="39"/>
      <c r="F209" s="438"/>
      <c r="G209" s="437"/>
      <c r="H209" s="438"/>
      <c r="I209" s="437"/>
      <c r="J209" s="438"/>
      <c r="K209" s="940"/>
      <c r="L209" s="438"/>
      <c r="M209" s="940"/>
      <c r="N209" s="438"/>
      <c r="O209" s="437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ht="14.25" customHeight="1">
      <c r="A210" s="1"/>
      <c r="B210" s="1"/>
      <c r="C210" s="1"/>
      <c r="D210" s="39"/>
      <c r="E210" s="39"/>
      <c r="F210" s="438"/>
      <c r="G210" s="437"/>
      <c r="H210" s="438"/>
      <c r="I210" s="437"/>
      <c r="J210" s="438"/>
      <c r="K210" s="940"/>
      <c r="L210" s="438"/>
      <c r="M210" s="940"/>
      <c r="N210" s="438"/>
      <c r="O210" s="437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ht="14.25" customHeight="1">
      <c r="A211" s="1"/>
      <c r="B211" s="1"/>
      <c r="C211" s="1"/>
      <c r="D211" s="39"/>
      <c r="E211" s="39"/>
      <c r="F211" s="438"/>
      <c r="G211" s="437"/>
      <c r="H211" s="438"/>
      <c r="I211" s="437"/>
      <c r="J211" s="438"/>
      <c r="K211" s="940"/>
      <c r="L211" s="438"/>
      <c r="M211" s="940"/>
      <c r="N211" s="438"/>
      <c r="O211" s="437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ht="14.25" customHeight="1">
      <c r="A212" s="1"/>
      <c r="B212" s="1"/>
      <c r="C212" s="1"/>
      <c r="D212" s="39"/>
      <c r="E212" s="39"/>
      <c r="F212" s="438"/>
      <c r="G212" s="437"/>
      <c r="H212" s="438"/>
      <c r="I212" s="437"/>
      <c r="J212" s="438"/>
      <c r="K212" s="940"/>
      <c r="L212" s="438"/>
      <c r="M212" s="940"/>
      <c r="N212" s="438"/>
      <c r="O212" s="437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ht="14.25" customHeight="1">
      <c r="A213" s="1"/>
      <c r="B213" s="1"/>
      <c r="C213" s="1"/>
      <c r="D213" s="39"/>
      <c r="E213" s="39"/>
      <c r="F213" s="438"/>
      <c r="G213" s="437"/>
      <c r="H213" s="438"/>
      <c r="I213" s="437"/>
      <c r="J213" s="438"/>
      <c r="K213" s="940"/>
      <c r="L213" s="438"/>
      <c r="M213" s="940"/>
      <c r="N213" s="438"/>
      <c r="O213" s="437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ht="14.25" customHeight="1">
      <c r="A214" s="1"/>
      <c r="B214" s="1"/>
      <c r="C214" s="1"/>
      <c r="D214" s="39"/>
      <c r="E214" s="39"/>
      <c r="F214" s="438"/>
      <c r="G214" s="437"/>
      <c r="H214" s="438"/>
      <c r="I214" s="437"/>
      <c r="J214" s="438"/>
      <c r="K214" s="940"/>
      <c r="L214" s="438"/>
      <c r="M214" s="940"/>
      <c r="N214" s="438"/>
      <c r="O214" s="437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ht="14.25" customHeight="1">
      <c r="A215" s="1"/>
      <c r="B215" s="1"/>
      <c r="C215" s="1"/>
      <c r="D215" s="39"/>
      <c r="E215" s="39"/>
      <c r="F215" s="438"/>
      <c r="G215" s="437"/>
      <c r="H215" s="438"/>
      <c r="I215" s="437"/>
      <c r="J215" s="438"/>
      <c r="K215" s="940"/>
      <c r="L215" s="438"/>
      <c r="M215" s="940"/>
      <c r="N215" s="438"/>
      <c r="O215" s="437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ht="14.25" customHeight="1">
      <c r="A216" s="1"/>
      <c r="B216" s="1"/>
      <c r="C216" s="1"/>
      <c r="D216" s="39"/>
      <c r="E216" s="39"/>
      <c r="F216" s="438"/>
      <c r="G216" s="437"/>
      <c r="H216" s="438"/>
      <c r="I216" s="437"/>
      <c r="J216" s="438"/>
      <c r="K216" s="940"/>
      <c r="L216" s="438"/>
      <c r="M216" s="940"/>
      <c r="N216" s="438"/>
      <c r="O216" s="437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ht="14.25" customHeight="1">
      <c r="A217" s="1"/>
      <c r="B217" s="1"/>
      <c r="C217" s="1"/>
      <c r="D217" s="39"/>
      <c r="E217" s="39"/>
      <c r="F217" s="438"/>
      <c r="G217" s="437"/>
      <c r="H217" s="438"/>
      <c r="I217" s="437"/>
      <c r="J217" s="438"/>
      <c r="K217" s="940"/>
      <c r="L217" s="438"/>
      <c r="M217" s="940"/>
      <c r="N217" s="438"/>
      <c r="O217" s="43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ht="14.25" customHeight="1">
      <c r="A218" s="1"/>
      <c r="B218" s="1"/>
      <c r="C218" s="1"/>
      <c r="D218" s="39"/>
      <c r="E218" s="39"/>
      <c r="F218" s="438"/>
      <c r="G218" s="437"/>
      <c r="H218" s="438"/>
      <c r="I218" s="437"/>
      <c r="J218" s="438"/>
      <c r="K218" s="940"/>
      <c r="L218" s="438"/>
      <c r="M218" s="940"/>
      <c r="N218" s="438"/>
      <c r="O218" s="437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ht="14.25" customHeight="1">
      <c r="A219" s="1"/>
      <c r="B219" s="1"/>
      <c r="C219" s="1"/>
      <c r="D219" s="39"/>
      <c r="E219" s="39"/>
      <c r="F219" s="438"/>
      <c r="G219" s="437"/>
      <c r="H219" s="438"/>
      <c r="I219" s="437"/>
      <c r="J219" s="438"/>
      <c r="K219" s="940"/>
      <c r="L219" s="438"/>
      <c r="M219" s="940"/>
      <c r="N219" s="438"/>
      <c r="O219" s="437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ht="14.25" customHeight="1">
      <c r="A220" s="1"/>
      <c r="B220" s="1"/>
      <c r="C220" s="1"/>
      <c r="D220" s="39"/>
      <c r="E220" s="39"/>
      <c r="F220" s="438"/>
      <c r="G220" s="437"/>
      <c r="H220" s="438"/>
      <c r="I220" s="437"/>
      <c r="J220" s="438"/>
      <c r="K220" s="940"/>
      <c r="L220" s="438"/>
      <c r="M220" s="940"/>
      <c r="N220" s="438"/>
      <c r="O220" s="437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ht="14.25" customHeight="1">
      <c r="A221" s="1"/>
      <c r="B221" s="1"/>
      <c r="C221" s="1"/>
      <c r="D221" s="39"/>
      <c r="E221" s="39"/>
      <c r="F221" s="438"/>
      <c r="G221" s="437"/>
      <c r="H221" s="438"/>
      <c r="I221" s="437"/>
      <c r="J221" s="438"/>
      <c r="K221" s="940"/>
      <c r="L221" s="438"/>
      <c r="M221" s="940"/>
      <c r="N221" s="438"/>
      <c r="O221" s="437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ht="14.25" customHeight="1">
      <c r="A222" s="1"/>
      <c r="B222" s="1"/>
      <c r="C222" s="1"/>
      <c r="D222" s="39"/>
      <c r="E222" s="39"/>
      <c r="F222" s="438"/>
      <c r="G222" s="437"/>
      <c r="H222" s="438"/>
      <c r="I222" s="437"/>
      <c r="J222" s="438"/>
      <c r="K222" s="940"/>
      <c r="L222" s="438"/>
      <c r="M222" s="940"/>
      <c r="N222" s="438"/>
      <c r="O222" s="437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ht="14.25" customHeight="1">
      <c r="A223" s="1"/>
      <c r="B223" s="1"/>
      <c r="C223" s="1"/>
      <c r="D223" s="39"/>
      <c r="E223" s="39"/>
      <c r="F223" s="438"/>
      <c r="G223" s="437"/>
      <c r="H223" s="438"/>
      <c r="I223" s="437"/>
      <c r="J223" s="438"/>
      <c r="K223" s="940"/>
      <c r="L223" s="438"/>
      <c r="M223" s="940"/>
      <c r="N223" s="438"/>
      <c r="O223" s="437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ht="14.25" customHeight="1">
      <c r="A224" s="1"/>
      <c r="B224" s="1"/>
      <c r="C224" s="1"/>
      <c r="D224" s="39"/>
      <c r="E224" s="39"/>
      <c r="F224" s="438"/>
      <c r="G224" s="437"/>
      <c r="H224" s="438"/>
      <c r="I224" s="437"/>
      <c r="J224" s="438"/>
      <c r="K224" s="940"/>
      <c r="L224" s="438"/>
      <c r="M224" s="940"/>
      <c r="N224" s="438"/>
      <c r="O224" s="437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ht="14.25" customHeight="1">
      <c r="A225" s="1"/>
      <c r="B225" s="1"/>
      <c r="C225" s="1"/>
      <c r="D225" s="39"/>
      <c r="E225" s="39"/>
      <c r="F225" s="438"/>
      <c r="G225" s="437"/>
      <c r="H225" s="438"/>
      <c r="I225" s="437"/>
      <c r="J225" s="438"/>
      <c r="K225" s="940"/>
      <c r="L225" s="438"/>
      <c r="M225" s="940"/>
      <c r="N225" s="438"/>
      <c r="O225" s="437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ht="14.25" customHeight="1">
      <c r="A226" s="1"/>
      <c r="B226" s="1"/>
      <c r="C226" s="1"/>
      <c r="D226" s="39"/>
      <c r="E226" s="39"/>
      <c r="F226" s="438"/>
      <c r="G226" s="437"/>
      <c r="H226" s="438"/>
      <c r="I226" s="437"/>
      <c r="J226" s="438"/>
      <c r="K226" s="940"/>
      <c r="L226" s="438"/>
      <c r="M226" s="940"/>
      <c r="N226" s="438"/>
      <c r="O226" s="437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ht="14.25" customHeight="1">
      <c r="A227" s="1"/>
      <c r="B227" s="1"/>
      <c r="C227" s="1"/>
      <c r="D227" s="39"/>
      <c r="E227" s="39"/>
      <c r="F227" s="438"/>
      <c r="G227" s="437"/>
      <c r="H227" s="438"/>
      <c r="I227" s="437"/>
      <c r="J227" s="438"/>
      <c r="K227" s="940"/>
      <c r="L227" s="438"/>
      <c r="M227" s="940"/>
      <c r="N227" s="438"/>
      <c r="O227" s="43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ht="14.25" customHeight="1">
      <c r="A228" s="1"/>
      <c r="B228" s="1"/>
      <c r="C228" s="1"/>
      <c r="D228" s="39"/>
      <c r="E228" s="39"/>
      <c r="F228" s="438"/>
      <c r="G228" s="437"/>
      <c r="H228" s="438"/>
      <c r="I228" s="437"/>
      <c r="J228" s="438"/>
      <c r="K228" s="940"/>
      <c r="L228" s="438"/>
      <c r="M228" s="940"/>
      <c r="N228" s="438"/>
      <c r="O228" s="437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ht="14.25" customHeight="1">
      <c r="A229" s="1"/>
      <c r="B229" s="1"/>
      <c r="C229" s="1"/>
      <c r="D229" s="39"/>
      <c r="E229" s="39"/>
      <c r="F229" s="438"/>
      <c r="G229" s="437"/>
      <c r="H229" s="438"/>
      <c r="I229" s="437"/>
      <c r="J229" s="438"/>
      <c r="K229" s="940"/>
      <c r="L229" s="438"/>
      <c r="M229" s="940"/>
      <c r="N229" s="438"/>
      <c r="O229" s="437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ht="14.25" customHeight="1">
      <c r="A230" s="1"/>
      <c r="B230" s="1"/>
      <c r="C230" s="1"/>
      <c r="D230" s="39"/>
      <c r="E230" s="39"/>
      <c r="F230" s="438"/>
      <c r="G230" s="437"/>
      <c r="H230" s="438"/>
      <c r="I230" s="437"/>
      <c r="J230" s="438"/>
      <c r="K230" s="940"/>
      <c r="L230" s="438"/>
      <c r="M230" s="940"/>
      <c r="N230" s="438"/>
      <c r="O230" s="437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ht="14.25" customHeight="1">
      <c r="A231" s="1"/>
      <c r="B231" s="1"/>
      <c r="C231" s="1"/>
      <c r="D231" s="39"/>
      <c r="E231" s="39"/>
      <c r="F231" s="438"/>
      <c r="G231" s="437"/>
      <c r="H231" s="438"/>
      <c r="I231" s="437"/>
      <c r="J231" s="438"/>
      <c r="K231" s="940"/>
      <c r="L231" s="438"/>
      <c r="M231" s="940"/>
      <c r="N231" s="438"/>
      <c r="O231" s="437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ht="14.25" customHeight="1">
      <c r="A232" s="1"/>
      <c r="B232" s="1"/>
      <c r="C232" s="1"/>
      <c r="D232" s="39"/>
      <c r="E232" s="39"/>
      <c r="F232" s="438"/>
      <c r="G232" s="437"/>
      <c r="H232" s="438"/>
      <c r="I232" s="437"/>
      <c r="J232" s="438"/>
      <c r="K232" s="940"/>
      <c r="L232" s="438"/>
      <c r="M232" s="940"/>
      <c r="N232" s="438"/>
      <c r="O232" s="437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ht="14.25" customHeight="1">
      <c r="A233" s="1"/>
      <c r="B233" s="1"/>
      <c r="C233" s="1"/>
      <c r="D233" s="39"/>
      <c r="E233" s="39"/>
      <c r="F233" s="438"/>
      <c r="G233" s="437"/>
      <c r="H233" s="438"/>
      <c r="I233" s="437"/>
      <c r="J233" s="438"/>
      <c r="K233" s="940"/>
      <c r="L233" s="438"/>
      <c r="M233" s="940"/>
      <c r="N233" s="438"/>
      <c r="O233" s="437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ht="14.25" customHeight="1">
      <c r="A234" s="1"/>
      <c r="B234" s="1"/>
      <c r="C234" s="1"/>
      <c r="D234" s="39"/>
      <c r="E234" s="39"/>
      <c r="F234" s="438"/>
      <c r="G234" s="437"/>
      <c r="H234" s="438"/>
      <c r="I234" s="437"/>
      <c r="J234" s="438"/>
      <c r="K234" s="940"/>
      <c r="L234" s="438"/>
      <c r="M234" s="940"/>
      <c r="N234" s="438"/>
      <c r="O234" s="437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ht="14.25" customHeight="1">
      <c r="A235" s="1"/>
      <c r="B235" s="1"/>
      <c r="C235" s="1"/>
      <c r="D235" s="39"/>
      <c r="E235" s="39"/>
      <c r="F235" s="438"/>
      <c r="G235" s="437"/>
      <c r="H235" s="438"/>
      <c r="I235" s="437"/>
      <c r="J235" s="438"/>
      <c r="K235" s="940"/>
      <c r="L235" s="438"/>
      <c r="M235" s="940"/>
      <c r="N235" s="438"/>
      <c r="O235" s="437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ht="14.25" customHeight="1">
      <c r="A236" s="1"/>
      <c r="B236" s="1"/>
      <c r="C236" s="1"/>
      <c r="D236" s="39"/>
      <c r="E236" s="39"/>
      <c r="F236" s="438"/>
      <c r="G236" s="437"/>
      <c r="H236" s="438"/>
      <c r="I236" s="437"/>
      <c r="J236" s="438"/>
      <c r="K236" s="940"/>
      <c r="L236" s="438"/>
      <c r="M236" s="940"/>
      <c r="N236" s="438"/>
      <c r="O236" s="437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ht="14.25" customHeight="1">
      <c r="A237" s="1"/>
      <c r="B237" s="1"/>
      <c r="C237" s="1"/>
      <c r="D237" s="39"/>
      <c r="E237" s="39"/>
      <c r="F237" s="438"/>
      <c r="G237" s="437"/>
      <c r="H237" s="438"/>
      <c r="I237" s="437"/>
      <c r="J237" s="438"/>
      <c r="K237" s="940"/>
      <c r="L237" s="438"/>
      <c r="M237" s="940"/>
      <c r="N237" s="438"/>
      <c r="O237" s="4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ht="14.25" customHeight="1">
      <c r="A238" s="1"/>
      <c r="B238" s="1"/>
      <c r="C238" s="1"/>
      <c r="D238" s="39"/>
      <c r="E238" s="39"/>
      <c r="F238" s="438"/>
      <c r="G238" s="437"/>
      <c r="H238" s="438"/>
      <c r="I238" s="437"/>
      <c r="J238" s="438"/>
      <c r="K238" s="940"/>
      <c r="L238" s="438"/>
      <c r="M238" s="940"/>
      <c r="N238" s="438"/>
      <c r="O238" s="437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ht="14.25" customHeight="1">
      <c r="A239" s="1"/>
      <c r="B239" s="1"/>
      <c r="C239" s="1"/>
      <c r="D239" s="39"/>
      <c r="E239" s="39"/>
      <c r="F239" s="438"/>
      <c r="G239" s="437"/>
      <c r="H239" s="438"/>
      <c r="I239" s="437"/>
      <c r="J239" s="438"/>
      <c r="K239" s="940"/>
      <c r="L239" s="438"/>
      <c r="M239" s="940"/>
      <c r="N239" s="438"/>
      <c r="O239" s="437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ht="14.25" customHeight="1">
      <c r="A240" s="1"/>
      <c r="B240" s="1"/>
      <c r="C240" s="1"/>
      <c r="D240" s="39"/>
      <c r="E240" s="39"/>
      <c r="F240" s="438"/>
      <c r="G240" s="437"/>
      <c r="H240" s="438"/>
      <c r="I240" s="437"/>
      <c r="J240" s="438"/>
      <c r="K240" s="940"/>
      <c r="L240" s="438"/>
      <c r="M240" s="940"/>
      <c r="N240" s="438"/>
      <c r="O240" s="437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ht="14.25" customHeight="1">
      <c r="A241" s="1"/>
      <c r="B241" s="1"/>
      <c r="C241" s="1"/>
      <c r="D241" s="39"/>
      <c r="E241" s="39"/>
      <c r="F241" s="438"/>
      <c r="G241" s="437"/>
      <c r="H241" s="438"/>
      <c r="I241" s="437"/>
      <c r="J241" s="438"/>
      <c r="K241" s="940"/>
      <c r="L241" s="438"/>
      <c r="M241" s="940"/>
      <c r="N241" s="438"/>
      <c r="O241" s="437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ht="14.25" customHeight="1">
      <c r="A242" s="1"/>
      <c r="B242" s="1"/>
      <c r="C242" s="1"/>
      <c r="D242" s="39"/>
      <c r="E242" s="39"/>
      <c r="F242" s="438"/>
      <c r="G242" s="437"/>
      <c r="H242" s="438"/>
      <c r="I242" s="437"/>
      <c r="J242" s="438"/>
      <c r="K242" s="940"/>
      <c r="L242" s="438"/>
      <c r="M242" s="940"/>
      <c r="N242" s="438"/>
      <c r="O242" s="437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ht="14.25" customHeight="1">
      <c r="A243" s="1"/>
      <c r="B243" s="1"/>
      <c r="C243" s="1"/>
      <c r="D243" s="39"/>
      <c r="E243" s="39"/>
      <c r="F243" s="438"/>
      <c r="G243" s="437"/>
      <c r="H243" s="438"/>
      <c r="I243" s="437"/>
      <c r="J243" s="438"/>
      <c r="K243" s="940"/>
      <c r="L243" s="438"/>
      <c r="M243" s="940"/>
      <c r="N243" s="438"/>
      <c r="O243" s="437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ht="14.25" customHeight="1">
      <c r="A244" s="1"/>
      <c r="B244" s="1"/>
      <c r="C244" s="1"/>
      <c r="D244" s="39"/>
      <c r="E244" s="39"/>
      <c r="F244" s="438"/>
      <c r="G244" s="437"/>
      <c r="H244" s="438"/>
      <c r="I244" s="437"/>
      <c r="J244" s="438"/>
      <c r="K244" s="940"/>
      <c r="L244" s="438"/>
      <c r="M244" s="940"/>
      <c r="N244" s="438"/>
      <c r="O244" s="437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ht="14.25" customHeight="1">
      <c r="A245" s="1"/>
      <c r="B245" s="1"/>
      <c r="C245" s="1"/>
      <c r="D245" s="39"/>
      <c r="E245" s="39"/>
      <c r="F245" s="438"/>
      <c r="G245" s="437"/>
      <c r="H245" s="438"/>
      <c r="I245" s="437"/>
      <c r="J245" s="438"/>
      <c r="K245" s="940"/>
      <c r="L245" s="438"/>
      <c r="M245" s="940"/>
      <c r="N245" s="438"/>
      <c r="O245" s="437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ht="14.25" customHeight="1">
      <c r="A246" s="1"/>
      <c r="B246" s="1"/>
      <c r="C246" s="1"/>
      <c r="D246" s="39"/>
      <c r="E246" s="39"/>
      <c r="F246" s="438"/>
      <c r="G246" s="437"/>
      <c r="H246" s="438"/>
      <c r="I246" s="437"/>
      <c r="J246" s="438"/>
      <c r="K246" s="940"/>
      <c r="L246" s="438"/>
      <c r="M246" s="940"/>
      <c r="N246" s="438"/>
      <c r="O246" s="437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ht="14.25" customHeight="1">
      <c r="A247" s="1"/>
      <c r="B247" s="1"/>
      <c r="C247" s="1"/>
      <c r="D247" s="39"/>
      <c r="E247" s="39"/>
      <c r="F247" s="438"/>
      <c r="G247" s="437"/>
      <c r="H247" s="438"/>
      <c r="I247" s="437"/>
      <c r="J247" s="438"/>
      <c r="K247" s="940"/>
      <c r="L247" s="438"/>
      <c r="M247" s="940"/>
      <c r="N247" s="438"/>
      <c r="O247" s="43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ht="14.25" customHeight="1">
      <c r="A248" s="1"/>
      <c r="B248" s="1"/>
      <c r="C248" s="1"/>
      <c r="D248" s="39"/>
      <c r="E248" s="39"/>
      <c r="F248" s="438"/>
      <c r="G248" s="437"/>
      <c r="H248" s="438"/>
      <c r="I248" s="437"/>
      <c r="J248" s="438"/>
      <c r="K248" s="940"/>
      <c r="L248" s="438"/>
      <c r="M248" s="940"/>
      <c r="N248" s="438"/>
      <c r="O248" s="437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ht="14.25" customHeight="1">
      <c r="A249" s="1"/>
      <c r="B249" s="1"/>
      <c r="C249" s="1"/>
      <c r="D249" s="39"/>
      <c r="E249" s="39"/>
      <c r="F249" s="438"/>
      <c r="G249" s="437"/>
      <c r="H249" s="438"/>
      <c r="I249" s="437"/>
      <c r="J249" s="438"/>
      <c r="K249" s="940"/>
      <c r="L249" s="438"/>
      <c r="M249" s="940"/>
      <c r="N249" s="438"/>
      <c r="O249" s="437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ht="14.25" customHeight="1">
      <c r="A250" s="1"/>
      <c r="B250" s="1"/>
      <c r="C250" s="1"/>
      <c r="D250" s="39"/>
      <c r="E250" s="39"/>
      <c r="F250" s="438"/>
      <c r="G250" s="437"/>
      <c r="H250" s="438"/>
      <c r="I250" s="437"/>
      <c r="J250" s="438"/>
      <c r="K250" s="940"/>
      <c r="L250" s="438"/>
      <c r="M250" s="940"/>
      <c r="N250" s="438"/>
      <c r="O250" s="437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ht="14.25" customHeight="1">
      <c r="A251" s="1"/>
      <c r="B251" s="1"/>
      <c r="C251" s="1"/>
      <c r="D251" s="39"/>
      <c r="E251" s="39"/>
      <c r="F251" s="438"/>
      <c r="G251" s="437"/>
      <c r="H251" s="438"/>
      <c r="I251" s="437"/>
      <c r="J251" s="438"/>
      <c r="K251" s="940"/>
      <c r="L251" s="438"/>
      <c r="M251" s="940"/>
      <c r="N251" s="438"/>
      <c r="O251" s="437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ht="14.25" customHeight="1">
      <c r="A252" s="1"/>
      <c r="B252" s="1"/>
      <c r="C252" s="1"/>
      <c r="D252" s="39"/>
      <c r="E252" s="39"/>
      <c r="F252" s="438"/>
      <c r="G252" s="437"/>
      <c r="H252" s="438"/>
      <c r="I252" s="437"/>
      <c r="J252" s="438"/>
      <c r="K252" s="940"/>
      <c r="L252" s="438"/>
      <c r="M252" s="940"/>
      <c r="N252" s="438"/>
      <c r="O252" s="437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ht="14.25" customHeight="1">
      <c r="A253" s="1"/>
      <c r="B253" s="1"/>
      <c r="C253" s="1"/>
      <c r="D253" s="39"/>
      <c r="E253" s="39"/>
      <c r="F253" s="438"/>
      <c r="G253" s="437"/>
      <c r="H253" s="438"/>
      <c r="I253" s="437"/>
      <c r="J253" s="438"/>
      <c r="K253" s="940"/>
      <c r="L253" s="438"/>
      <c r="M253" s="940"/>
      <c r="N253" s="438"/>
      <c r="O253" s="437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ht="14.25" customHeight="1">
      <c r="A254" s="1"/>
      <c r="B254" s="1"/>
      <c r="C254" s="1"/>
      <c r="D254" s="39"/>
      <c r="E254" s="39"/>
      <c r="F254" s="438"/>
      <c r="G254" s="437"/>
      <c r="H254" s="438"/>
      <c r="I254" s="437"/>
      <c r="J254" s="438"/>
      <c r="K254" s="940"/>
      <c r="L254" s="438"/>
      <c r="M254" s="940"/>
      <c r="N254" s="438"/>
      <c r="O254" s="437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ht="14.25" customHeight="1">
      <c r="A255" s="1"/>
      <c r="B255" s="1"/>
      <c r="C255" s="1"/>
      <c r="D255" s="39"/>
      <c r="E255" s="39"/>
      <c r="F255" s="438"/>
      <c r="G255" s="437"/>
      <c r="H255" s="438"/>
      <c r="I255" s="437"/>
      <c r="J255" s="438"/>
      <c r="K255" s="940"/>
      <c r="L255" s="438"/>
      <c r="M255" s="940"/>
      <c r="N255" s="438"/>
      <c r="O255" s="437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ht="14.25" customHeight="1">
      <c r="A256" s="1"/>
      <c r="B256" s="1"/>
      <c r="C256" s="1"/>
      <c r="D256" s="39"/>
      <c r="E256" s="39"/>
      <c r="F256" s="438"/>
      <c r="G256" s="437"/>
      <c r="H256" s="438"/>
      <c r="I256" s="437"/>
      <c r="J256" s="438"/>
      <c r="K256" s="940"/>
      <c r="L256" s="438"/>
      <c r="M256" s="940"/>
      <c r="N256" s="438"/>
      <c r="O256" s="43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ht="14.25" customHeight="1">
      <c r="A257" s="1"/>
      <c r="B257" s="1"/>
      <c r="C257" s="1"/>
      <c r="D257" s="39"/>
      <c r="E257" s="39"/>
      <c r="F257" s="438"/>
      <c r="G257" s="437"/>
      <c r="H257" s="438"/>
      <c r="I257" s="437"/>
      <c r="J257" s="438"/>
      <c r="K257" s="940"/>
      <c r="L257" s="438"/>
      <c r="M257" s="940"/>
      <c r="N257" s="438"/>
      <c r="O257" s="43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ht="14.25" customHeight="1">
      <c r="A258" s="1"/>
      <c r="B258" s="1"/>
      <c r="C258" s="1"/>
      <c r="D258" s="39"/>
      <c r="E258" s="39"/>
      <c r="F258" s="438"/>
      <c r="G258" s="437"/>
      <c r="H258" s="438"/>
      <c r="I258" s="437"/>
      <c r="J258" s="438"/>
      <c r="K258" s="940"/>
      <c r="L258" s="438"/>
      <c r="M258" s="940"/>
      <c r="N258" s="438"/>
      <c r="O258" s="437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ht="14.25" customHeight="1">
      <c r="A259" s="1"/>
      <c r="B259" s="1"/>
      <c r="C259" s="1"/>
      <c r="D259" s="39"/>
      <c r="E259" s="39"/>
      <c r="F259" s="438"/>
      <c r="G259" s="437"/>
      <c r="H259" s="438"/>
      <c r="I259" s="437"/>
      <c r="J259" s="438"/>
      <c r="K259" s="940"/>
      <c r="L259" s="438"/>
      <c r="M259" s="940"/>
      <c r="N259" s="438"/>
      <c r="O259" s="437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ht="14.25" customHeight="1">
      <c r="A260" s="1"/>
      <c r="B260" s="1"/>
      <c r="C260" s="1"/>
      <c r="D260" s="39"/>
      <c r="E260" s="39"/>
      <c r="F260" s="438"/>
      <c r="G260" s="437"/>
      <c r="H260" s="438"/>
      <c r="I260" s="437"/>
      <c r="J260" s="438"/>
      <c r="K260" s="940"/>
      <c r="L260" s="438"/>
      <c r="M260" s="940"/>
      <c r="N260" s="438"/>
      <c r="O260" s="437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ht="14.25" customHeight="1">
      <c r="A261" s="1"/>
      <c r="B261" s="1"/>
      <c r="C261" s="1"/>
      <c r="D261" s="39"/>
      <c r="E261" s="39"/>
      <c r="F261" s="438"/>
      <c r="G261" s="437"/>
      <c r="H261" s="438"/>
      <c r="I261" s="437"/>
      <c r="J261" s="438"/>
      <c r="K261" s="940"/>
      <c r="L261" s="438"/>
      <c r="M261" s="940"/>
      <c r="N261" s="438"/>
      <c r="O261" s="437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ht="14.25" customHeight="1">
      <c r="A262" s="1"/>
      <c r="B262" s="1"/>
      <c r="C262" s="1"/>
      <c r="D262" s="39"/>
      <c r="E262" s="39"/>
      <c r="F262" s="438"/>
      <c r="G262" s="437"/>
      <c r="H262" s="438"/>
      <c r="I262" s="437"/>
      <c r="J262" s="438"/>
      <c r="K262" s="940"/>
      <c r="L262" s="438"/>
      <c r="M262" s="940"/>
      <c r="N262" s="438"/>
      <c r="O262" s="437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ht="14.25" customHeight="1">
      <c r="A263" s="1"/>
      <c r="B263" s="1"/>
      <c r="C263" s="1"/>
      <c r="D263" s="39"/>
      <c r="E263" s="39"/>
      <c r="F263" s="438"/>
      <c r="G263" s="437"/>
      <c r="H263" s="438"/>
      <c r="I263" s="437"/>
      <c r="J263" s="438"/>
      <c r="K263" s="940"/>
      <c r="L263" s="438"/>
      <c r="M263" s="940"/>
      <c r="N263" s="438"/>
      <c r="O263" s="437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ht="14.25" customHeight="1">
      <c r="A264" s="1"/>
      <c r="B264" s="1"/>
      <c r="C264" s="1"/>
      <c r="D264" s="39"/>
      <c r="E264" s="39"/>
      <c r="F264" s="438"/>
      <c r="G264" s="437"/>
      <c r="H264" s="438"/>
      <c r="I264" s="437"/>
      <c r="J264" s="438"/>
      <c r="K264" s="940"/>
      <c r="L264" s="438"/>
      <c r="M264" s="940"/>
      <c r="N264" s="438"/>
      <c r="O264" s="437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ht="14.25" customHeight="1">
      <c r="A265" s="1"/>
      <c r="B265" s="1"/>
      <c r="C265" s="1"/>
      <c r="D265" s="39"/>
      <c r="E265" s="39"/>
      <c r="F265" s="438"/>
      <c r="G265" s="437"/>
      <c r="H265" s="438"/>
      <c r="I265" s="437"/>
      <c r="J265" s="438"/>
      <c r="K265" s="940"/>
      <c r="L265" s="438"/>
      <c r="M265" s="940"/>
      <c r="N265" s="438"/>
      <c r="O265" s="437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ht="14.25" customHeight="1">
      <c r="A266" s="1"/>
      <c r="B266" s="1"/>
      <c r="C266" s="1"/>
      <c r="D266" s="39"/>
      <c r="E266" s="39"/>
      <c r="F266" s="438"/>
      <c r="G266" s="437"/>
      <c r="H266" s="438"/>
      <c r="I266" s="437"/>
      <c r="J266" s="438"/>
      <c r="K266" s="940"/>
      <c r="L266" s="438"/>
      <c r="M266" s="940"/>
      <c r="N266" s="438"/>
      <c r="O266" s="437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ht="14.25" customHeight="1">
      <c r="A267" s="1"/>
      <c r="B267" s="1"/>
      <c r="C267" s="1"/>
      <c r="D267" s="39"/>
      <c r="E267" s="39"/>
      <c r="F267" s="438"/>
      <c r="G267" s="437"/>
      <c r="H267" s="438"/>
      <c r="I267" s="437"/>
      <c r="J267" s="438"/>
      <c r="K267" s="940"/>
      <c r="L267" s="438"/>
      <c r="M267" s="940"/>
      <c r="N267" s="438"/>
      <c r="O267" s="43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ht="14.25" customHeight="1">
      <c r="A268" s="1"/>
      <c r="B268" s="1"/>
      <c r="C268" s="1"/>
      <c r="D268" s="39"/>
      <c r="E268" s="39"/>
      <c r="F268" s="438"/>
      <c r="G268" s="437"/>
      <c r="H268" s="438"/>
      <c r="I268" s="437"/>
      <c r="J268" s="438"/>
      <c r="K268" s="940"/>
      <c r="L268" s="438"/>
      <c r="M268" s="940"/>
      <c r="N268" s="438"/>
      <c r="O268" s="437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ht="14.25" customHeight="1">
      <c r="A269" s="1"/>
      <c r="B269" s="1"/>
      <c r="C269" s="1"/>
      <c r="D269" s="39"/>
      <c r="E269" s="39"/>
      <c r="F269" s="438"/>
      <c r="G269" s="437"/>
      <c r="H269" s="438"/>
      <c r="I269" s="437"/>
      <c r="J269" s="438"/>
      <c r="K269" s="940"/>
      <c r="L269" s="438"/>
      <c r="M269" s="940"/>
      <c r="N269" s="438"/>
      <c r="O269" s="437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ht="14.25" customHeight="1">
      <c r="A270" s="1"/>
      <c r="B270" s="1"/>
      <c r="C270" s="1"/>
      <c r="D270" s="39"/>
      <c r="E270" s="39"/>
      <c r="F270" s="438"/>
      <c r="G270" s="437"/>
      <c r="H270" s="438"/>
      <c r="I270" s="437"/>
      <c r="J270" s="438"/>
      <c r="K270" s="940"/>
      <c r="L270" s="438"/>
      <c r="M270" s="940"/>
      <c r="N270" s="438"/>
      <c r="O270" s="437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ht="14.25" customHeight="1">
      <c r="A271" s="1"/>
      <c r="B271" s="1"/>
      <c r="C271" s="1"/>
      <c r="D271" s="39"/>
      <c r="E271" s="39"/>
      <c r="F271" s="438"/>
      <c r="G271" s="437"/>
      <c r="H271" s="438"/>
      <c r="I271" s="437"/>
      <c r="J271" s="438"/>
      <c r="K271" s="940"/>
      <c r="L271" s="438"/>
      <c r="M271" s="940"/>
      <c r="N271" s="438"/>
      <c r="O271" s="437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ht="14.25" customHeight="1">
      <c r="A272" s="1"/>
      <c r="B272" s="1"/>
      <c r="C272" s="1"/>
      <c r="D272" s="39"/>
      <c r="E272" s="39"/>
      <c r="F272" s="438"/>
      <c r="G272" s="437"/>
      <c r="H272" s="438"/>
      <c r="I272" s="437"/>
      <c r="J272" s="438"/>
      <c r="K272" s="940"/>
      <c r="L272" s="438"/>
      <c r="M272" s="940"/>
      <c r="N272" s="438"/>
      <c r="O272" s="437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ht="14.25" customHeight="1">
      <c r="A273" s="1"/>
      <c r="B273" s="1"/>
      <c r="C273" s="1"/>
      <c r="D273" s="39"/>
      <c r="E273" s="39"/>
      <c r="F273" s="438"/>
      <c r="G273" s="437"/>
      <c r="H273" s="438"/>
      <c r="I273" s="437"/>
      <c r="J273" s="438"/>
      <c r="K273" s="940"/>
      <c r="L273" s="438"/>
      <c r="M273" s="940"/>
      <c r="N273" s="438"/>
      <c r="O273" s="437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ht="14.25" customHeight="1">
      <c r="A274" s="1"/>
      <c r="B274" s="1"/>
      <c r="C274" s="1"/>
      <c r="D274" s="39"/>
      <c r="E274" s="39"/>
      <c r="F274" s="438"/>
      <c r="G274" s="437"/>
      <c r="H274" s="438"/>
      <c r="I274" s="437"/>
      <c r="J274" s="438"/>
      <c r="K274" s="940"/>
      <c r="L274" s="438"/>
      <c r="M274" s="940"/>
      <c r="N274" s="438"/>
      <c r="O274" s="437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ht="14.25" customHeight="1">
      <c r="A275" s="1"/>
      <c r="B275" s="1"/>
      <c r="C275" s="1"/>
      <c r="D275" s="39"/>
      <c r="E275" s="39"/>
      <c r="F275" s="438"/>
      <c r="G275" s="437"/>
      <c r="H275" s="438"/>
      <c r="I275" s="437"/>
      <c r="J275" s="438"/>
      <c r="K275" s="940"/>
      <c r="L275" s="438"/>
      <c r="M275" s="940"/>
      <c r="N275" s="438"/>
      <c r="O275" s="437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ht="14.25" customHeight="1">
      <c r="A276" s="1"/>
      <c r="B276" s="1"/>
      <c r="C276" s="1"/>
      <c r="D276" s="39"/>
      <c r="E276" s="39"/>
      <c r="F276" s="438"/>
      <c r="G276" s="437"/>
      <c r="H276" s="438"/>
      <c r="I276" s="437"/>
      <c r="J276" s="438"/>
      <c r="K276" s="940"/>
      <c r="L276" s="438"/>
      <c r="M276" s="940"/>
      <c r="N276" s="438"/>
      <c r="O276" s="437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ht="14.25" customHeight="1">
      <c r="A277" s="1"/>
      <c r="B277" s="1"/>
      <c r="C277" s="1"/>
      <c r="D277" s="39"/>
      <c r="E277" s="39"/>
      <c r="F277" s="438"/>
      <c r="G277" s="437"/>
      <c r="H277" s="438"/>
      <c r="I277" s="437"/>
      <c r="J277" s="438"/>
      <c r="K277" s="940"/>
      <c r="L277" s="438"/>
      <c r="M277" s="940"/>
      <c r="N277" s="438"/>
      <c r="O277" s="43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ht="14.25" customHeight="1">
      <c r="A278" s="1"/>
      <c r="B278" s="1"/>
      <c r="C278" s="1"/>
      <c r="D278" s="39"/>
      <c r="E278" s="39"/>
      <c r="F278" s="438"/>
      <c r="G278" s="437"/>
      <c r="H278" s="438"/>
      <c r="I278" s="437"/>
      <c r="J278" s="438"/>
      <c r="K278" s="940"/>
      <c r="L278" s="438"/>
      <c r="M278" s="940"/>
      <c r="N278" s="438"/>
      <c r="O278" s="437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ht="14.25" customHeight="1">
      <c r="A279" s="1"/>
      <c r="B279" s="1"/>
      <c r="C279" s="1"/>
      <c r="D279" s="39"/>
      <c r="E279" s="39"/>
      <c r="F279" s="438"/>
      <c r="G279" s="437"/>
      <c r="H279" s="438"/>
      <c r="I279" s="437"/>
      <c r="J279" s="438"/>
      <c r="K279" s="940"/>
      <c r="L279" s="438"/>
      <c r="M279" s="940"/>
      <c r="N279" s="438"/>
      <c r="O279" s="437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ht="14.25" customHeight="1">
      <c r="A280" s="1"/>
      <c r="B280" s="1"/>
      <c r="C280" s="1"/>
      <c r="D280" s="39"/>
      <c r="E280" s="39"/>
      <c r="F280" s="438"/>
      <c r="G280" s="437"/>
      <c r="H280" s="438"/>
      <c r="I280" s="437"/>
      <c r="J280" s="438"/>
      <c r="K280" s="940"/>
      <c r="L280" s="438"/>
      <c r="M280" s="940"/>
      <c r="N280" s="438"/>
      <c r="O280" s="437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ht="14.25" customHeight="1">
      <c r="A281" s="1"/>
      <c r="B281" s="1"/>
      <c r="C281" s="1"/>
      <c r="D281" s="39"/>
      <c r="E281" s="39"/>
      <c r="F281" s="438"/>
      <c r="G281" s="437"/>
      <c r="H281" s="438"/>
      <c r="I281" s="437"/>
      <c r="J281" s="438"/>
      <c r="K281" s="940"/>
      <c r="L281" s="438"/>
      <c r="M281" s="940"/>
      <c r="N281" s="438"/>
      <c r="O281" s="437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ht="14.25" customHeight="1">
      <c r="A282" s="1"/>
      <c r="B282" s="1"/>
      <c r="C282" s="1"/>
      <c r="D282" s="39"/>
      <c r="E282" s="39"/>
      <c r="F282" s="438"/>
      <c r="G282" s="437"/>
      <c r="H282" s="438"/>
      <c r="I282" s="437"/>
      <c r="J282" s="438"/>
      <c r="K282" s="940"/>
      <c r="L282" s="438"/>
      <c r="M282" s="940"/>
      <c r="N282" s="438"/>
      <c r="O282" s="437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ht="14.25" customHeight="1">
      <c r="A283" s="1"/>
      <c r="B283" s="1"/>
      <c r="C283" s="1"/>
      <c r="D283" s="39"/>
      <c r="E283" s="39"/>
      <c r="F283" s="438"/>
      <c r="G283" s="437"/>
      <c r="H283" s="438"/>
      <c r="I283" s="437"/>
      <c r="J283" s="438"/>
      <c r="K283" s="940"/>
      <c r="L283" s="438"/>
      <c r="M283" s="940"/>
      <c r="N283" s="438"/>
      <c r="O283" s="437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ht="14.25" customHeight="1">
      <c r="A284" s="1"/>
      <c r="B284" s="1"/>
      <c r="C284" s="1"/>
      <c r="D284" s="39"/>
      <c r="E284" s="39"/>
      <c r="F284" s="438"/>
      <c r="G284" s="437"/>
      <c r="H284" s="438"/>
      <c r="I284" s="437"/>
      <c r="J284" s="438"/>
      <c r="K284" s="940"/>
      <c r="L284" s="438"/>
      <c r="M284" s="940"/>
      <c r="N284" s="438"/>
      <c r="O284" s="437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ht="14.25" customHeight="1">
      <c r="A285" s="1"/>
      <c r="B285" s="1"/>
      <c r="C285" s="1"/>
      <c r="D285" s="39"/>
      <c r="E285" s="39"/>
      <c r="F285" s="438"/>
      <c r="G285" s="437"/>
      <c r="H285" s="438"/>
      <c r="I285" s="437"/>
      <c r="J285" s="438"/>
      <c r="K285" s="940"/>
      <c r="L285" s="438"/>
      <c r="M285" s="940"/>
      <c r="N285" s="438"/>
      <c r="O285" s="437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ht="14.25" customHeight="1">
      <c r="A286" s="1"/>
      <c r="B286" s="1"/>
      <c r="C286" s="1"/>
      <c r="D286" s="39"/>
      <c r="E286" s="39"/>
      <c r="F286" s="438"/>
      <c r="G286" s="437"/>
      <c r="H286" s="438"/>
      <c r="I286" s="437"/>
      <c r="J286" s="438"/>
      <c r="K286" s="940"/>
      <c r="L286" s="438"/>
      <c r="M286" s="940"/>
      <c r="N286" s="438"/>
      <c r="O286" s="437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ht="14.25" customHeight="1">
      <c r="A287" s="1"/>
      <c r="B287" s="1"/>
      <c r="C287" s="1"/>
      <c r="D287" s="39"/>
      <c r="E287" s="39"/>
      <c r="F287" s="438"/>
      <c r="G287" s="437"/>
      <c r="H287" s="438"/>
      <c r="I287" s="437"/>
      <c r="J287" s="438"/>
      <c r="K287" s="940"/>
      <c r="L287" s="438"/>
      <c r="M287" s="940"/>
      <c r="N287" s="438"/>
      <c r="O287" s="43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ht="14.25" customHeight="1">
      <c r="A288" s="1"/>
      <c r="B288" s="1"/>
      <c r="C288" s="1"/>
      <c r="D288" s="39"/>
      <c r="E288" s="39"/>
      <c r="F288" s="438"/>
      <c r="G288" s="437"/>
      <c r="H288" s="438"/>
      <c r="I288" s="437"/>
      <c r="J288" s="438"/>
      <c r="K288" s="940"/>
      <c r="L288" s="438"/>
      <c r="M288" s="940"/>
      <c r="N288" s="438"/>
      <c r="O288" s="437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ht="14.25" customHeight="1">
      <c r="A289" s="1"/>
      <c r="B289" s="1"/>
      <c r="C289" s="1"/>
      <c r="D289" s="39"/>
      <c r="E289" s="39"/>
      <c r="F289" s="438"/>
      <c r="G289" s="437"/>
      <c r="H289" s="438"/>
      <c r="I289" s="437"/>
      <c r="J289" s="438"/>
      <c r="K289" s="940"/>
      <c r="L289" s="438"/>
      <c r="M289" s="940"/>
      <c r="N289" s="438"/>
      <c r="O289" s="437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ht="14.25" customHeight="1">
      <c r="A290" s="1"/>
      <c r="B290" s="1"/>
      <c r="C290" s="1"/>
      <c r="D290" s="39"/>
      <c r="E290" s="39"/>
      <c r="F290" s="438"/>
      <c r="G290" s="437"/>
      <c r="H290" s="438"/>
      <c r="I290" s="437"/>
      <c r="J290" s="438"/>
      <c r="K290" s="940"/>
      <c r="L290" s="438"/>
      <c r="M290" s="940"/>
      <c r="N290" s="438"/>
      <c r="O290" s="437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ht="14.25" customHeight="1">
      <c r="A291" s="1"/>
      <c r="B291" s="1"/>
      <c r="C291" s="1"/>
      <c r="D291" s="39"/>
      <c r="E291" s="39"/>
      <c r="F291" s="438"/>
      <c r="G291" s="437"/>
      <c r="H291" s="438"/>
      <c r="I291" s="437"/>
      <c r="J291" s="438"/>
      <c r="K291" s="940"/>
      <c r="L291" s="438"/>
      <c r="M291" s="940"/>
      <c r="N291" s="438"/>
      <c r="O291" s="437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ht="14.25" customHeight="1">
      <c r="A292" s="1"/>
      <c r="B292" s="1"/>
      <c r="C292" s="1"/>
      <c r="D292" s="39"/>
      <c r="E292" s="39"/>
      <c r="F292" s="438"/>
      <c r="G292" s="437"/>
      <c r="H292" s="438"/>
      <c r="I292" s="437"/>
      <c r="J292" s="438"/>
      <c r="K292" s="940"/>
      <c r="L292" s="438"/>
      <c r="M292" s="940"/>
      <c r="N292" s="438"/>
      <c r="O292" s="437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ht="14.25" customHeight="1">
      <c r="A293" s="1"/>
      <c r="B293" s="1"/>
      <c r="C293" s="1"/>
      <c r="D293" s="39"/>
      <c r="E293" s="39"/>
      <c r="F293" s="438"/>
      <c r="G293" s="437"/>
      <c r="H293" s="438"/>
      <c r="I293" s="437"/>
      <c r="J293" s="438"/>
      <c r="K293" s="940"/>
      <c r="L293" s="438"/>
      <c r="M293" s="940"/>
      <c r="N293" s="438"/>
      <c r="O293" s="437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ht="14.25" customHeight="1">
      <c r="A294" s="1"/>
      <c r="B294" s="1"/>
      <c r="C294" s="1"/>
      <c r="D294" s="39"/>
      <c r="E294" s="39"/>
      <c r="F294" s="438"/>
      <c r="G294" s="437"/>
      <c r="H294" s="438"/>
      <c r="I294" s="437"/>
      <c r="J294" s="438"/>
      <c r="K294" s="940"/>
      <c r="L294" s="438"/>
      <c r="M294" s="940"/>
      <c r="N294" s="438"/>
      <c r="O294" s="437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ht="14.25" customHeight="1">
      <c r="A295" s="1"/>
      <c r="B295" s="1"/>
      <c r="C295" s="1"/>
      <c r="D295" s="39"/>
      <c r="E295" s="39"/>
      <c r="F295" s="438"/>
      <c r="G295" s="437"/>
      <c r="H295" s="438"/>
      <c r="I295" s="437"/>
      <c r="J295" s="438"/>
      <c r="K295" s="940"/>
      <c r="L295" s="438"/>
      <c r="M295" s="940"/>
      <c r="N295" s="438"/>
      <c r="O295" s="437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ht="14.25" customHeight="1">
      <c r="A296" s="1"/>
      <c r="B296" s="1"/>
      <c r="C296" s="1"/>
      <c r="D296" s="39"/>
      <c r="E296" s="39"/>
      <c r="F296" s="438"/>
      <c r="G296" s="437"/>
      <c r="H296" s="438"/>
      <c r="I296" s="437"/>
      <c r="J296" s="438"/>
      <c r="K296" s="940"/>
      <c r="L296" s="438"/>
      <c r="M296" s="940"/>
      <c r="N296" s="438"/>
      <c r="O296" s="437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ht="14.25" customHeight="1">
      <c r="A297" s="1"/>
      <c r="B297" s="1"/>
      <c r="C297" s="1"/>
      <c r="D297" s="39"/>
      <c r="E297" s="39"/>
      <c r="F297" s="438"/>
      <c r="G297" s="437"/>
      <c r="H297" s="438"/>
      <c r="I297" s="437"/>
      <c r="J297" s="438"/>
      <c r="K297" s="940"/>
      <c r="L297" s="438"/>
      <c r="M297" s="940"/>
      <c r="N297" s="438"/>
      <c r="O297" s="43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ht="14.25" customHeight="1">
      <c r="A298" s="1"/>
      <c r="B298" s="1"/>
      <c r="C298" s="1"/>
      <c r="D298" s="39"/>
      <c r="E298" s="39"/>
      <c r="F298" s="438"/>
      <c r="G298" s="437"/>
      <c r="H298" s="438"/>
      <c r="I298" s="437"/>
      <c r="J298" s="438"/>
      <c r="K298" s="940"/>
      <c r="L298" s="438"/>
      <c r="M298" s="940"/>
      <c r="N298" s="438"/>
      <c r="O298" s="437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ht="14.25" customHeight="1">
      <c r="A299" s="1"/>
      <c r="B299" s="1"/>
      <c r="C299" s="1"/>
      <c r="D299" s="39"/>
      <c r="E299" s="39"/>
      <c r="F299" s="438"/>
      <c r="G299" s="437"/>
      <c r="H299" s="438"/>
      <c r="I299" s="437"/>
      <c r="J299" s="438"/>
      <c r="K299" s="940"/>
      <c r="L299" s="438"/>
      <c r="M299" s="940"/>
      <c r="N299" s="438"/>
      <c r="O299" s="437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ht="14.25" customHeight="1">
      <c r="A300" s="1"/>
      <c r="B300" s="1"/>
      <c r="C300" s="1"/>
      <c r="D300" s="39"/>
      <c r="E300" s="39"/>
      <c r="F300" s="438"/>
      <c r="G300" s="437"/>
      <c r="H300" s="438"/>
      <c r="I300" s="437"/>
      <c r="J300" s="438"/>
      <c r="K300" s="940"/>
      <c r="L300" s="438"/>
      <c r="M300" s="940"/>
      <c r="N300" s="438"/>
      <c r="O300" s="437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ht="14.25" customHeight="1">
      <c r="A301" s="1"/>
      <c r="B301" s="1"/>
      <c r="C301" s="1"/>
      <c r="D301" s="39"/>
      <c r="E301" s="39"/>
      <c r="F301" s="438"/>
      <c r="G301" s="437"/>
      <c r="H301" s="438"/>
      <c r="I301" s="437"/>
      <c r="J301" s="438"/>
      <c r="K301" s="940"/>
      <c r="L301" s="438"/>
      <c r="M301" s="940"/>
      <c r="N301" s="438"/>
      <c r="O301" s="437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ht="14.25" customHeight="1">
      <c r="A302" s="1"/>
      <c r="B302" s="1"/>
      <c r="C302" s="1"/>
      <c r="D302" s="39"/>
      <c r="E302" s="39"/>
      <c r="F302" s="438"/>
      <c r="G302" s="437"/>
      <c r="H302" s="438"/>
      <c r="I302" s="437"/>
      <c r="J302" s="438"/>
      <c r="K302" s="940"/>
      <c r="L302" s="438"/>
      <c r="M302" s="940"/>
      <c r="N302" s="438"/>
      <c r="O302" s="437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ht="14.25" customHeight="1">
      <c r="A303" s="1"/>
      <c r="B303" s="1"/>
      <c r="C303" s="1"/>
      <c r="D303" s="39"/>
      <c r="E303" s="39"/>
      <c r="F303" s="438"/>
      <c r="G303" s="437"/>
      <c r="H303" s="438"/>
      <c r="I303" s="437"/>
      <c r="J303" s="438"/>
      <c r="K303" s="940"/>
      <c r="L303" s="438"/>
      <c r="M303" s="940"/>
      <c r="N303" s="438"/>
      <c r="O303" s="437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ht="14.25" customHeight="1">
      <c r="A304" s="1"/>
      <c r="B304" s="1"/>
      <c r="C304" s="1"/>
      <c r="D304" s="39"/>
      <c r="E304" s="39"/>
      <c r="F304" s="438"/>
      <c r="G304" s="437"/>
      <c r="H304" s="438"/>
      <c r="I304" s="437"/>
      <c r="J304" s="438"/>
      <c r="K304" s="940"/>
      <c r="L304" s="438"/>
      <c r="M304" s="940"/>
      <c r="N304" s="438"/>
      <c r="O304" s="437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ht="14.25" customHeight="1">
      <c r="A305" s="1"/>
      <c r="B305" s="1"/>
      <c r="C305" s="1"/>
      <c r="D305" s="39"/>
      <c r="E305" s="39"/>
      <c r="F305" s="438"/>
      <c r="G305" s="437"/>
      <c r="H305" s="438"/>
      <c r="I305" s="437"/>
      <c r="J305" s="438"/>
      <c r="K305" s="940"/>
      <c r="L305" s="438"/>
      <c r="M305" s="940"/>
      <c r="N305" s="438"/>
      <c r="O305" s="437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ht="14.25" customHeight="1">
      <c r="A306" s="1"/>
      <c r="B306" s="1"/>
      <c r="C306" s="1"/>
      <c r="D306" s="39"/>
      <c r="E306" s="39"/>
      <c r="F306" s="438"/>
      <c r="G306" s="437"/>
      <c r="H306" s="438"/>
      <c r="I306" s="437"/>
      <c r="J306" s="438"/>
      <c r="K306" s="940"/>
      <c r="L306" s="438"/>
      <c r="M306" s="940"/>
      <c r="N306" s="438"/>
      <c r="O306" s="437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ht="14.25" customHeight="1">
      <c r="A307" s="1"/>
      <c r="B307" s="1"/>
      <c r="C307" s="1"/>
      <c r="D307" s="39"/>
      <c r="E307" s="39"/>
      <c r="F307" s="438"/>
      <c r="G307" s="437"/>
      <c r="H307" s="438"/>
      <c r="I307" s="437"/>
      <c r="J307" s="438"/>
      <c r="K307" s="940"/>
      <c r="L307" s="438"/>
      <c r="M307" s="940"/>
      <c r="N307" s="438"/>
      <c r="O307" s="43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ht="14.25" customHeight="1">
      <c r="A308" s="1"/>
      <c r="B308" s="1"/>
      <c r="C308" s="1"/>
      <c r="D308" s="39"/>
      <c r="E308" s="39"/>
      <c r="F308" s="438"/>
      <c r="G308" s="437"/>
      <c r="H308" s="438"/>
      <c r="I308" s="437"/>
      <c r="J308" s="438"/>
      <c r="K308" s="940"/>
      <c r="L308" s="438"/>
      <c r="M308" s="940"/>
      <c r="N308" s="438"/>
      <c r="O308" s="437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ht="14.25" customHeight="1">
      <c r="A309" s="1"/>
      <c r="B309" s="1"/>
      <c r="C309" s="1"/>
      <c r="D309" s="39"/>
      <c r="E309" s="39"/>
      <c r="F309" s="438"/>
      <c r="G309" s="437"/>
      <c r="H309" s="438"/>
      <c r="I309" s="437"/>
      <c r="J309" s="438"/>
      <c r="K309" s="940"/>
      <c r="L309" s="438"/>
      <c r="M309" s="940"/>
      <c r="N309" s="438"/>
      <c r="O309" s="437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ht="14.25" customHeight="1">
      <c r="A310" s="1"/>
      <c r="B310" s="1"/>
      <c r="C310" s="1"/>
      <c r="D310" s="39"/>
      <c r="E310" s="39"/>
      <c r="F310" s="438"/>
      <c r="G310" s="437"/>
      <c r="H310" s="438"/>
      <c r="I310" s="437"/>
      <c r="J310" s="438"/>
      <c r="K310" s="940"/>
      <c r="L310" s="438"/>
      <c r="M310" s="940"/>
      <c r="N310" s="438"/>
      <c r="O310" s="437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ht="14.25" customHeight="1">
      <c r="A311" s="1"/>
      <c r="B311" s="1"/>
      <c r="C311" s="1"/>
      <c r="D311" s="39"/>
      <c r="E311" s="39"/>
      <c r="F311" s="438"/>
      <c r="G311" s="437"/>
      <c r="H311" s="438"/>
      <c r="I311" s="437"/>
      <c r="J311" s="438"/>
      <c r="K311" s="940"/>
      <c r="L311" s="438"/>
      <c r="M311" s="940"/>
      <c r="N311" s="438"/>
      <c r="O311" s="437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ht="14.25" customHeight="1">
      <c r="A312" s="1"/>
      <c r="B312" s="1"/>
      <c r="C312" s="1"/>
      <c r="D312" s="39"/>
      <c r="E312" s="39"/>
      <c r="F312" s="438"/>
      <c r="G312" s="437"/>
      <c r="H312" s="438"/>
      <c r="I312" s="437"/>
      <c r="J312" s="438"/>
      <c r="K312" s="940"/>
      <c r="L312" s="438"/>
      <c r="M312" s="940"/>
      <c r="N312" s="438"/>
      <c r="O312" s="437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ht="14.25" customHeight="1">
      <c r="A313" s="1"/>
      <c r="B313" s="1"/>
      <c r="C313" s="1"/>
      <c r="D313" s="39"/>
      <c r="E313" s="39"/>
      <c r="F313" s="438"/>
      <c r="G313" s="437"/>
      <c r="H313" s="438"/>
      <c r="I313" s="437"/>
      <c r="J313" s="438"/>
      <c r="K313" s="940"/>
      <c r="L313" s="438"/>
      <c r="M313" s="940"/>
      <c r="N313" s="438"/>
      <c r="O313" s="437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ht="14.25" customHeight="1">
      <c r="A314" s="1"/>
      <c r="B314" s="1"/>
      <c r="C314" s="1"/>
      <c r="D314" s="39"/>
      <c r="E314" s="39"/>
      <c r="F314" s="438"/>
      <c r="G314" s="437"/>
      <c r="H314" s="438"/>
      <c r="I314" s="437"/>
      <c r="J314" s="438"/>
      <c r="K314" s="940"/>
      <c r="L314" s="438"/>
      <c r="M314" s="940"/>
      <c r="N314" s="438"/>
      <c r="O314" s="437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ht="14.25" customHeight="1">
      <c r="A315" s="1"/>
      <c r="B315" s="1"/>
      <c r="C315" s="1"/>
      <c r="D315" s="39"/>
      <c r="E315" s="39"/>
      <c r="F315" s="438"/>
      <c r="G315" s="437"/>
      <c r="H315" s="438"/>
      <c r="I315" s="437"/>
      <c r="J315" s="438"/>
      <c r="K315" s="940"/>
      <c r="L315" s="438"/>
      <c r="M315" s="940"/>
      <c r="N315" s="438"/>
      <c r="O315" s="437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ht="14.25" customHeight="1">
      <c r="A316" s="1"/>
      <c r="B316" s="1"/>
      <c r="C316" s="1"/>
      <c r="D316" s="39"/>
      <c r="E316" s="39"/>
      <c r="F316" s="438"/>
      <c r="G316" s="437"/>
      <c r="H316" s="438"/>
      <c r="I316" s="437"/>
      <c r="J316" s="438"/>
      <c r="K316" s="940"/>
      <c r="L316" s="438"/>
      <c r="M316" s="940"/>
      <c r="N316" s="438"/>
      <c r="O316" s="437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ht="14.25" customHeight="1">
      <c r="A317" s="1"/>
      <c r="B317" s="1"/>
      <c r="C317" s="1"/>
      <c r="D317" s="39"/>
      <c r="E317" s="39"/>
      <c r="F317" s="438"/>
      <c r="G317" s="437"/>
      <c r="H317" s="438"/>
      <c r="I317" s="437"/>
      <c r="J317" s="438"/>
      <c r="K317" s="940"/>
      <c r="L317" s="438"/>
      <c r="M317" s="940"/>
      <c r="N317" s="438"/>
      <c r="O317" s="43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ht="14.25" customHeight="1">
      <c r="A318" s="1"/>
      <c r="B318" s="1"/>
      <c r="C318" s="1"/>
      <c r="D318" s="39"/>
      <c r="E318" s="39"/>
      <c r="F318" s="438"/>
      <c r="G318" s="437"/>
      <c r="H318" s="438"/>
      <c r="I318" s="437"/>
      <c r="J318" s="438"/>
      <c r="K318" s="940"/>
      <c r="L318" s="438"/>
      <c r="M318" s="940"/>
      <c r="N318" s="438"/>
      <c r="O318" s="437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ht="14.25" customHeight="1">
      <c r="A319" s="1"/>
      <c r="B319" s="1"/>
      <c r="C319" s="1"/>
      <c r="D319" s="39"/>
      <c r="E319" s="39"/>
      <c r="F319" s="438"/>
      <c r="G319" s="437"/>
      <c r="H319" s="438"/>
      <c r="I319" s="437"/>
      <c r="J319" s="438"/>
      <c r="K319" s="940"/>
      <c r="L319" s="438"/>
      <c r="M319" s="940"/>
      <c r="N319" s="438"/>
      <c r="O319" s="437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ht="14.25" customHeight="1">
      <c r="A320" s="1"/>
      <c r="B320" s="1"/>
      <c r="C320" s="1"/>
      <c r="D320" s="39"/>
      <c r="E320" s="39"/>
      <c r="F320" s="438"/>
      <c r="G320" s="437"/>
      <c r="H320" s="438"/>
      <c r="I320" s="437"/>
      <c r="J320" s="438"/>
      <c r="K320" s="940"/>
      <c r="L320" s="438"/>
      <c r="M320" s="940"/>
      <c r="N320" s="438"/>
      <c r="O320" s="437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ht="14.25" customHeight="1">
      <c r="A321" s="1"/>
      <c r="B321" s="1"/>
      <c r="C321" s="1"/>
      <c r="D321" s="39"/>
      <c r="E321" s="39"/>
      <c r="F321" s="438"/>
      <c r="G321" s="437"/>
      <c r="H321" s="438"/>
      <c r="I321" s="437"/>
      <c r="J321" s="438"/>
      <c r="K321" s="940"/>
      <c r="L321" s="438"/>
      <c r="M321" s="940"/>
      <c r="N321" s="438"/>
      <c r="O321" s="437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ht="14.25" customHeight="1">
      <c r="A322" s="1"/>
      <c r="B322" s="1"/>
      <c r="C322" s="1"/>
      <c r="D322" s="39"/>
      <c r="E322" s="39"/>
      <c r="F322" s="438"/>
      <c r="G322" s="437"/>
      <c r="H322" s="438"/>
      <c r="I322" s="437"/>
      <c r="J322" s="438"/>
      <c r="K322" s="940"/>
      <c r="L322" s="438"/>
      <c r="M322" s="940"/>
      <c r="N322" s="438"/>
      <c r="O322" s="437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ht="14.25" customHeight="1">
      <c r="A323" s="1"/>
      <c r="B323" s="1"/>
      <c r="C323" s="1"/>
      <c r="D323" s="39"/>
      <c r="E323" s="39"/>
      <c r="F323" s="438"/>
      <c r="G323" s="437"/>
      <c r="H323" s="438"/>
      <c r="I323" s="437"/>
      <c r="J323" s="438"/>
      <c r="K323" s="940"/>
      <c r="L323" s="438"/>
      <c r="M323" s="940"/>
      <c r="N323" s="438"/>
      <c r="O323" s="437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ht="14.25" customHeight="1">
      <c r="A324" s="1"/>
      <c r="B324" s="1"/>
      <c r="C324" s="1"/>
      <c r="D324" s="39"/>
      <c r="E324" s="39"/>
      <c r="F324" s="438"/>
      <c r="G324" s="437"/>
      <c r="H324" s="438"/>
      <c r="I324" s="437"/>
      <c r="J324" s="438"/>
      <c r="K324" s="940"/>
      <c r="L324" s="438"/>
      <c r="M324" s="940"/>
      <c r="N324" s="438"/>
      <c r="O324" s="437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ht="14.25" customHeight="1">
      <c r="A325" s="1"/>
      <c r="B325" s="1"/>
      <c r="C325" s="1"/>
      <c r="D325" s="39"/>
      <c r="E325" s="39"/>
      <c r="F325" s="438"/>
      <c r="G325" s="437"/>
      <c r="H325" s="438"/>
      <c r="I325" s="437"/>
      <c r="J325" s="438"/>
      <c r="K325" s="940"/>
      <c r="L325" s="438"/>
      <c r="M325" s="940"/>
      <c r="N325" s="438"/>
      <c r="O325" s="437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ht="14.25" customHeight="1">
      <c r="A326" s="1"/>
      <c r="B326" s="1"/>
      <c r="C326" s="1"/>
      <c r="D326" s="39"/>
      <c r="E326" s="39"/>
      <c r="F326" s="438"/>
      <c r="G326" s="437"/>
      <c r="H326" s="438"/>
      <c r="I326" s="437"/>
      <c r="J326" s="438"/>
      <c r="K326" s="940"/>
      <c r="L326" s="438"/>
      <c r="M326" s="940"/>
      <c r="N326" s="438"/>
      <c r="O326" s="437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ht="14.25" customHeight="1">
      <c r="A327" s="1"/>
      <c r="B327" s="1"/>
      <c r="C327" s="1"/>
      <c r="D327" s="39"/>
      <c r="E327" s="39"/>
      <c r="F327" s="438"/>
      <c r="G327" s="437"/>
      <c r="H327" s="438"/>
      <c r="I327" s="437"/>
      <c r="J327" s="438"/>
      <c r="K327" s="940"/>
      <c r="L327" s="438"/>
      <c r="M327" s="940"/>
      <c r="N327" s="438"/>
      <c r="O327" s="43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ht="14.25" customHeight="1">
      <c r="A328" s="1"/>
      <c r="B328" s="1"/>
      <c r="C328" s="1"/>
      <c r="D328" s="39"/>
      <c r="E328" s="39"/>
      <c r="F328" s="438"/>
      <c r="G328" s="437"/>
      <c r="H328" s="438"/>
      <c r="I328" s="437"/>
      <c r="J328" s="438"/>
      <c r="K328" s="940"/>
      <c r="L328" s="438"/>
      <c r="M328" s="940"/>
      <c r="N328" s="438"/>
      <c r="O328" s="437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ht="14.25" customHeight="1">
      <c r="A329" s="1"/>
      <c r="B329" s="1"/>
      <c r="C329" s="1"/>
      <c r="D329" s="39"/>
      <c r="E329" s="39"/>
      <c r="F329" s="438"/>
      <c r="G329" s="437"/>
      <c r="H329" s="438"/>
      <c r="I329" s="437"/>
      <c r="J329" s="438"/>
      <c r="K329" s="940"/>
      <c r="L329" s="438"/>
      <c r="M329" s="940"/>
      <c r="N329" s="438"/>
      <c r="O329" s="437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ht="14.25" customHeight="1">
      <c r="A330" s="1"/>
      <c r="B330" s="1"/>
      <c r="C330" s="1"/>
      <c r="D330" s="39"/>
      <c r="E330" s="39"/>
      <c r="F330" s="438"/>
      <c r="G330" s="437"/>
      <c r="H330" s="438"/>
      <c r="I330" s="437"/>
      <c r="J330" s="438"/>
      <c r="K330" s="940"/>
      <c r="L330" s="438"/>
      <c r="M330" s="940"/>
      <c r="N330" s="438"/>
      <c r="O330" s="437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ht="14.25" customHeight="1">
      <c r="A331" s="1"/>
      <c r="B331" s="1"/>
      <c r="C331" s="1"/>
      <c r="D331" s="39"/>
      <c r="E331" s="39"/>
      <c r="F331" s="438"/>
      <c r="G331" s="437"/>
      <c r="H331" s="438"/>
      <c r="I331" s="437"/>
      <c r="J331" s="438"/>
      <c r="K331" s="940"/>
      <c r="L331" s="438"/>
      <c r="M331" s="940"/>
      <c r="N331" s="438"/>
      <c r="O331" s="437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ht="14.25" customHeight="1">
      <c r="A332" s="1"/>
      <c r="B332" s="1"/>
      <c r="C332" s="1"/>
      <c r="D332" s="39"/>
      <c r="E332" s="39"/>
      <c r="F332" s="438"/>
      <c r="G332" s="437"/>
      <c r="H332" s="438"/>
      <c r="I332" s="437"/>
      <c r="J332" s="438"/>
      <c r="K332" s="940"/>
      <c r="L332" s="438"/>
      <c r="M332" s="940"/>
      <c r="N332" s="438"/>
      <c r="O332" s="437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ht="14.25" customHeight="1">
      <c r="A333" s="1"/>
      <c r="B333" s="1"/>
      <c r="C333" s="1"/>
      <c r="D333" s="39"/>
      <c r="E333" s="39"/>
      <c r="F333" s="438"/>
      <c r="G333" s="437"/>
      <c r="H333" s="438"/>
      <c r="I333" s="437"/>
      <c r="J333" s="438"/>
      <c r="K333" s="940"/>
      <c r="L333" s="438"/>
      <c r="M333" s="940"/>
      <c r="N333" s="438"/>
      <c r="O333" s="437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ht="14.25" customHeight="1">
      <c r="A334" s="1"/>
      <c r="B334" s="1"/>
      <c r="C334" s="1"/>
      <c r="D334" s="39"/>
      <c r="E334" s="39"/>
      <c r="F334" s="438"/>
      <c r="G334" s="437"/>
      <c r="H334" s="438"/>
      <c r="I334" s="437"/>
      <c r="J334" s="438"/>
      <c r="K334" s="940"/>
      <c r="L334" s="438"/>
      <c r="M334" s="940"/>
      <c r="N334" s="438"/>
      <c r="O334" s="437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ht="14.25" customHeight="1">
      <c r="A335" s="1"/>
      <c r="B335" s="1"/>
      <c r="C335" s="1"/>
      <c r="D335" s="39"/>
      <c r="E335" s="39"/>
      <c r="F335" s="438"/>
      <c r="G335" s="437"/>
      <c r="H335" s="438"/>
      <c r="I335" s="437"/>
      <c r="J335" s="438"/>
      <c r="K335" s="940"/>
      <c r="L335" s="438"/>
      <c r="M335" s="940"/>
      <c r="N335" s="438"/>
      <c r="O335" s="437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ht="14.25" customHeight="1">
      <c r="A336" s="1"/>
      <c r="B336" s="1"/>
      <c r="C336" s="1"/>
      <c r="D336" s="39"/>
      <c r="E336" s="39"/>
      <c r="F336" s="438"/>
      <c r="G336" s="437"/>
      <c r="H336" s="438"/>
      <c r="I336" s="437"/>
      <c r="J336" s="438"/>
      <c r="K336" s="940"/>
      <c r="L336" s="438"/>
      <c r="M336" s="940"/>
      <c r="N336" s="438"/>
      <c r="O336" s="437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ht="14.25" customHeight="1">
      <c r="A337" s="1"/>
      <c r="B337" s="1"/>
      <c r="C337" s="1"/>
      <c r="D337" s="39"/>
      <c r="E337" s="39"/>
      <c r="F337" s="438"/>
      <c r="G337" s="437"/>
      <c r="H337" s="438"/>
      <c r="I337" s="437"/>
      <c r="J337" s="438"/>
      <c r="K337" s="940"/>
      <c r="L337" s="438"/>
      <c r="M337" s="940"/>
      <c r="N337" s="438"/>
      <c r="O337" s="4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ht="14.25" customHeight="1">
      <c r="A338" s="1"/>
      <c r="B338" s="1"/>
      <c r="C338" s="1"/>
      <c r="D338" s="39"/>
      <c r="E338" s="39"/>
      <c r="F338" s="438"/>
      <c r="G338" s="437"/>
      <c r="H338" s="438"/>
      <c r="I338" s="437"/>
      <c r="J338" s="438"/>
      <c r="K338" s="940"/>
      <c r="L338" s="438"/>
      <c r="M338" s="940"/>
      <c r="N338" s="438"/>
      <c r="O338" s="437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ht="14.25" customHeight="1">
      <c r="A339" s="1"/>
      <c r="B339" s="1"/>
      <c r="C339" s="1"/>
      <c r="D339" s="39"/>
      <c r="E339" s="39"/>
      <c r="F339" s="438"/>
      <c r="G339" s="437"/>
      <c r="H339" s="438"/>
      <c r="I339" s="437"/>
      <c r="J339" s="438"/>
      <c r="K339" s="940"/>
      <c r="L339" s="438"/>
      <c r="M339" s="940"/>
      <c r="N339" s="438"/>
      <c r="O339" s="437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ht="14.25" customHeight="1">
      <c r="A340" s="1"/>
      <c r="B340" s="1"/>
      <c r="C340" s="1"/>
      <c r="D340" s="39"/>
      <c r="E340" s="39"/>
      <c r="F340" s="438"/>
      <c r="G340" s="437"/>
      <c r="H340" s="438"/>
      <c r="I340" s="437"/>
      <c r="J340" s="438"/>
      <c r="K340" s="940"/>
      <c r="L340" s="438"/>
      <c r="M340" s="940"/>
      <c r="N340" s="438"/>
      <c r="O340" s="437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ht="14.25" customHeight="1">
      <c r="A341" s="1"/>
      <c r="B341" s="1"/>
      <c r="C341" s="1"/>
      <c r="D341" s="39"/>
      <c r="E341" s="39"/>
      <c r="F341" s="438"/>
      <c r="G341" s="437"/>
      <c r="H341" s="438"/>
      <c r="I341" s="437"/>
      <c r="J341" s="438"/>
      <c r="K341" s="940"/>
      <c r="L341" s="438"/>
      <c r="M341" s="940"/>
      <c r="N341" s="438"/>
      <c r="O341" s="437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ht="14.25" customHeight="1">
      <c r="A342" s="1"/>
      <c r="B342" s="1"/>
      <c r="C342" s="1"/>
      <c r="D342" s="39"/>
      <c r="E342" s="39"/>
      <c r="F342" s="438"/>
      <c r="G342" s="437"/>
      <c r="H342" s="438"/>
      <c r="I342" s="437"/>
      <c r="J342" s="438"/>
      <c r="K342" s="940"/>
      <c r="L342" s="438"/>
      <c r="M342" s="940"/>
      <c r="N342" s="438"/>
      <c r="O342" s="437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ht="14.25" customHeight="1">
      <c r="A343" s="1"/>
      <c r="B343" s="1"/>
      <c r="C343" s="1"/>
      <c r="D343" s="39"/>
      <c r="E343" s="39"/>
      <c r="F343" s="438"/>
      <c r="G343" s="437"/>
      <c r="H343" s="438"/>
      <c r="I343" s="437"/>
      <c r="J343" s="438"/>
      <c r="K343" s="940"/>
      <c r="L343" s="438"/>
      <c r="M343" s="940"/>
      <c r="N343" s="438"/>
      <c r="O343" s="437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ht="14.25" customHeight="1">
      <c r="A344" s="1"/>
      <c r="B344" s="1"/>
      <c r="C344" s="1"/>
      <c r="D344" s="39"/>
      <c r="E344" s="39"/>
      <c r="F344" s="438"/>
      <c r="G344" s="437"/>
      <c r="H344" s="438"/>
      <c r="I344" s="437"/>
      <c r="J344" s="438"/>
      <c r="K344" s="940"/>
      <c r="L344" s="438"/>
      <c r="M344" s="940"/>
      <c r="N344" s="438"/>
      <c r="O344" s="437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ht="14.25" customHeight="1">
      <c r="A345" s="1"/>
      <c r="B345" s="1"/>
      <c r="C345" s="1"/>
      <c r="D345" s="39"/>
      <c r="E345" s="39"/>
      <c r="F345" s="438"/>
      <c r="G345" s="437"/>
      <c r="H345" s="438"/>
      <c r="I345" s="437"/>
      <c r="J345" s="438"/>
      <c r="K345" s="940"/>
      <c r="L345" s="438"/>
      <c r="M345" s="940"/>
      <c r="N345" s="438"/>
      <c r="O345" s="437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ht="14.25" customHeight="1">
      <c r="A346" s="1"/>
      <c r="B346" s="1"/>
      <c r="C346" s="1"/>
      <c r="D346" s="39"/>
      <c r="E346" s="39"/>
      <c r="F346" s="438"/>
      <c r="G346" s="437"/>
      <c r="H346" s="438"/>
      <c r="I346" s="437"/>
      <c r="J346" s="438"/>
      <c r="K346" s="940"/>
      <c r="L346" s="438"/>
      <c r="M346" s="940"/>
      <c r="N346" s="438"/>
      <c r="O346" s="437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ht="14.25" customHeight="1">
      <c r="A347" s="1"/>
      <c r="B347" s="1"/>
      <c r="C347" s="1"/>
      <c r="D347" s="39"/>
      <c r="E347" s="39"/>
      <c r="F347" s="438"/>
      <c r="G347" s="437"/>
      <c r="H347" s="438"/>
      <c r="I347" s="437"/>
      <c r="J347" s="438"/>
      <c r="K347" s="940"/>
      <c r="L347" s="438"/>
      <c r="M347" s="940"/>
      <c r="N347" s="438"/>
      <c r="O347" s="43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ht="14.25" customHeight="1">
      <c r="A348" s="1"/>
      <c r="B348" s="1"/>
      <c r="C348" s="1"/>
      <c r="D348" s="39"/>
      <c r="E348" s="39"/>
      <c r="F348" s="438"/>
      <c r="G348" s="437"/>
      <c r="H348" s="438"/>
      <c r="I348" s="437"/>
      <c r="J348" s="438"/>
      <c r="K348" s="940"/>
      <c r="L348" s="438"/>
      <c r="M348" s="940"/>
      <c r="N348" s="438"/>
      <c r="O348" s="437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ht="14.25" customHeight="1">
      <c r="A349" s="1"/>
      <c r="B349" s="1"/>
      <c r="C349" s="1"/>
      <c r="D349" s="39"/>
      <c r="E349" s="39"/>
      <c r="F349" s="438"/>
      <c r="G349" s="437"/>
      <c r="H349" s="438"/>
      <c r="I349" s="437"/>
      <c r="J349" s="438"/>
      <c r="K349" s="940"/>
      <c r="L349" s="438"/>
      <c r="M349" s="940"/>
      <c r="N349" s="438"/>
      <c r="O349" s="437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ht="14.25" customHeight="1">
      <c r="A350" s="1"/>
      <c r="B350" s="1"/>
      <c r="C350" s="1"/>
      <c r="D350" s="39"/>
      <c r="E350" s="39"/>
      <c r="F350" s="438"/>
      <c r="G350" s="437"/>
      <c r="H350" s="438"/>
      <c r="I350" s="437"/>
      <c r="J350" s="438"/>
      <c r="K350" s="940"/>
      <c r="L350" s="438"/>
      <c r="M350" s="940"/>
      <c r="N350" s="438"/>
      <c r="O350" s="437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ht="14.25" customHeight="1">
      <c r="A351" s="1"/>
      <c r="B351" s="1"/>
      <c r="C351" s="1"/>
      <c r="D351" s="39"/>
      <c r="E351" s="39"/>
      <c r="F351" s="438"/>
      <c r="G351" s="437"/>
      <c r="H351" s="438"/>
      <c r="I351" s="437"/>
      <c r="J351" s="438"/>
      <c r="K351" s="940"/>
      <c r="L351" s="438"/>
      <c r="M351" s="940"/>
      <c r="N351" s="438"/>
      <c r="O351" s="437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ht="14.25" customHeight="1">
      <c r="A352" s="1"/>
      <c r="B352" s="1"/>
      <c r="C352" s="1"/>
      <c r="D352" s="39"/>
      <c r="E352" s="39"/>
      <c r="F352" s="438"/>
      <c r="G352" s="437"/>
      <c r="H352" s="438"/>
      <c r="I352" s="437"/>
      <c r="J352" s="438"/>
      <c r="K352" s="940"/>
      <c r="L352" s="438"/>
      <c r="M352" s="940"/>
      <c r="N352" s="438"/>
      <c r="O352" s="437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ht="14.25" customHeight="1">
      <c r="A353" s="1"/>
      <c r="B353" s="1"/>
      <c r="C353" s="1"/>
      <c r="D353" s="39"/>
      <c r="E353" s="39"/>
      <c r="F353" s="438"/>
      <c r="G353" s="437"/>
      <c r="H353" s="438"/>
      <c r="I353" s="437"/>
      <c r="J353" s="438"/>
      <c r="K353" s="940"/>
      <c r="L353" s="438"/>
      <c r="M353" s="940"/>
      <c r="N353" s="438"/>
      <c r="O353" s="437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ht="14.25" customHeight="1">
      <c r="A354" s="1"/>
      <c r="B354" s="1"/>
      <c r="C354" s="1"/>
      <c r="D354" s="39"/>
      <c r="E354" s="39"/>
      <c r="F354" s="438"/>
      <c r="G354" s="437"/>
      <c r="H354" s="438"/>
      <c r="I354" s="437"/>
      <c r="J354" s="438"/>
      <c r="K354" s="940"/>
      <c r="L354" s="438"/>
      <c r="M354" s="940"/>
      <c r="N354" s="438"/>
      <c r="O354" s="437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ht="14.25" customHeight="1">
      <c r="A355" s="1"/>
      <c r="B355" s="1"/>
      <c r="C355" s="1"/>
      <c r="D355" s="39"/>
      <c r="E355" s="39"/>
      <c r="F355" s="438"/>
      <c r="G355" s="437"/>
      <c r="H355" s="438"/>
      <c r="I355" s="437"/>
      <c r="J355" s="438"/>
      <c r="K355" s="940"/>
      <c r="L355" s="438"/>
      <c r="M355" s="940"/>
      <c r="N355" s="438"/>
      <c r="O355" s="437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ht="14.25" customHeight="1">
      <c r="A356" s="1"/>
      <c r="B356" s="1"/>
      <c r="C356" s="1"/>
      <c r="D356" s="39"/>
      <c r="E356" s="39"/>
      <c r="F356" s="438"/>
      <c r="G356" s="437"/>
      <c r="H356" s="438"/>
      <c r="I356" s="437"/>
      <c r="J356" s="438"/>
      <c r="K356" s="940"/>
      <c r="L356" s="438"/>
      <c r="M356" s="940"/>
      <c r="N356" s="438"/>
      <c r="O356" s="437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ht="14.25" customHeight="1">
      <c r="A357" s="1"/>
      <c r="B357" s="1"/>
      <c r="C357" s="1"/>
      <c r="D357" s="39"/>
      <c r="E357" s="39"/>
      <c r="F357" s="438"/>
      <c r="G357" s="437"/>
      <c r="H357" s="438"/>
      <c r="I357" s="437"/>
      <c r="J357" s="438"/>
      <c r="K357" s="940"/>
      <c r="L357" s="438"/>
      <c r="M357" s="940"/>
      <c r="N357" s="438"/>
      <c r="O357" s="43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ht="14.25" customHeight="1">
      <c r="A358" s="1"/>
      <c r="B358" s="1"/>
      <c r="C358" s="1"/>
      <c r="D358" s="39"/>
      <c r="E358" s="39"/>
      <c r="F358" s="438"/>
      <c r="G358" s="437"/>
      <c r="H358" s="438"/>
      <c r="I358" s="437"/>
      <c r="J358" s="438"/>
      <c r="K358" s="940"/>
      <c r="L358" s="438"/>
      <c r="M358" s="940"/>
      <c r="N358" s="438"/>
      <c r="O358" s="437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ht="14.25" customHeight="1">
      <c r="A359" s="1"/>
      <c r="B359" s="1"/>
      <c r="C359" s="1"/>
      <c r="D359" s="39"/>
      <c r="E359" s="39"/>
      <c r="F359" s="438"/>
      <c r="G359" s="437"/>
      <c r="H359" s="438"/>
      <c r="I359" s="437"/>
      <c r="J359" s="438"/>
      <c r="K359" s="940"/>
      <c r="L359" s="438"/>
      <c r="M359" s="940"/>
      <c r="N359" s="438"/>
      <c r="O359" s="437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ht="14.25" customHeight="1">
      <c r="A360" s="1"/>
      <c r="B360" s="1"/>
      <c r="C360" s="1"/>
      <c r="D360" s="39"/>
      <c r="E360" s="39"/>
      <c r="F360" s="438"/>
      <c r="G360" s="437"/>
      <c r="H360" s="438"/>
      <c r="I360" s="437"/>
      <c r="J360" s="438"/>
      <c r="K360" s="940"/>
      <c r="L360" s="438"/>
      <c r="M360" s="940"/>
      <c r="N360" s="438"/>
      <c r="O360" s="437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ht="14.25" customHeight="1">
      <c r="A361" s="1"/>
      <c r="B361" s="1"/>
      <c r="C361" s="1"/>
      <c r="D361" s="39"/>
      <c r="E361" s="39"/>
      <c r="F361" s="438"/>
      <c r="G361" s="437"/>
      <c r="H361" s="438"/>
      <c r="I361" s="437"/>
      <c r="J361" s="438"/>
      <c r="K361" s="940"/>
      <c r="L361" s="438"/>
      <c r="M361" s="940"/>
      <c r="N361" s="438"/>
      <c r="O361" s="437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ht="14.25" customHeight="1">
      <c r="A362" s="1"/>
      <c r="B362" s="1"/>
      <c r="C362" s="1"/>
      <c r="D362" s="39"/>
      <c r="E362" s="39"/>
      <c r="F362" s="438"/>
      <c r="G362" s="437"/>
      <c r="H362" s="438"/>
      <c r="I362" s="437"/>
      <c r="J362" s="438"/>
      <c r="K362" s="940"/>
      <c r="L362" s="438"/>
      <c r="M362" s="940"/>
      <c r="N362" s="438"/>
      <c r="O362" s="437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ht="14.25" customHeight="1">
      <c r="A363" s="1"/>
      <c r="B363" s="1"/>
      <c r="C363" s="1"/>
      <c r="D363" s="39"/>
      <c r="E363" s="39"/>
      <c r="F363" s="438"/>
      <c r="G363" s="437"/>
      <c r="H363" s="438"/>
      <c r="I363" s="437"/>
      <c r="J363" s="438"/>
      <c r="K363" s="940"/>
      <c r="L363" s="438"/>
      <c r="M363" s="940"/>
      <c r="N363" s="438"/>
      <c r="O363" s="437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ht="14.25" customHeight="1">
      <c r="A364" s="1"/>
      <c r="B364" s="1"/>
      <c r="C364" s="1"/>
      <c r="D364" s="39"/>
      <c r="E364" s="39"/>
      <c r="F364" s="438"/>
      <c r="G364" s="437"/>
      <c r="H364" s="438"/>
      <c r="I364" s="437"/>
      <c r="J364" s="438"/>
      <c r="K364" s="940"/>
      <c r="L364" s="438"/>
      <c r="M364" s="940"/>
      <c r="N364" s="438"/>
      <c r="O364" s="437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ht="14.25" customHeight="1">
      <c r="A365" s="1"/>
      <c r="B365" s="1"/>
      <c r="C365" s="1"/>
      <c r="D365" s="39"/>
      <c r="E365" s="39"/>
      <c r="F365" s="438"/>
      <c r="G365" s="437"/>
      <c r="H365" s="438"/>
      <c r="I365" s="437"/>
      <c r="J365" s="438"/>
      <c r="K365" s="940"/>
      <c r="L365" s="438"/>
      <c r="M365" s="940"/>
      <c r="N365" s="438"/>
      <c r="O365" s="437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ht="14.25" customHeight="1">
      <c r="A366" s="1"/>
      <c r="B366" s="1"/>
      <c r="C366" s="1"/>
      <c r="D366" s="39"/>
      <c r="E366" s="39"/>
      <c r="F366" s="438"/>
      <c r="G366" s="437"/>
      <c r="H366" s="438"/>
      <c r="I366" s="437"/>
      <c r="J366" s="438"/>
      <c r="K366" s="940"/>
      <c r="L366" s="438"/>
      <c r="M366" s="940"/>
      <c r="N366" s="438"/>
      <c r="O366" s="437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ht="14.25" customHeight="1">
      <c r="A367" s="1"/>
      <c r="B367" s="1"/>
      <c r="C367" s="1"/>
      <c r="D367" s="39"/>
      <c r="E367" s="39"/>
      <c r="F367" s="438"/>
      <c r="G367" s="437"/>
      <c r="H367" s="438"/>
      <c r="I367" s="437"/>
      <c r="J367" s="438"/>
      <c r="K367" s="940"/>
      <c r="L367" s="438"/>
      <c r="M367" s="940"/>
      <c r="N367" s="438"/>
      <c r="O367" s="43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ht="14.25" customHeight="1">
      <c r="A368" s="1"/>
      <c r="B368" s="1"/>
      <c r="C368" s="1"/>
      <c r="D368" s="39"/>
      <c r="E368" s="39"/>
      <c r="F368" s="438"/>
      <c r="G368" s="437"/>
      <c r="H368" s="438"/>
      <c r="I368" s="437"/>
      <c r="J368" s="438"/>
      <c r="K368" s="940"/>
      <c r="L368" s="438"/>
      <c r="M368" s="940"/>
      <c r="N368" s="438"/>
      <c r="O368" s="437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ht="14.25" customHeight="1">
      <c r="A369" s="1"/>
      <c r="B369" s="1"/>
      <c r="C369" s="1"/>
      <c r="D369" s="39"/>
      <c r="E369" s="39"/>
      <c r="F369" s="438"/>
      <c r="G369" s="437"/>
      <c r="H369" s="438"/>
      <c r="I369" s="437"/>
      <c r="J369" s="438"/>
      <c r="K369" s="940"/>
      <c r="L369" s="438"/>
      <c r="M369" s="940"/>
      <c r="N369" s="438"/>
      <c r="O369" s="437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ht="14.25" customHeight="1">
      <c r="A370" s="1"/>
      <c r="B370" s="1"/>
      <c r="C370" s="1"/>
      <c r="D370" s="39"/>
      <c r="E370" s="39"/>
      <c r="F370" s="438"/>
      <c r="G370" s="437"/>
      <c r="H370" s="438"/>
      <c r="I370" s="437"/>
      <c r="J370" s="438"/>
      <c r="K370" s="940"/>
      <c r="L370" s="438"/>
      <c r="M370" s="940"/>
      <c r="N370" s="438"/>
      <c r="O370" s="437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ht="14.25" customHeight="1">
      <c r="A371" s="1"/>
      <c r="B371" s="1"/>
      <c r="C371" s="1"/>
      <c r="D371" s="39"/>
      <c r="E371" s="39"/>
      <c r="F371" s="438"/>
      <c r="G371" s="437"/>
      <c r="H371" s="438"/>
      <c r="I371" s="437"/>
      <c r="J371" s="438"/>
      <c r="K371" s="940"/>
      <c r="L371" s="438"/>
      <c r="M371" s="940"/>
      <c r="N371" s="438"/>
      <c r="O371" s="437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ht="14.25" customHeight="1">
      <c r="A372" s="1"/>
      <c r="B372" s="1"/>
      <c r="C372" s="1"/>
      <c r="D372" s="39"/>
      <c r="E372" s="39"/>
      <c r="F372" s="438"/>
      <c r="G372" s="437"/>
      <c r="H372" s="438"/>
      <c r="I372" s="437"/>
      <c r="J372" s="438"/>
      <c r="K372" s="940"/>
      <c r="L372" s="438"/>
      <c r="M372" s="940"/>
      <c r="N372" s="438"/>
      <c r="O372" s="437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ht="14.25" customHeight="1">
      <c r="A373" s="1"/>
      <c r="B373" s="1"/>
      <c r="C373" s="1"/>
      <c r="D373" s="39"/>
      <c r="E373" s="39"/>
      <c r="F373" s="438"/>
      <c r="G373" s="437"/>
      <c r="H373" s="438"/>
      <c r="I373" s="437"/>
      <c r="J373" s="438"/>
      <c r="K373" s="940"/>
      <c r="L373" s="438"/>
      <c r="M373" s="940"/>
      <c r="N373" s="438"/>
      <c r="O373" s="437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ht="14.25" customHeight="1">
      <c r="A374" s="1"/>
      <c r="B374" s="1"/>
      <c r="C374" s="1"/>
      <c r="D374" s="39"/>
      <c r="E374" s="39"/>
      <c r="F374" s="438"/>
      <c r="G374" s="437"/>
      <c r="H374" s="438"/>
      <c r="I374" s="437"/>
      <c r="J374" s="438"/>
      <c r="K374" s="940"/>
      <c r="L374" s="438"/>
      <c r="M374" s="940"/>
      <c r="N374" s="438"/>
      <c r="O374" s="437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ht="14.25" customHeight="1">
      <c r="A375" s="1"/>
      <c r="B375" s="1"/>
      <c r="C375" s="1"/>
      <c r="D375" s="39"/>
      <c r="E375" s="39"/>
      <c r="F375" s="438"/>
      <c r="G375" s="437"/>
      <c r="H375" s="438"/>
      <c r="I375" s="437"/>
      <c r="J375" s="438"/>
      <c r="K375" s="940"/>
      <c r="L375" s="438"/>
      <c r="M375" s="940"/>
      <c r="N375" s="438"/>
      <c r="O375" s="437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ht="14.25" customHeight="1">
      <c r="A376" s="1"/>
      <c r="B376" s="1"/>
      <c r="C376" s="1"/>
      <c r="D376" s="39"/>
      <c r="E376" s="39"/>
      <c r="F376" s="438"/>
      <c r="G376" s="437"/>
      <c r="H376" s="438"/>
      <c r="I376" s="437"/>
      <c r="J376" s="438"/>
      <c r="K376" s="940"/>
      <c r="L376" s="438"/>
      <c r="M376" s="940"/>
      <c r="N376" s="438"/>
      <c r="O376" s="437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ht="14.25" customHeight="1">
      <c r="A377" s="1"/>
      <c r="B377" s="1"/>
      <c r="C377" s="1"/>
      <c r="D377" s="39"/>
      <c r="E377" s="39"/>
      <c r="F377" s="438"/>
      <c r="G377" s="437"/>
      <c r="H377" s="438"/>
      <c r="I377" s="437"/>
      <c r="J377" s="438"/>
      <c r="K377" s="940"/>
      <c r="L377" s="438"/>
      <c r="M377" s="940"/>
      <c r="N377" s="438"/>
      <c r="O377" s="43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ht="14.25" customHeight="1">
      <c r="A378" s="1"/>
      <c r="B378" s="1"/>
      <c r="C378" s="1"/>
      <c r="D378" s="39"/>
      <c r="E378" s="39"/>
      <c r="F378" s="438"/>
      <c r="G378" s="437"/>
      <c r="H378" s="438"/>
      <c r="I378" s="437"/>
      <c r="J378" s="438"/>
      <c r="K378" s="940"/>
      <c r="L378" s="438"/>
      <c r="M378" s="940"/>
      <c r="N378" s="438"/>
      <c r="O378" s="437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ht="14.25" customHeight="1">
      <c r="A379" s="1"/>
      <c r="B379" s="1"/>
      <c r="C379" s="1"/>
      <c r="D379" s="39"/>
      <c r="E379" s="39"/>
      <c r="F379" s="438"/>
      <c r="G379" s="437"/>
      <c r="H379" s="438"/>
      <c r="I379" s="437"/>
      <c r="J379" s="438"/>
      <c r="K379" s="940"/>
      <c r="L379" s="438"/>
      <c r="M379" s="940"/>
      <c r="N379" s="438"/>
      <c r="O379" s="437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ht="14.25" customHeight="1">
      <c r="A380" s="1"/>
      <c r="B380" s="1"/>
      <c r="C380" s="1"/>
      <c r="D380" s="39"/>
      <c r="E380" s="39"/>
      <c r="F380" s="438"/>
      <c r="G380" s="437"/>
      <c r="H380" s="438"/>
      <c r="I380" s="437"/>
      <c r="J380" s="438"/>
      <c r="K380" s="940"/>
      <c r="L380" s="438"/>
      <c r="M380" s="940"/>
      <c r="N380" s="438"/>
      <c r="O380" s="437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ht="14.25" customHeight="1">
      <c r="A381" s="1"/>
      <c r="B381" s="1"/>
      <c r="C381" s="1"/>
      <c r="D381" s="39"/>
      <c r="E381" s="39"/>
      <c r="F381" s="438"/>
      <c r="G381" s="437"/>
      <c r="H381" s="438"/>
      <c r="I381" s="437"/>
      <c r="J381" s="438"/>
      <c r="K381" s="940"/>
      <c r="L381" s="438"/>
      <c r="M381" s="940"/>
      <c r="N381" s="438"/>
      <c r="O381" s="437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ht="14.25" customHeight="1">
      <c r="A382" s="1"/>
      <c r="B382" s="1"/>
      <c r="C382" s="1"/>
      <c r="D382" s="39"/>
      <c r="E382" s="39"/>
      <c r="F382" s="438"/>
      <c r="G382" s="437"/>
      <c r="H382" s="438"/>
      <c r="I382" s="437"/>
      <c r="J382" s="438"/>
      <c r="K382" s="940"/>
      <c r="L382" s="438"/>
      <c r="M382" s="940"/>
      <c r="N382" s="438"/>
      <c r="O382" s="437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ht="14.25" customHeight="1">
      <c r="A383" s="1"/>
      <c r="B383" s="1"/>
      <c r="C383" s="1"/>
      <c r="D383" s="39"/>
      <c r="E383" s="39"/>
      <c r="F383" s="438"/>
      <c r="G383" s="437"/>
      <c r="H383" s="438"/>
      <c r="I383" s="437"/>
      <c r="J383" s="438"/>
      <c r="K383" s="940"/>
      <c r="L383" s="438"/>
      <c r="M383" s="940"/>
      <c r="N383" s="438"/>
      <c r="O383" s="437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ht="14.25" customHeight="1">
      <c r="A384" s="1"/>
      <c r="B384" s="1"/>
      <c r="C384" s="1"/>
      <c r="D384" s="39"/>
      <c r="E384" s="39"/>
      <c r="F384" s="438"/>
      <c r="G384" s="437"/>
      <c r="H384" s="438"/>
      <c r="I384" s="437"/>
      <c r="J384" s="438"/>
      <c r="K384" s="940"/>
      <c r="L384" s="438"/>
      <c r="M384" s="940"/>
      <c r="N384" s="438"/>
      <c r="O384" s="437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ht="14.25" customHeight="1">
      <c r="A385" s="1"/>
      <c r="B385" s="1"/>
      <c r="C385" s="1"/>
      <c r="D385" s="39"/>
      <c r="E385" s="39"/>
      <c r="F385" s="438"/>
      <c r="G385" s="437"/>
      <c r="H385" s="438"/>
      <c r="I385" s="437"/>
      <c r="J385" s="438"/>
      <c r="K385" s="940"/>
      <c r="L385" s="438"/>
      <c r="M385" s="940"/>
      <c r="N385" s="438"/>
      <c r="O385" s="437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ht="14.25" customHeight="1">
      <c r="A386" s="1"/>
      <c r="B386" s="1"/>
      <c r="C386" s="1"/>
      <c r="D386" s="39"/>
      <c r="E386" s="39"/>
      <c r="F386" s="438"/>
      <c r="G386" s="437"/>
      <c r="H386" s="438"/>
      <c r="I386" s="437"/>
      <c r="J386" s="438"/>
      <c r="K386" s="940"/>
      <c r="L386" s="438"/>
      <c r="M386" s="940"/>
      <c r="N386" s="438"/>
      <c r="O386" s="437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ht="14.25" customHeight="1">
      <c r="A387" s="1"/>
      <c r="B387" s="1"/>
      <c r="C387" s="1"/>
      <c r="D387" s="39"/>
      <c r="E387" s="39"/>
      <c r="F387" s="438"/>
      <c r="G387" s="437"/>
      <c r="H387" s="438"/>
      <c r="I387" s="437"/>
      <c r="J387" s="438"/>
      <c r="K387" s="940"/>
      <c r="L387" s="438"/>
      <c r="M387" s="940"/>
      <c r="N387" s="438"/>
      <c r="O387" s="43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ht="14.25" customHeight="1">
      <c r="A388" s="1"/>
      <c r="B388" s="1"/>
      <c r="C388" s="1"/>
      <c r="D388" s="39"/>
      <c r="E388" s="39"/>
      <c r="F388" s="438"/>
      <c r="G388" s="437"/>
      <c r="H388" s="438"/>
      <c r="I388" s="437"/>
      <c r="J388" s="438"/>
      <c r="K388" s="940"/>
      <c r="L388" s="438"/>
      <c r="M388" s="940"/>
      <c r="N388" s="438"/>
      <c r="O388" s="437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ht="14.25" customHeight="1">
      <c r="A389" s="1"/>
      <c r="B389" s="1"/>
      <c r="C389" s="1"/>
      <c r="D389" s="39"/>
      <c r="E389" s="39"/>
      <c r="F389" s="438"/>
      <c r="G389" s="437"/>
      <c r="H389" s="438"/>
      <c r="I389" s="437"/>
      <c r="J389" s="438"/>
      <c r="K389" s="940"/>
      <c r="L389" s="438"/>
      <c r="M389" s="940"/>
      <c r="N389" s="438"/>
      <c r="O389" s="437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ht="14.25" customHeight="1">
      <c r="A390" s="1"/>
      <c r="B390" s="1"/>
      <c r="C390" s="1"/>
      <c r="D390" s="39"/>
      <c r="E390" s="39"/>
      <c r="F390" s="438"/>
      <c r="G390" s="437"/>
      <c r="H390" s="438"/>
      <c r="I390" s="437"/>
      <c r="J390" s="438"/>
      <c r="K390" s="940"/>
      <c r="L390" s="438"/>
      <c r="M390" s="940"/>
      <c r="N390" s="438"/>
      <c r="O390" s="437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ht="14.25" customHeight="1">
      <c r="A391" s="1"/>
      <c r="B391" s="1"/>
      <c r="C391" s="1"/>
      <c r="D391" s="39"/>
      <c r="E391" s="39"/>
      <c r="F391" s="438"/>
      <c r="G391" s="437"/>
      <c r="H391" s="438"/>
      <c r="I391" s="437"/>
      <c r="J391" s="438"/>
      <c r="K391" s="940"/>
      <c r="L391" s="438"/>
      <c r="M391" s="940"/>
      <c r="N391" s="438"/>
      <c r="O391" s="437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ht="14.25" customHeight="1">
      <c r="A392" s="1"/>
      <c r="B392" s="1"/>
      <c r="C392" s="1"/>
      <c r="D392" s="39"/>
      <c r="E392" s="39"/>
      <c r="F392" s="438"/>
      <c r="G392" s="437"/>
      <c r="H392" s="438"/>
      <c r="I392" s="437"/>
      <c r="J392" s="438"/>
      <c r="K392" s="940"/>
      <c r="L392" s="438"/>
      <c r="M392" s="940"/>
      <c r="N392" s="438"/>
      <c r="O392" s="437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ht="14.25" customHeight="1">
      <c r="A393" s="1"/>
      <c r="B393" s="1"/>
      <c r="C393" s="1"/>
      <c r="D393" s="39"/>
      <c r="E393" s="39"/>
      <c r="F393" s="438"/>
      <c r="G393" s="437"/>
      <c r="H393" s="438"/>
      <c r="I393" s="437"/>
      <c r="J393" s="438"/>
      <c r="K393" s="940"/>
      <c r="L393" s="438"/>
      <c r="M393" s="940"/>
      <c r="N393" s="438"/>
      <c r="O393" s="437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ht="14.25" customHeight="1">
      <c r="A394" s="1"/>
      <c r="B394" s="1"/>
      <c r="C394" s="1"/>
      <c r="D394" s="39"/>
      <c r="E394" s="39"/>
      <c r="F394" s="438"/>
      <c r="G394" s="437"/>
      <c r="H394" s="438"/>
      <c r="I394" s="437"/>
      <c r="J394" s="438"/>
      <c r="K394" s="940"/>
      <c r="L394" s="438"/>
      <c r="M394" s="940"/>
      <c r="N394" s="438"/>
      <c r="O394" s="437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ht="14.25" customHeight="1">
      <c r="A395" s="1"/>
      <c r="B395" s="1"/>
      <c r="C395" s="1"/>
      <c r="D395" s="39"/>
      <c r="E395" s="39"/>
      <c r="F395" s="438"/>
      <c r="G395" s="437"/>
      <c r="H395" s="438"/>
      <c r="I395" s="437"/>
      <c r="J395" s="438"/>
      <c r="K395" s="940"/>
      <c r="L395" s="438"/>
      <c r="M395" s="940"/>
      <c r="N395" s="438"/>
      <c r="O395" s="437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ht="14.25" customHeight="1">
      <c r="A396" s="1"/>
      <c r="B396" s="1"/>
      <c r="C396" s="1"/>
      <c r="D396" s="39"/>
      <c r="E396" s="39"/>
      <c r="F396" s="438"/>
      <c r="G396" s="437"/>
      <c r="H396" s="438"/>
      <c r="I396" s="437"/>
      <c r="J396" s="438"/>
      <c r="K396" s="940"/>
      <c r="L396" s="438"/>
      <c r="M396" s="940"/>
      <c r="N396" s="438"/>
      <c r="O396" s="437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ht="14.25" customHeight="1">
      <c r="A397" s="1"/>
      <c r="B397" s="1"/>
      <c r="C397" s="1"/>
      <c r="D397" s="39"/>
      <c r="E397" s="39"/>
      <c r="F397" s="438"/>
      <c r="G397" s="437"/>
      <c r="H397" s="438"/>
      <c r="I397" s="437"/>
      <c r="J397" s="438"/>
      <c r="K397" s="940"/>
      <c r="L397" s="438"/>
      <c r="M397" s="940"/>
      <c r="N397" s="438"/>
      <c r="O397" s="43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ht="14.25" customHeight="1">
      <c r="A398" s="1"/>
      <c r="B398" s="1"/>
      <c r="C398" s="1"/>
      <c r="D398" s="39"/>
      <c r="E398" s="39"/>
      <c r="F398" s="438"/>
      <c r="G398" s="437"/>
      <c r="H398" s="438"/>
      <c r="I398" s="437"/>
      <c r="J398" s="438"/>
      <c r="K398" s="940"/>
      <c r="L398" s="438"/>
      <c r="M398" s="940"/>
      <c r="N398" s="438"/>
      <c r="O398" s="437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ht="14.25" customHeight="1">
      <c r="A399" s="1"/>
      <c r="B399" s="1"/>
      <c r="C399" s="1"/>
      <c r="D399" s="39"/>
      <c r="E399" s="39"/>
      <c r="F399" s="438"/>
      <c r="G399" s="437"/>
      <c r="H399" s="438"/>
      <c r="I399" s="437"/>
      <c r="J399" s="438"/>
      <c r="K399" s="940"/>
      <c r="L399" s="438"/>
      <c r="M399" s="940"/>
      <c r="N399" s="438"/>
      <c r="O399" s="437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ht="14.25" customHeight="1">
      <c r="A400" s="1"/>
      <c r="B400" s="1"/>
      <c r="C400" s="1"/>
      <c r="D400" s="39"/>
      <c r="E400" s="39"/>
      <c r="F400" s="438"/>
      <c r="G400" s="437"/>
      <c r="H400" s="438"/>
      <c r="I400" s="437"/>
      <c r="J400" s="438"/>
      <c r="K400" s="940"/>
      <c r="L400" s="438"/>
      <c r="M400" s="940"/>
      <c r="N400" s="438"/>
      <c r="O400" s="437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ht="14.25" customHeight="1">
      <c r="A401" s="1"/>
      <c r="B401" s="1"/>
      <c r="C401" s="1"/>
      <c r="D401" s="39"/>
      <c r="E401" s="39"/>
      <c r="F401" s="438"/>
      <c r="G401" s="437"/>
      <c r="H401" s="438"/>
      <c r="I401" s="437"/>
      <c r="J401" s="438"/>
      <c r="K401" s="940"/>
      <c r="L401" s="438"/>
      <c r="M401" s="940"/>
      <c r="N401" s="438"/>
      <c r="O401" s="437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ht="14.25" customHeight="1">
      <c r="A402" s="1"/>
      <c r="B402" s="1"/>
      <c r="C402" s="1"/>
      <c r="D402" s="39"/>
      <c r="E402" s="39"/>
      <c r="F402" s="438"/>
      <c r="G402" s="437"/>
      <c r="H402" s="438"/>
      <c r="I402" s="437"/>
      <c r="J402" s="438"/>
      <c r="K402" s="940"/>
      <c r="L402" s="438"/>
      <c r="M402" s="940"/>
      <c r="N402" s="438"/>
      <c r="O402" s="437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ht="14.25" customHeight="1">
      <c r="A403" s="1"/>
      <c r="B403" s="1"/>
      <c r="C403" s="1"/>
      <c r="D403" s="39"/>
      <c r="E403" s="39"/>
      <c r="F403" s="438"/>
      <c r="G403" s="437"/>
      <c r="H403" s="438"/>
      <c r="I403" s="437"/>
      <c r="J403" s="438"/>
      <c r="K403" s="940"/>
      <c r="L403" s="438"/>
      <c r="M403" s="940"/>
      <c r="N403" s="438"/>
      <c r="O403" s="437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ht="14.25" customHeight="1">
      <c r="A404" s="1"/>
      <c r="B404" s="1"/>
      <c r="C404" s="1"/>
      <c r="D404" s="39"/>
      <c r="E404" s="39"/>
      <c r="F404" s="438"/>
      <c r="G404" s="437"/>
      <c r="H404" s="438"/>
      <c r="I404" s="437"/>
      <c r="J404" s="438"/>
      <c r="K404" s="940"/>
      <c r="L404" s="438"/>
      <c r="M404" s="940"/>
      <c r="N404" s="438"/>
      <c r="O404" s="437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ht="14.25" customHeight="1">
      <c r="A405" s="1"/>
      <c r="B405" s="1"/>
      <c r="C405" s="1"/>
      <c r="D405" s="39"/>
      <c r="E405" s="39"/>
      <c r="F405" s="438"/>
      <c r="G405" s="437"/>
      <c r="H405" s="438"/>
      <c r="I405" s="437"/>
      <c r="J405" s="438"/>
      <c r="K405" s="940"/>
      <c r="L405" s="438"/>
      <c r="M405" s="940"/>
      <c r="N405" s="438"/>
      <c r="O405" s="437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ht="14.25" customHeight="1">
      <c r="A406" s="1"/>
      <c r="B406" s="1"/>
      <c r="C406" s="1"/>
      <c r="D406" s="39"/>
      <c r="E406" s="39"/>
      <c r="F406" s="438"/>
      <c r="G406" s="437"/>
      <c r="H406" s="438"/>
      <c r="I406" s="437"/>
      <c r="J406" s="438"/>
      <c r="K406" s="940"/>
      <c r="L406" s="438"/>
      <c r="M406" s="940"/>
      <c r="N406" s="438"/>
      <c r="O406" s="437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ht="14.25" customHeight="1">
      <c r="A407" s="1"/>
      <c r="B407" s="1"/>
      <c r="C407" s="1"/>
      <c r="D407" s="39"/>
      <c r="E407" s="39"/>
      <c r="F407" s="438"/>
      <c r="G407" s="437"/>
      <c r="H407" s="438"/>
      <c r="I407" s="437"/>
      <c r="J407" s="438"/>
      <c r="K407" s="940"/>
      <c r="L407" s="438"/>
      <c r="M407" s="940"/>
      <c r="N407" s="438"/>
      <c r="O407" s="43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ht="14.25" customHeight="1">
      <c r="A408" s="1"/>
      <c r="B408" s="1"/>
      <c r="C408" s="1"/>
      <c r="D408" s="39"/>
      <c r="E408" s="39"/>
      <c r="F408" s="438"/>
      <c r="G408" s="437"/>
      <c r="H408" s="438"/>
      <c r="I408" s="437"/>
      <c r="J408" s="438"/>
      <c r="K408" s="940"/>
      <c r="L408" s="438"/>
      <c r="M408" s="940"/>
      <c r="N408" s="438"/>
      <c r="O408" s="437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ht="14.25" customHeight="1">
      <c r="A409" s="1"/>
      <c r="B409" s="1"/>
      <c r="C409" s="1"/>
      <c r="D409" s="39"/>
      <c r="E409" s="39"/>
      <c r="F409" s="438"/>
      <c r="G409" s="437"/>
      <c r="H409" s="438"/>
      <c r="I409" s="437"/>
      <c r="J409" s="438"/>
      <c r="K409" s="940"/>
      <c r="L409" s="438"/>
      <c r="M409" s="940"/>
      <c r="N409" s="438"/>
      <c r="O409" s="437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ht="14.25" customHeight="1">
      <c r="A410" s="1"/>
      <c r="B410" s="1"/>
      <c r="C410" s="1"/>
      <c r="D410" s="39"/>
      <c r="E410" s="39"/>
      <c r="F410" s="438"/>
      <c r="G410" s="437"/>
      <c r="H410" s="438"/>
      <c r="I410" s="437"/>
      <c r="J410" s="438"/>
      <c r="K410" s="940"/>
      <c r="L410" s="438"/>
      <c r="M410" s="940"/>
      <c r="N410" s="438"/>
      <c r="O410" s="437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ht="14.25" customHeight="1">
      <c r="A411" s="1"/>
      <c r="B411" s="1"/>
      <c r="C411" s="1"/>
      <c r="D411" s="39"/>
      <c r="E411" s="39"/>
      <c r="F411" s="438"/>
      <c r="G411" s="437"/>
      <c r="H411" s="438"/>
      <c r="I411" s="437"/>
      <c r="J411" s="438"/>
      <c r="K411" s="940"/>
      <c r="L411" s="438"/>
      <c r="M411" s="940"/>
      <c r="N411" s="438"/>
      <c r="O411" s="437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ht="14.25" customHeight="1">
      <c r="A412" s="1"/>
      <c r="B412" s="1"/>
      <c r="C412" s="1"/>
      <c r="D412" s="39"/>
      <c r="E412" s="39"/>
      <c r="F412" s="438"/>
      <c r="G412" s="437"/>
      <c r="H412" s="438"/>
      <c r="I412" s="437"/>
      <c r="J412" s="438"/>
      <c r="K412" s="940"/>
      <c r="L412" s="438"/>
      <c r="M412" s="940"/>
      <c r="N412" s="438"/>
      <c r="O412" s="437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ht="14.25" customHeight="1">
      <c r="A413" s="1"/>
      <c r="B413" s="1"/>
      <c r="C413" s="1"/>
      <c r="D413" s="39"/>
      <c r="E413" s="39"/>
      <c r="F413" s="438"/>
      <c r="G413" s="437"/>
      <c r="H413" s="438"/>
      <c r="I413" s="437"/>
      <c r="J413" s="438"/>
      <c r="K413" s="940"/>
      <c r="L413" s="438"/>
      <c r="M413" s="940"/>
      <c r="N413" s="438"/>
      <c r="O413" s="437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ht="14.25" customHeight="1">
      <c r="A414" s="1"/>
      <c r="B414" s="1"/>
      <c r="C414" s="1"/>
      <c r="D414" s="39"/>
      <c r="E414" s="39"/>
      <c r="F414" s="438"/>
      <c r="G414" s="437"/>
      <c r="H414" s="438"/>
      <c r="I414" s="437"/>
      <c r="J414" s="438"/>
      <c r="K414" s="940"/>
      <c r="L414" s="438"/>
      <c r="M414" s="940"/>
      <c r="N414" s="438"/>
      <c r="O414" s="437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ht="14.25" customHeight="1">
      <c r="A415" s="1"/>
      <c r="B415" s="1"/>
      <c r="C415" s="1"/>
      <c r="D415" s="39"/>
      <c r="E415" s="39"/>
      <c r="F415" s="438"/>
      <c r="G415" s="437"/>
      <c r="H415" s="438"/>
      <c r="I415" s="437"/>
      <c r="J415" s="438"/>
      <c r="K415" s="940"/>
      <c r="L415" s="438"/>
      <c r="M415" s="940"/>
      <c r="N415" s="438"/>
      <c r="O415" s="437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ht="14.25" customHeight="1">
      <c r="A416" s="1"/>
      <c r="B416" s="1"/>
      <c r="C416" s="1"/>
      <c r="D416" s="39"/>
      <c r="E416" s="39"/>
      <c r="F416" s="438"/>
      <c r="G416" s="437"/>
      <c r="H416" s="438"/>
      <c r="I416" s="437"/>
      <c r="J416" s="438"/>
      <c r="K416" s="940"/>
      <c r="L416" s="438"/>
      <c r="M416" s="940"/>
      <c r="N416" s="438"/>
      <c r="O416" s="437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ht="14.25" customHeight="1">
      <c r="A417" s="1"/>
      <c r="B417" s="1"/>
      <c r="C417" s="1"/>
      <c r="D417" s="39"/>
      <c r="E417" s="39"/>
      <c r="F417" s="438"/>
      <c r="G417" s="437"/>
      <c r="H417" s="438"/>
      <c r="I417" s="437"/>
      <c r="J417" s="438"/>
      <c r="K417" s="940"/>
      <c r="L417" s="438"/>
      <c r="M417" s="940"/>
      <c r="N417" s="438"/>
      <c r="O417" s="43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ht="14.25" customHeight="1">
      <c r="A418" s="1"/>
      <c r="B418" s="1"/>
      <c r="C418" s="1"/>
      <c r="D418" s="39"/>
      <c r="E418" s="39"/>
      <c r="F418" s="438"/>
      <c r="G418" s="437"/>
      <c r="H418" s="438"/>
      <c r="I418" s="437"/>
      <c r="J418" s="438"/>
      <c r="K418" s="940"/>
      <c r="L418" s="438"/>
      <c r="M418" s="940"/>
      <c r="N418" s="438"/>
      <c r="O418" s="437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ht="14.25" customHeight="1">
      <c r="A419" s="1"/>
      <c r="B419" s="1"/>
      <c r="C419" s="1"/>
      <c r="D419" s="39"/>
      <c r="E419" s="39"/>
      <c r="F419" s="438"/>
      <c r="G419" s="437"/>
      <c r="H419" s="438"/>
      <c r="I419" s="437"/>
      <c r="J419" s="438"/>
      <c r="K419" s="940"/>
      <c r="L419" s="438"/>
      <c r="M419" s="940"/>
      <c r="N419" s="438"/>
      <c r="O419" s="437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ht="14.25" customHeight="1">
      <c r="A420" s="1"/>
      <c r="B420" s="1"/>
      <c r="C420" s="1"/>
      <c r="D420" s="39"/>
      <c r="E420" s="39"/>
      <c r="F420" s="438"/>
      <c r="G420" s="437"/>
      <c r="H420" s="438"/>
      <c r="I420" s="437"/>
      <c r="J420" s="438"/>
      <c r="K420" s="940"/>
      <c r="L420" s="438"/>
      <c r="M420" s="940"/>
      <c r="N420" s="438"/>
      <c r="O420" s="437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ht="14.25" customHeight="1">
      <c r="A421" s="1"/>
      <c r="B421" s="1"/>
      <c r="C421" s="1"/>
      <c r="D421" s="39"/>
      <c r="E421" s="39"/>
      <c r="F421" s="438"/>
      <c r="G421" s="437"/>
      <c r="H421" s="438"/>
      <c r="I421" s="437"/>
      <c r="J421" s="438"/>
      <c r="K421" s="940"/>
      <c r="L421" s="438"/>
      <c r="M421" s="940"/>
      <c r="N421" s="438"/>
      <c r="O421" s="437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ht="14.25" customHeight="1">
      <c r="A422" s="1"/>
      <c r="B422" s="1"/>
      <c r="C422" s="1"/>
      <c r="D422" s="39"/>
      <c r="E422" s="39"/>
      <c r="F422" s="438"/>
      <c r="G422" s="437"/>
      <c r="H422" s="438"/>
      <c r="I422" s="437"/>
      <c r="J422" s="438"/>
      <c r="K422" s="940"/>
      <c r="L422" s="438"/>
      <c r="M422" s="940"/>
      <c r="N422" s="438"/>
      <c r="O422" s="437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ht="14.25" customHeight="1">
      <c r="A423" s="1"/>
      <c r="B423" s="1"/>
      <c r="C423" s="1"/>
      <c r="D423" s="39"/>
      <c r="E423" s="39"/>
      <c r="F423" s="438"/>
      <c r="G423" s="437"/>
      <c r="H423" s="438"/>
      <c r="I423" s="437"/>
      <c r="J423" s="438"/>
      <c r="K423" s="940"/>
      <c r="L423" s="438"/>
      <c r="M423" s="940"/>
      <c r="N423" s="438"/>
      <c r="O423" s="437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ht="14.25" customHeight="1">
      <c r="A424" s="1"/>
      <c r="B424" s="1"/>
      <c r="C424" s="1"/>
      <c r="D424" s="39"/>
      <c r="E424" s="39"/>
      <c r="F424" s="438"/>
      <c r="G424" s="437"/>
      <c r="H424" s="438"/>
      <c r="I424" s="437"/>
      <c r="J424" s="438"/>
      <c r="K424" s="940"/>
      <c r="L424" s="438"/>
      <c r="M424" s="940"/>
      <c r="N424" s="438"/>
      <c r="O424" s="437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ht="14.25" customHeight="1">
      <c r="A425" s="1"/>
      <c r="B425" s="1"/>
      <c r="C425" s="1"/>
      <c r="D425" s="39"/>
      <c r="E425" s="39"/>
      <c r="F425" s="438"/>
      <c r="G425" s="437"/>
      <c r="H425" s="438"/>
      <c r="I425" s="437"/>
      <c r="J425" s="438"/>
      <c r="K425" s="940"/>
      <c r="L425" s="438"/>
      <c r="M425" s="940"/>
      <c r="N425" s="438"/>
      <c r="O425" s="437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ht="14.25" customHeight="1">
      <c r="A426" s="1"/>
      <c r="B426" s="1"/>
      <c r="C426" s="1"/>
      <c r="D426" s="39"/>
      <c r="E426" s="39"/>
      <c r="F426" s="438"/>
      <c r="G426" s="437"/>
      <c r="H426" s="438"/>
      <c r="I426" s="437"/>
      <c r="J426" s="438"/>
      <c r="K426" s="940"/>
      <c r="L426" s="438"/>
      <c r="M426" s="940"/>
      <c r="N426" s="438"/>
      <c r="O426" s="437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ht="14.25" customHeight="1">
      <c r="A427" s="1"/>
      <c r="B427" s="1"/>
      <c r="C427" s="1"/>
      <c r="D427" s="39"/>
      <c r="E427" s="39"/>
      <c r="F427" s="438"/>
      <c r="G427" s="437"/>
      <c r="H427" s="438"/>
      <c r="I427" s="437"/>
      <c r="J427" s="438"/>
      <c r="K427" s="940"/>
      <c r="L427" s="438"/>
      <c r="M427" s="940"/>
      <c r="N427" s="438"/>
      <c r="O427" s="43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ht="14.25" customHeight="1">
      <c r="A428" s="1"/>
      <c r="B428" s="1"/>
      <c r="C428" s="1"/>
      <c r="D428" s="39"/>
      <c r="E428" s="39"/>
      <c r="F428" s="438"/>
      <c r="G428" s="437"/>
      <c r="H428" s="438"/>
      <c r="I428" s="437"/>
      <c r="J428" s="438"/>
      <c r="K428" s="940"/>
      <c r="L428" s="438"/>
      <c r="M428" s="940"/>
      <c r="N428" s="438"/>
      <c r="O428" s="437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ht="14.25" customHeight="1">
      <c r="A429" s="1"/>
      <c r="B429" s="1"/>
      <c r="C429" s="1"/>
      <c r="D429" s="39"/>
      <c r="E429" s="39"/>
      <c r="F429" s="438"/>
      <c r="G429" s="437"/>
      <c r="H429" s="438"/>
      <c r="I429" s="437"/>
      <c r="J429" s="438"/>
      <c r="K429" s="940"/>
      <c r="L429" s="438"/>
      <c r="M429" s="940"/>
      <c r="N429" s="438"/>
      <c r="O429" s="437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ht="14.25" customHeight="1">
      <c r="A430" s="1"/>
      <c r="B430" s="1"/>
      <c r="C430" s="1"/>
      <c r="D430" s="39"/>
      <c r="E430" s="39"/>
      <c r="F430" s="438"/>
      <c r="G430" s="437"/>
      <c r="H430" s="438"/>
      <c r="I430" s="437"/>
      <c r="J430" s="438"/>
      <c r="K430" s="940"/>
      <c r="L430" s="438"/>
      <c r="M430" s="940"/>
      <c r="N430" s="438"/>
      <c r="O430" s="437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ht="14.25" customHeight="1">
      <c r="A431" s="1"/>
      <c r="B431" s="1"/>
      <c r="C431" s="1"/>
      <c r="D431" s="39"/>
      <c r="E431" s="39"/>
      <c r="F431" s="438"/>
      <c r="G431" s="437"/>
      <c r="H431" s="438"/>
      <c r="I431" s="437"/>
      <c r="J431" s="438"/>
      <c r="K431" s="940"/>
      <c r="L431" s="438"/>
      <c r="M431" s="940"/>
      <c r="N431" s="438"/>
      <c r="O431" s="437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ht="14.25" customHeight="1">
      <c r="A432" s="1"/>
      <c r="B432" s="1"/>
      <c r="C432" s="1"/>
      <c r="D432" s="39"/>
      <c r="E432" s="39"/>
      <c r="F432" s="438"/>
      <c r="G432" s="437"/>
      <c r="H432" s="438"/>
      <c r="I432" s="437"/>
      <c r="J432" s="438"/>
      <c r="K432" s="940"/>
      <c r="L432" s="438"/>
      <c r="M432" s="940"/>
      <c r="N432" s="438"/>
      <c r="O432" s="437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ht="14.25" customHeight="1">
      <c r="A433" s="1"/>
      <c r="B433" s="1"/>
      <c r="C433" s="1"/>
      <c r="D433" s="39"/>
      <c r="E433" s="39"/>
      <c r="F433" s="438"/>
      <c r="G433" s="437"/>
      <c r="H433" s="438"/>
      <c r="I433" s="437"/>
      <c r="J433" s="438"/>
      <c r="K433" s="940"/>
      <c r="L433" s="438"/>
      <c r="M433" s="940"/>
      <c r="N433" s="438"/>
      <c r="O433" s="437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ht="14.25" customHeight="1">
      <c r="A434" s="1"/>
      <c r="B434" s="1"/>
      <c r="C434" s="1"/>
      <c r="D434" s="39"/>
      <c r="E434" s="39"/>
      <c r="F434" s="438"/>
      <c r="G434" s="437"/>
      <c r="H434" s="438"/>
      <c r="I434" s="437"/>
      <c r="J434" s="438"/>
      <c r="K434" s="940"/>
      <c r="L434" s="438"/>
      <c r="M434" s="940"/>
      <c r="N434" s="438"/>
      <c r="O434" s="437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ht="14.25" customHeight="1">
      <c r="A435" s="1"/>
      <c r="B435" s="1"/>
      <c r="C435" s="1"/>
      <c r="D435" s="39"/>
      <c r="E435" s="39"/>
      <c r="F435" s="438"/>
      <c r="G435" s="437"/>
      <c r="H435" s="438"/>
      <c r="I435" s="437"/>
      <c r="J435" s="438"/>
      <c r="K435" s="940"/>
      <c r="L435" s="438"/>
      <c r="M435" s="940"/>
      <c r="N435" s="438"/>
      <c r="O435" s="437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ht="14.25" customHeight="1">
      <c r="A436" s="1"/>
      <c r="B436" s="1"/>
      <c r="C436" s="1"/>
      <c r="D436" s="39"/>
      <c r="E436" s="39"/>
      <c r="F436" s="438"/>
      <c r="G436" s="437"/>
      <c r="H436" s="438"/>
      <c r="I436" s="437"/>
      <c r="J436" s="438"/>
      <c r="K436" s="940"/>
      <c r="L436" s="438"/>
      <c r="M436" s="940"/>
      <c r="N436" s="438"/>
      <c r="O436" s="437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ht="14.25" customHeight="1">
      <c r="A437" s="1"/>
      <c r="B437" s="1"/>
      <c r="C437" s="1"/>
      <c r="D437" s="39"/>
      <c r="E437" s="39"/>
      <c r="F437" s="438"/>
      <c r="G437" s="437"/>
      <c r="H437" s="438"/>
      <c r="I437" s="437"/>
      <c r="J437" s="438"/>
      <c r="K437" s="940"/>
      <c r="L437" s="438"/>
      <c r="M437" s="940"/>
      <c r="N437" s="438"/>
      <c r="O437" s="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ht="14.25" customHeight="1">
      <c r="A438" s="1"/>
      <c r="B438" s="1"/>
      <c r="C438" s="1"/>
      <c r="D438" s="39"/>
      <c r="E438" s="39"/>
      <c r="F438" s="438"/>
      <c r="G438" s="437"/>
      <c r="H438" s="438"/>
      <c r="I438" s="437"/>
      <c r="J438" s="438"/>
      <c r="K438" s="940"/>
      <c r="L438" s="438"/>
      <c r="M438" s="940"/>
      <c r="N438" s="438"/>
      <c r="O438" s="437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ht="14.25" customHeight="1">
      <c r="A439" s="1"/>
      <c r="B439" s="1"/>
      <c r="C439" s="1"/>
      <c r="D439" s="39"/>
      <c r="E439" s="39"/>
      <c r="F439" s="438"/>
      <c r="G439" s="437"/>
      <c r="H439" s="438"/>
      <c r="I439" s="437"/>
      <c r="J439" s="438"/>
      <c r="K439" s="940"/>
      <c r="L439" s="438"/>
      <c r="M439" s="940"/>
      <c r="N439" s="438"/>
      <c r="O439" s="437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ht="14.25" customHeight="1">
      <c r="A440" s="1"/>
      <c r="B440" s="1"/>
      <c r="C440" s="1"/>
      <c r="D440" s="39"/>
      <c r="E440" s="39"/>
      <c r="F440" s="438"/>
      <c r="G440" s="437"/>
      <c r="H440" s="438"/>
      <c r="I440" s="437"/>
      <c r="J440" s="438"/>
      <c r="K440" s="940"/>
      <c r="L440" s="438"/>
      <c r="M440" s="940"/>
      <c r="N440" s="438"/>
      <c r="O440" s="437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ht="14.25" customHeight="1">
      <c r="A441" s="1"/>
      <c r="B441" s="1"/>
      <c r="C441" s="1"/>
      <c r="D441" s="39"/>
      <c r="E441" s="39"/>
      <c r="F441" s="438"/>
      <c r="G441" s="437"/>
      <c r="H441" s="438"/>
      <c r="I441" s="437"/>
      <c r="J441" s="438"/>
      <c r="K441" s="940"/>
      <c r="L441" s="438"/>
      <c r="M441" s="940"/>
      <c r="N441" s="438"/>
      <c r="O441" s="437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ht="14.25" customHeight="1">
      <c r="A442" s="1"/>
      <c r="B442" s="1"/>
      <c r="C442" s="1"/>
      <c r="D442" s="39"/>
      <c r="E442" s="39"/>
      <c r="F442" s="438"/>
      <c r="G442" s="437"/>
      <c r="H442" s="438"/>
      <c r="I442" s="437"/>
      <c r="J442" s="438"/>
      <c r="K442" s="940"/>
      <c r="L442" s="438"/>
      <c r="M442" s="940"/>
      <c r="N442" s="438"/>
      <c r="O442" s="437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ht="14.25" customHeight="1">
      <c r="A443" s="1"/>
      <c r="B443" s="1"/>
      <c r="C443" s="1"/>
      <c r="D443" s="39"/>
      <c r="E443" s="39"/>
      <c r="F443" s="438"/>
      <c r="G443" s="437"/>
      <c r="H443" s="438"/>
      <c r="I443" s="437"/>
      <c r="J443" s="438"/>
      <c r="K443" s="940"/>
      <c r="L443" s="438"/>
      <c r="M443" s="940"/>
      <c r="N443" s="438"/>
      <c r="O443" s="437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ht="14.25" customHeight="1">
      <c r="A444" s="1"/>
      <c r="B444" s="1"/>
      <c r="C444" s="1"/>
      <c r="D444" s="39"/>
      <c r="E444" s="39"/>
      <c r="F444" s="438"/>
      <c r="G444" s="437"/>
      <c r="H444" s="438"/>
      <c r="I444" s="437"/>
      <c r="J444" s="438"/>
      <c r="K444" s="940"/>
      <c r="L444" s="438"/>
      <c r="M444" s="940"/>
      <c r="N444" s="438"/>
      <c r="O444" s="437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ht="14.25" customHeight="1">
      <c r="A445" s="1"/>
      <c r="B445" s="1"/>
      <c r="C445" s="1"/>
      <c r="D445" s="39"/>
      <c r="E445" s="39"/>
      <c r="F445" s="438"/>
      <c r="G445" s="437"/>
      <c r="H445" s="438"/>
      <c r="I445" s="437"/>
      <c r="J445" s="438"/>
      <c r="K445" s="940"/>
      <c r="L445" s="438"/>
      <c r="M445" s="940"/>
      <c r="N445" s="438"/>
      <c r="O445" s="437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ht="14.25" customHeight="1">
      <c r="A446" s="1"/>
      <c r="B446" s="1"/>
      <c r="C446" s="1"/>
      <c r="D446" s="39"/>
      <c r="E446" s="39"/>
      <c r="F446" s="438"/>
      <c r="G446" s="437"/>
      <c r="H446" s="438"/>
      <c r="I446" s="437"/>
      <c r="J446" s="438"/>
      <c r="K446" s="940"/>
      <c r="L446" s="438"/>
      <c r="M446" s="940"/>
      <c r="N446" s="438"/>
      <c r="O446" s="437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ht="14.25" customHeight="1">
      <c r="A447" s="1"/>
      <c r="B447" s="1"/>
      <c r="C447" s="1"/>
      <c r="D447" s="39"/>
      <c r="E447" s="39"/>
      <c r="F447" s="438"/>
      <c r="G447" s="437"/>
      <c r="H447" s="438"/>
      <c r="I447" s="437"/>
      <c r="J447" s="438"/>
      <c r="K447" s="940"/>
      <c r="L447" s="438"/>
      <c r="M447" s="940"/>
      <c r="N447" s="438"/>
      <c r="O447" s="43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ht="14.25" customHeight="1">
      <c r="A448" s="1"/>
      <c r="B448" s="1"/>
      <c r="C448" s="1"/>
      <c r="D448" s="39"/>
      <c r="E448" s="39"/>
      <c r="F448" s="438"/>
      <c r="G448" s="437"/>
      <c r="H448" s="438"/>
      <c r="I448" s="437"/>
      <c r="J448" s="438"/>
      <c r="K448" s="940"/>
      <c r="L448" s="438"/>
      <c r="M448" s="940"/>
      <c r="N448" s="438"/>
      <c r="O448" s="437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ht="14.25" customHeight="1">
      <c r="A449" s="1"/>
      <c r="B449" s="1"/>
      <c r="C449" s="1"/>
      <c r="D449" s="39"/>
      <c r="E449" s="39"/>
      <c r="F449" s="438"/>
      <c r="G449" s="437"/>
      <c r="H449" s="438"/>
      <c r="I449" s="437"/>
      <c r="J449" s="438"/>
      <c r="K449" s="940"/>
      <c r="L449" s="438"/>
      <c r="M449" s="940"/>
      <c r="N449" s="438"/>
      <c r="O449" s="437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ht="14.25" customHeight="1">
      <c r="A450" s="1"/>
      <c r="B450" s="1"/>
      <c r="C450" s="1"/>
      <c r="D450" s="39"/>
      <c r="E450" s="39"/>
      <c r="F450" s="438"/>
      <c r="G450" s="437"/>
      <c r="H450" s="438"/>
      <c r="I450" s="437"/>
      <c r="J450" s="438"/>
      <c r="K450" s="940"/>
      <c r="L450" s="438"/>
      <c r="M450" s="940"/>
      <c r="N450" s="438"/>
      <c r="O450" s="437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ht="14.25" customHeight="1">
      <c r="A451" s="1"/>
      <c r="B451" s="1"/>
      <c r="C451" s="1"/>
      <c r="D451" s="39"/>
      <c r="E451" s="39"/>
      <c r="F451" s="438"/>
      <c r="G451" s="437"/>
      <c r="H451" s="438"/>
      <c r="I451" s="437"/>
      <c r="J451" s="438"/>
      <c r="K451" s="940"/>
      <c r="L451" s="438"/>
      <c r="M451" s="940"/>
      <c r="N451" s="438"/>
      <c r="O451" s="437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ht="14.25" customHeight="1">
      <c r="A452" s="1"/>
      <c r="B452" s="1"/>
      <c r="C452" s="1"/>
      <c r="D452" s="39"/>
      <c r="E452" s="39"/>
      <c r="F452" s="438"/>
      <c r="G452" s="437"/>
      <c r="H452" s="438"/>
      <c r="I452" s="437"/>
      <c r="J452" s="438"/>
      <c r="K452" s="940"/>
      <c r="L452" s="438"/>
      <c r="M452" s="940"/>
      <c r="N452" s="438"/>
      <c r="O452" s="437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ht="14.25" customHeight="1">
      <c r="A453" s="1"/>
      <c r="B453" s="1"/>
      <c r="C453" s="1"/>
      <c r="D453" s="39"/>
      <c r="E453" s="39"/>
      <c r="F453" s="438"/>
      <c r="G453" s="437"/>
      <c r="H453" s="438"/>
      <c r="I453" s="437"/>
      <c r="J453" s="438"/>
      <c r="K453" s="940"/>
      <c r="L453" s="438"/>
      <c r="M453" s="940"/>
      <c r="N453" s="438"/>
      <c r="O453" s="437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ht="14.25" customHeight="1">
      <c r="A454" s="1"/>
      <c r="B454" s="1"/>
      <c r="C454" s="1"/>
      <c r="D454" s="39"/>
      <c r="E454" s="39"/>
      <c r="F454" s="438"/>
      <c r="G454" s="437"/>
      <c r="H454" s="438"/>
      <c r="I454" s="437"/>
      <c r="J454" s="438"/>
      <c r="K454" s="940"/>
      <c r="L454" s="438"/>
      <c r="M454" s="940"/>
      <c r="N454" s="438"/>
      <c r="O454" s="437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ht="14.25" customHeight="1">
      <c r="A455" s="1"/>
      <c r="B455" s="1"/>
      <c r="C455" s="1"/>
      <c r="D455" s="39"/>
      <c r="E455" s="39"/>
      <c r="F455" s="438"/>
      <c r="G455" s="437"/>
      <c r="H455" s="438"/>
      <c r="I455" s="437"/>
      <c r="J455" s="438"/>
      <c r="K455" s="940"/>
      <c r="L455" s="438"/>
      <c r="M455" s="940"/>
      <c r="N455" s="438"/>
      <c r="O455" s="437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ht="14.25" customHeight="1">
      <c r="A456" s="1"/>
      <c r="B456" s="1"/>
      <c r="C456" s="1"/>
      <c r="D456" s="39"/>
      <c r="E456" s="39"/>
      <c r="F456" s="438"/>
      <c r="G456" s="437"/>
      <c r="H456" s="438"/>
      <c r="I456" s="437"/>
      <c r="J456" s="438"/>
      <c r="K456" s="940"/>
      <c r="L456" s="438"/>
      <c r="M456" s="940"/>
      <c r="N456" s="438"/>
      <c r="O456" s="437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ht="14.25" customHeight="1">
      <c r="A457" s="1"/>
      <c r="B457" s="1"/>
      <c r="C457" s="1"/>
      <c r="D457" s="39"/>
      <c r="E457" s="39"/>
      <c r="F457" s="438"/>
      <c r="G457" s="437"/>
      <c r="H457" s="438"/>
      <c r="I457" s="437"/>
      <c r="J457" s="438"/>
      <c r="K457" s="940"/>
      <c r="L457" s="438"/>
      <c r="M457" s="940"/>
      <c r="N457" s="438"/>
      <c r="O457" s="43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ht="14.25" customHeight="1">
      <c r="A458" s="1"/>
      <c r="B458" s="1"/>
      <c r="C458" s="1"/>
      <c r="D458" s="39"/>
      <c r="E458" s="39"/>
      <c r="F458" s="438"/>
      <c r="G458" s="437"/>
      <c r="H458" s="438"/>
      <c r="I458" s="437"/>
      <c r="J458" s="438"/>
      <c r="K458" s="940"/>
      <c r="L458" s="438"/>
      <c r="M458" s="940"/>
      <c r="N458" s="438"/>
      <c r="O458" s="437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ht="14.25" customHeight="1">
      <c r="A459" s="1"/>
      <c r="B459" s="1"/>
      <c r="C459" s="1"/>
      <c r="D459" s="39"/>
      <c r="E459" s="39"/>
      <c r="F459" s="438"/>
      <c r="G459" s="437"/>
      <c r="H459" s="438"/>
      <c r="I459" s="437"/>
      <c r="J459" s="438"/>
      <c r="K459" s="940"/>
      <c r="L459" s="438"/>
      <c r="M459" s="940"/>
      <c r="N459" s="438"/>
      <c r="O459" s="437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ht="14.25" customHeight="1">
      <c r="A460" s="1"/>
      <c r="B460" s="1"/>
      <c r="C460" s="1"/>
      <c r="D460" s="39"/>
      <c r="E460" s="39"/>
      <c r="F460" s="438"/>
      <c r="G460" s="437"/>
      <c r="H460" s="438"/>
      <c r="I460" s="437"/>
      <c r="J460" s="438"/>
      <c r="K460" s="940"/>
      <c r="L460" s="438"/>
      <c r="M460" s="940"/>
      <c r="N460" s="438"/>
      <c r="O460" s="437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ht="14.25" customHeight="1">
      <c r="A461" s="1"/>
      <c r="B461" s="1"/>
      <c r="C461" s="1"/>
      <c r="D461" s="39"/>
      <c r="E461" s="39"/>
      <c r="F461" s="438"/>
      <c r="G461" s="437"/>
      <c r="H461" s="438"/>
      <c r="I461" s="437"/>
      <c r="J461" s="438"/>
      <c r="K461" s="940"/>
      <c r="L461" s="438"/>
      <c r="M461" s="940"/>
      <c r="N461" s="438"/>
      <c r="O461" s="437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ht="14.25" customHeight="1">
      <c r="A462" s="1"/>
      <c r="B462" s="1"/>
      <c r="C462" s="1"/>
      <c r="D462" s="39"/>
      <c r="E462" s="39"/>
      <c r="F462" s="438"/>
      <c r="G462" s="437"/>
      <c r="H462" s="438"/>
      <c r="I462" s="437"/>
      <c r="J462" s="438"/>
      <c r="K462" s="940"/>
      <c r="L462" s="438"/>
      <c r="M462" s="940"/>
      <c r="N462" s="438"/>
      <c r="O462" s="437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ht="14.25" customHeight="1">
      <c r="A463" s="1"/>
      <c r="B463" s="1"/>
      <c r="C463" s="1"/>
      <c r="D463" s="39"/>
      <c r="E463" s="39"/>
      <c r="F463" s="438"/>
      <c r="G463" s="437"/>
      <c r="H463" s="438"/>
      <c r="I463" s="437"/>
      <c r="J463" s="438"/>
      <c r="K463" s="940"/>
      <c r="L463" s="438"/>
      <c r="M463" s="940"/>
      <c r="N463" s="438"/>
      <c r="O463" s="437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ht="14.25" customHeight="1">
      <c r="A464" s="1"/>
      <c r="B464" s="1"/>
      <c r="C464" s="1"/>
      <c r="D464" s="39"/>
      <c r="E464" s="39"/>
      <c r="F464" s="438"/>
      <c r="G464" s="437"/>
      <c r="H464" s="438"/>
      <c r="I464" s="437"/>
      <c r="J464" s="438"/>
      <c r="K464" s="940"/>
      <c r="L464" s="438"/>
      <c r="M464" s="940"/>
      <c r="N464" s="438"/>
      <c r="O464" s="437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ht="14.25" customHeight="1">
      <c r="A465" s="1"/>
      <c r="B465" s="1"/>
      <c r="C465" s="1"/>
      <c r="D465" s="39"/>
      <c r="E465" s="39"/>
      <c r="F465" s="438"/>
      <c r="G465" s="437"/>
      <c r="H465" s="438"/>
      <c r="I465" s="437"/>
      <c r="J465" s="438"/>
      <c r="K465" s="940"/>
      <c r="L465" s="438"/>
      <c r="M465" s="940"/>
      <c r="N465" s="438"/>
      <c r="O465" s="437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ht="14.25" customHeight="1">
      <c r="A466" s="1"/>
      <c r="B466" s="1"/>
      <c r="C466" s="1"/>
      <c r="D466" s="39"/>
      <c r="E466" s="39"/>
      <c r="F466" s="438"/>
      <c r="G466" s="437"/>
      <c r="H466" s="438"/>
      <c r="I466" s="437"/>
      <c r="J466" s="438"/>
      <c r="K466" s="940"/>
      <c r="L466" s="438"/>
      <c r="M466" s="940"/>
      <c r="N466" s="438"/>
      <c r="O466" s="437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ht="14.25" customHeight="1">
      <c r="A467" s="1"/>
      <c r="B467" s="1"/>
      <c r="C467" s="1"/>
      <c r="D467" s="39"/>
      <c r="E467" s="39"/>
      <c r="F467" s="438"/>
      <c r="G467" s="437"/>
      <c r="H467" s="438"/>
      <c r="I467" s="437"/>
      <c r="J467" s="438"/>
      <c r="K467" s="940"/>
      <c r="L467" s="438"/>
      <c r="M467" s="940"/>
      <c r="N467" s="438"/>
      <c r="O467" s="43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ht="14.25" customHeight="1">
      <c r="A468" s="1"/>
      <c r="B468" s="1"/>
      <c r="C468" s="1"/>
      <c r="D468" s="39"/>
      <c r="E468" s="39"/>
      <c r="F468" s="438"/>
      <c r="G468" s="437"/>
      <c r="H468" s="438"/>
      <c r="I468" s="437"/>
      <c r="J468" s="438"/>
      <c r="K468" s="940"/>
      <c r="L468" s="438"/>
      <c r="M468" s="940"/>
      <c r="N468" s="438"/>
      <c r="O468" s="437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ht="14.25" customHeight="1">
      <c r="A469" s="1"/>
      <c r="B469" s="1"/>
      <c r="C469" s="1"/>
      <c r="D469" s="39"/>
      <c r="E469" s="39"/>
      <c r="F469" s="438"/>
      <c r="G469" s="437"/>
      <c r="H469" s="438"/>
      <c r="I469" s="437"/>
      <c r="J469" s="438"/>
      <c r="K469" s="940"/>
      <c r="L469" s="438"/>
      <c r="M469" s="940"/>
      <c r="N469" s="438"/>
      <c r="O469" s="437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ht="14.25" customHeight="1">
      <c r="A470" s="1"/>
      <c r="B470" s="1"/>
      <c r="C470" s="1"/>
      <c r="D470" s="39"/>
      <c r="E470" s="39"/>
      <c r="F470" s="438"/>
      <c r="G470" s="437"/>
      <c r="H470" s="438"/>
      <c r="I470" s="437"/>
      <c r="J470" s="438"/>
      <c r="K470" s="940"/>
      <c r="L470" s="438"/>
      <c r="M470" s="940"/>
      <c r="N470" s="438"/>
      <c r="O470" s="437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ht="14.25" customHeight="1">
      <c r="A471" s="1"/>
      <c r="B471" s="1"/>
      <c r="C471" s="1"/>
      <c r="D471" s="39"/>
      <c r="E471" s="39"/>
      <c r="F471" s="438"/>
      <c r="G471" s="437"/>
      <c r="H471" s="438"/>
      <c r="I471" s="437"/>
      <c r="J471" s="438"/>
      <c r="K471" s="940"/>
      <c r="L471" s="438"/>
      <c r="M471" s="940"/>
      <c r="N471" s="438"/>
      <c r="O471" s="437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ht="14.25" customHeight="1">
      <c r="A472" s="1"/>
      <c r="B472" s="1"/>
      <c r="C472" s="1"/>
      <c r="D472" s="39"/>
      <c r="E472" s="39"/>
      <c r="F472" s="438"/>
      <c r="G472" s="437"/>
      <c r="H472" s="438"/>
      <c r="I472" s="437"/>
      <c r="J472" s="438"/>
      <c r="K472" s="940"/>
      <c r="L472" s="438"/>
      <c r="M472" s="940"/>
      <c r="N472" s="438"/>
      <c r="O472" s="437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ht="14.25" customHeight="1">
      <c r="A473" s="1"/>
      <c r="B473" s="1"/>
      <c r="C473" s="1"/>
      <c r="D473" s="39"/>
      <c r="E473" s="39"/>
      <c r="F473" s="438"/>
      <c r="G473" s="437"/>
      <c r="H473" s="438"/>
      <c r="I473" s="437"/>
      <c r="J473" s="438"/>
      <c r="K473" s="940"/>
      <c r="L473" s="438"/>
      <c r="M473" s="940"/>
      <c r="N473" s="438"/>
      <c r="O473" s="437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ht="14.25" customHeight="1">
      <c r="A474" s="1"/>
      <c r="B474" s="1"/>
      <c r="C474" s="1"/>
      <c r="D474" s="39"/>
      <c r="E474" s="39"/>
      <c r="F474" s="438"/>
      <c r="G474" s="437"/>
      <c r="H474" s="438"/>
      <c r="I474" s="437"/>
      <c r="J474" s="438"/>
      <c r="K474" s="940"/>
      <c r="L474" s="438"/>
      <c r="M474" s="940"/>
      <c r="N474" s="438"/>
      <c r="O474" s="437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ht="14.25" customHeight="1">
      <c r="A475" s="1"/>
      <c r="B475" s="1"/>
      <c r="C475" s="1"/>
      <c r="D475" s="39"/>
      <c r="E475" s="39"/>
      <c r="F475" s="438"/>
      <c r="G475" s="437"/>
      <c r="H475" s="438"/>
      <c r="I475" s="437"/>
      <c r="J475" s="438"/>
      <c r="K475" s="940"/>
      <c r="L475" s="438"/>
      <c r="M475" s="940"/>
      <c r="N475" s="438"/>
      <c r="O475" s="437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ht="14.25" customHeight="1">
      <c r="A476" s="1"/>
      <c r="B476" s="1"/>
      <c r="C476" s="1"/>
      <c r="D476" s="39"/>
      <c r="E476" s="39"/>
      <c r="F476" s="438"/>
      <c r="G476" s="437"/>
      <c r="H476" s="438"/>
      <c r="I476" s="437"/>
      <c r="J476" s="438"/>
      <c r="K476" s="940"/>
      <c r="L476" s="438"/>
      <c r="M476" s="940"/>
      <c r="N476" s="438"/>
      <c r="O476" s="437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ht="14.25" customHeight="1">
      <c r="A477" s="1"/>
      <c r="B477" s="1"/>
      <c r="C477" s="1"/>
      <c r="D477" s="39"/>
      <c r="E477" s="39"/>
      <c r="F477" s="438"/>
      <c r="G477" s="437"/>
      <c r="H477" s="438"/>
      <c r="I477" s="437"/>
      <c r="J477" s="438"/>
      <c r="K477" s="940"/>
      <c r="L477" s="438"/>
      <c r="M477" s="940"/>
      <c r="N477" s="438"/>
      <c r="O477" s="43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ht="14.25" customHeight="1">
      <c r="A478" s="1"/>
      <c r="B478" s="1"/>
      <c r="C478" s="1"/>
      <c r="D478" s="39"/>
      <c r="E478" s="39"/>
      <c r="F478" s="438"/>
      <c r="G478" s="437"/>
      <c r="H478" s="438"/>
      <c r="I478" s="437"/>
      <c r="J478" s="438"/>
      <c r="K478" s="940"/>
      <c r="L478" s="438"/>
      <c r="M478" s="940"/>
      <c r="N478" s="438"/>
      <c r="O478" s="437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ht="14.25" customHeight="1">
      <c r="A479" s="1"/>
      <c r="B479" s="1"/>
      <c r="C479" s="1"/>
      <c r="D479" s="39"/>
      <c r="E479" s="39"/>
      <c r="F479" s="438"/>
      <c r="G479" s="437"/>
      <c r="H479" s="438"/>
      <c r="I479" s="437"/>
      <c r="J479" s="438"/>
      <c r="K479" s="940"/>
      <c r="L479" s="438"/>
      <c r="M479" s="940"/>
      <c r="N479" s="438"/>
      <c r="O479" s="437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ht="14.25" customHeight="1">
      <c r="A480" s="1"/>
      <c r="B480" s="1"/>
      <c r="C480" s="1"/>
      <c r="D480" s="39"/>
      <c r="E480" s="39"/>
      <c r="F480" s="438"/>
      <c r="G480" s="437"/>
      <c r="H480" s="438"/>
      <c r="I480" s="437"/>
      <c r="J480" s="438"/>
      <c r="K480" s="940"/>
      <c r="L480" s="438"/>
      <c r="M480" s="940"/>
      <c r="N480" s="438"/>
      <c r="O480" s="437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ht="14.25" customHeight="1">
      <c r="A481" s="1"/>
      <c r="B481" s="1"/>
      <c r="C481" s="1"/>
      <c r="D481" s="39"/>
      <c r="E481" s="39"/>
      <c r="F481" s="438"/>
      <c r="G481" s="437"/>
      <c r="H481" s="438"/>
      <c r="I481" s="437"/>
      <c r="J481" s="438"/>
      <c r="K481" s="940"/>
      <c r="L481" s="438"/>
      <c r="M481" s="940"/>
      <c r="N481" s="438"/>
      <c r="O481" s="437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ht="14.25" customHeight="1">
      <c r="A482" s="1"/>
      <c r="B482" s="1"/>
      <c r="C482" s="1"/>
      <c r="D482" s="39"/>
      <c r="E482" s="39"/>
      <c r="F482" s="438"/>
      <c r="G482" s="437"/>
      <c r="H482" s="438"/>
      <c r="I482" s="437"/>
      <c r="J482" s="438"/>
      <c r="K482" s="940"/>
      <c r="L482" s="438"/>
      <c r="M482" s="940"/>
      <c r="N482" s="438"/>
      <c r="O482" s="437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ht="14.25" customHeight="1">
      <c r="A483" s="1"/>
      <c r="B483" s="1"/>
      <c r="C483" s="1"/>
      <c r="D483" s="39"/>
      <c r="E483" s="39"/>
      <c r="F483" s="438"/>
      <c r="G483" s="437"/>
      <c r="H483" s="438"/>
      <c r="I483" s="437"/>
      <c r="J483" s="438"/>
      <c r="K483" s="940"/>
      <c r="L483" s="438"/>
      <c r="M483" s="940"/>
      <c r="N483" s="438"/>
      <c r="O483" s="437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ht="14.25" customHeight="1">
      <c r="A484" s="1"/>
      <c r="B484" s="1"/>
      <c r="C484" s="1"/>
      <c r="D484" s="39"/>
      <c r="E484" s="39"/>
      <c r="F484" s="438"/>
      <c r="G484" s="437"/>
      <c r="H484" s="438"/>
      <c r="I484" s="437"/>
      <c r="J484" s="438"/>
      <c r="K484" s="940"/>
      <c r="L484" s="438"/>
      <c r="M484" s="940"/>
      <c r="N484" s="438"/>
      <c r="O484" s="437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ht="14.25" customHeight="1">
      <c r="A485" s="1"/>
      <c r="B485" s="1"/>
      <c r="C485" s="1"/>
      <c r="D485" s="39"/>
      <c r="E485" s="39"/>
      <c r="F485" s="438"/>
      <c r="G485" s="437"/>
      <c r="H485" s="438"/>
      <c r="I485" s="437"/>
      <c r="J485" s="438"/>
      <c r="K485" s="940"/>
      <c r="L485" s="438"/>
      <c r="M485" s="940"/>
      <c r="N485" s="438"/>
      <c r="O485" s="437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ht="14.25" customHeight="1">
      <c r="A486" s="1"/>
      <c r="B486" s="1"/>
      <c r="C486" s="1"/>
      <c r="D486" s="39"/>
      <c r="E486" s="39"/>
      <c r="F486" s="438"/>
      <c r="G486" s="437"/>
      <c r="H486" s="438"/>
      <c r="I486" s="437"/>
      <c r="J486" s="438"/>
      <c r="K486" s="940"/>
      <c r="L486" s="438"/>
      <c r="M486" s="940"/>
      <c r="N486" s="438"/>
      <c r="O486" s="437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ht="14.25" customHeight="1">
      <c r="A487" s="1"/>
      <c r="B487" s="1"/>
      <c r="C487" s="1"/>
      <c r="D487" s="39"/>
      <c r="E487" s="39"/>
      <c r="F487" s="438"/>
      <c r="G487" s="437"/>
      <c r="H487" s="438"/>
      <c r="I487" s="437"/>
      <c r="J487" s="438"/>
      <c r="K487" s="940"/>
      <c r="L487" s="438"/>
      <c r="M487" s="940"/>
      <c r="N487" s="438"/>
      <c r="O487" s="43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ht="14.25" customHeight="1">
      <c r="A488" s="1"/>
      <c r="B488" s="1"/>
      <c r="C488" s="1"/>
      <c r="D488" s="39"/>
      <c r="E488" s="39"/>
      <c r="F488" s="438"/>
      <c r="G488" s="437"/>
      <c r="H488" s="438"/>
      <c r="I488" s="437"/>
      <c r="J488" s="438"/>
      <c r="K488" s="940"/>
      <c r="L488" s="438"/>
      <c r="M488" s="940"/>
      <c r="N488" s="438"/>
      <c r="O488" s="437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ht="14.25" customHeight="1">
      <c r="A489" s="1"/>
      <c r="B489" s="1"/>
      <c r="C489" s="1"/>
      <c r="D489" s="39"/>
      <c r="E489" s="39"/>
      <c r="F489" s="438"/>
      <c r="G489" s="437"/>
      <c r="H489" s="438"/>
      <c r="I489" s="437"/>
      <c r="J489" s="438"/>
      <c r="K489" s="940"/>
      <c r="L489" s="438"/>
      <c r="M489" s="940"/>
      <c r="N489" s="438"/>
      <c r="O489" s="437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ht="14.25" customHeight="1">
      <c r="A490" s="1"/>
      <c r="B490" s="1"/>
      <c r="C490" s="1"/>
      <c r="D490" s="39"/>
      <c r="E490" s="39"/>
      <c r="F490" s="438"/>
      <c r="G490" s="437"/>
      <c r="H490" s="438"/>
      <c r="I490" s="437"/>
      <c r="J490" s="438"/>
      <c r="K490" s="940"/>
      <c r="L490" s="438"/>
      <c r="M490" s="940"/>
      <c r="N490" s="438"/>
      <c r="O490" s="437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ht="14.25" customHeight="1">
      <c r="A491" s="1"/>
      <c r="B491" s="1"/>
      <c r="C491" s="1"/>
      <c r="D491" s="39"/>
      <c r="E491" s="39"/>
      <c r="F491" s="438"/>
      <c r="G491" s="437"/>
      <c r="H491" s="438"/>
      <c r="I491" s="437"/>
      <c r="J491" s="438"/>
      <c r="K491" s="940"/>
      <c r="L491" s="438"/>
      <c r="M491" s="940"/>
      <c r="N491" s="438"/>
      <c r="O491" s="437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ht="14.25" customHeight="1">
      <c r="A492" s="1"/>
      <c r="B492" s="1"/>
      <c r="C492" s="1"/>
      <c r="D492" s="39"/>
      <c r="E492" s="39"/>
      <c r="F492" s="438"/>
      <c r="G492" s="437"/>
      <c r="H492" s="438"/>
      <c r="I492" s="437"/>
      <c r="J492" s="438"/>
      <c r="K492" s="940"/>
      <c r="L492" s="438"/>
      <c r="M492" s="940"/>
      <c r="N492" s="438"/>
      <c r="O492" s="437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ht="14.25" customHeight="1">
      <c r="A493" s="1"/>
      <c r="B493" s="1"/>
      <c r="C493" s="1"/>
      <c r="D493" s="39"/>
      <c r="E493" s="39"/>
      <c r="F493" s="438"/>
      <c r="G493" s="437"/>
      <c r="H493" s="438"/>
      <c r="I493" s="437"/>
      <c r="J493" s="438"/>
      <c r="K493" s="940"/>
      <c r="L493" s="438"/>
      <c r="M493" s="940"/>
      <c r="N493" s="438"/>
      <c r="O493" s="437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ht="14.25" customHeight="1">
      <c r="A494" s="1"/>
      <c r="B494" s="1"/>
      <c r="C494" s="1"/>
      <c r="D494" s="39"/>
      <c r="E494" s="39"/>
      <c r="F494" s="438"/>
      <c r="G494" s="437"/>
      <c r="H494" s="438"/>
      <c r="I494" s="437"/>
      <c r="J494" s="438"/>
      <c r="K494" s="940"/>
      <c r="L494" s="438"/>
      <c r="M494" s="940"/>
      <c r="N494" s="438"/>
      <c r="O494" s="437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ht="14.25" customHeight="1">
      <c r="A495" s="1"/>
      <c r="B495" s="1"/>
      <c r="C495" s="1"/>
      <c r="D495" s="39"/>
      <c r="E495" s="39"/>
      <c r="F495" s="438"/>
      <c r="G495" s="437"/>
      <c r="H495" s="438"/>
      <c r="I495" s="437"/>
      <c r="J495" s="438"/>
      <c r="K495" s="940"/>
      <c r="L495" s="438"/>
      <c r="M495" s="940"/>
      <c r="N495" s="438"/>
      <c r="O495" s="437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ht="14.25" customHeight="1">
      <c r="A496" s="1"/>
      <c r="B496" s="1"/>
      <c r="C496" s="1"/>
      <c r="D496" s="39"/>
      <c r="E496" s="39"/>
      <c r="F496" s="438"/>
      <c r="G496" s="437"/>
      <c r="H496" s="438"/>
      <c r="I496" s="437"/>
      <c r="J496" s="438"/>
      <c r="K496" s="940"/>
      <c r="L496" s="438"/>
      <c r="M496" s="940"/>
      <c r="N496" s="438"/>
      <c r="O496" s="437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ht="14.25" customHeight="1">
      <c r="A497" s="1"/>
      <c r="B497" s="1"/>
      <c r="C497" s="1"/>
      <c r="D497" s="39"/>
      <c r="E497" s="39"/>
      <c r="F497" s="438"/>
      <c r="G497" s="437"/>
      <c r="H497" s="438"/>
      <c r="I497" s="437"/>
      <c r="J497" s="438"/>
      <c r="K497" s="940"/>
      <c r="L497" s="438"/>
      <c r="M497" s="940"/>
      <c r="N497" s="438"/>
      <c r="O497" s="43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ht="14.25" customHeight="1">
      <c r="A498" s="1"/>
      <c r="B498" s="1"/>
      <c r="C498" s="1"/>
      <c r="D498" s="39"/>
      <c r="E498" s="39"/>
      <c r="F498" s="438"/>
      <c r="G498" s="437"/>
      <c r="H498" s="438"/>
      <c r="I498" s="437"/>
      <c r="J498" s="438"/>
      <c r="K498" s="940"/>
      <c r="L498" s="438"/>
      <c r="M498" s="940"/>
      <c r="N498" s="438"/>
      <c r="O498" s="437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ht="14.25" customHeight="1">
      <c r="A499" s="1"/>
      <c r="B499" s="1"/>
      <c r="C499" s="1"/>
      <c r="D499" s="39"/>
      <c r="E499" s="39"/>
      <c r="F499" s="438"/>
      <c r="G499" s="437"/>
      <c r="H499" s="438"/>
      <c r="I499" s="437"/>
      <c r="J499" s="438"/>
      <c r="K499" s="940"/>
      <c r="L499" s="438"/>
      <c r="M499" s="940"/>
      <c r="N499" s="438"/>
      <c r="O499" s="437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ht="14.25" customHeight="1">
      <c r="A500" s="1"/>
      <c r="B500" s="1"/>
      <c r="C500" s="1"/>
      <c r="D500" s="39"/>
      <c r="E500" s="39"/>
      <c r="F500" s="438"/>
      <c r="G500" s="437"/>
      <c r="H500" s="438"/>
      <c r="I500" s="437"/>
      <c r="J500" s="438"/>
      <c r="K500" s="940"/>
      <c r="L500" s="438"/>
      <c r="M500" s="940"/>
      <c r="N500" s="438"/>
      <c r="O500" s="437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ht="14.25" customHeight="1">
      <c r="A501" s="1"/>
      <c r="B501" s="1"/>
      <c r="C501" s="1"/>
      <c r="D501" s="39"/>
      <c r="E501" s="39"/>
      <c r="F501" s="438"/>
      <c r="G501" s="437"/>
      <c r="H501" s="438"/>
      <c r="I501" s="437"/>
      <c r="J501" s="438"/>
      <c r="K501" s="940"/>
      <c r="L501" s="438"/>
      <c r="M501" s="940"/>
      <c r="N501" s="438"/>
      <c r="O501" s="437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ht="14.25" customHeight="1">
      <c r="A502" s="1"/>
      <c r="B502" s="1"/>
      <c r="C502" s="1"/>
      <c r="D502" s="39"/>
      <c r="E502" s="39"/>
      <c r="F502" s="438"/>
      <c r="G502" s="437"/>
      <c r="H502" s="438"/>
      <c r="I502" s="437"/>
      <c r="J502" s="438"/>
      <c r="K502" s="940"/>
      <c r="L502" s="438"/>
      <c r="M502" s="940"/>
      <c r="N502" s="438"/>
      <c r="O502" s="437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ht="14.25" customHeight="1">
      <c r="A503" s="1"/>
      <c r="B503" s="1"/>
      <c r="C503" s="1"/>
      <c r="D503" s="39"/>
      <c r="E503" s="39"/>
      <c r="F503" s="438"/>
      <c r="G503" s="437"/>
      <c r="H503" s="438"/>
      <c r="I503" s="437"/>
      <c r="J503" s="438"/>
      <c r="K503" s="940"/>
      <c r="L503" s="438"/>
      <c r="M503" s="940"/>
      <c r="N503" s="438"/>
      <c r="O503" s="437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ht="14.25" customHeight="1">
      <c r="A504" s="1"/>
      <c r="B504" s="1"/>
      <c r="C504" s="1"/>
      <c r="D504" s="39"/>
      <c r="E504" s="39"/>
      <c r="F504" s="438"/>
      <c r="G504" s="437"/>
      <c r="H504" s="438"/>
      <c r="I504" s="437"/>
      <c r="J504" s="438"/>
      <c r="K504" s="940"/>
      <c r="L504" s="438"/>
      <c r="M504" s="940"/>
      <c r="N504" s="438"/>
      <c r="O504" s="437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ht="14.25" customHeight="1">
      <c r="A505" s="1"/>
      <c r="B505" s="1"/>
      <c r="C505" s="1"/>
      <c r="D505" s="39"/>
      <c r="E505" s="39"/>
      <c r="F505" s="438"/>
      <c r="G505" s="437"/>
      <c r="H505" s="438"/>
      <c r="I505" s="437"/>
      <c r="J505" s="438"/>
      <c r="K505" s="940"/>
      <c r="L505" s="438"/>
      <c r="M505" s="940"/>
      <c r="N505" s="438"/>
      <c r="O505" s="437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ht="14.25" customHeight="1">
      <c r="A506" s="1"/>
      <c r="B506" s="1"/>
      <c r="C506" s="1"/>
      <c r="D506" s="39"/>
      <c r="E506" s="39"/>
      <c r="F506" s="438"/>
      <c r="G506" s="437"/>
      <c r="H506" s="438"/>
      <c r="I506" s="437"/>
      <c r="J506" s="438"/>
      <c r="K506" s="940"/>
      <c r="L506" s="438"/>
      <c r="M506" s="940"/>
      <c r="N506" s="438"/>
      <c r="O506" s="437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ht="14.25" customHeight="1">
      <c r="A507" s="1"/>
      <c r="B507" s="1"/>
      <c r="C507" s="1"/>
      <c r="D507" s="39"/>
      <c r="E507" s="39"/>
      <c r="F507" s="438"/>
      <c r="G507" s="437"/>
      <c r="H507" s="438"/>
      <c r="I507" s="437"/>
      <c r="J507" s="438"/>
      <c r="K507" s="940"/>
      <c r="L507" s="438"/>
      <c r="M507" s="940"/>
      <c r="N507" s="438"/>
      <c r="O507" s="43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ht="14.25" customHeight="1">
      <c r="A508" s="1"/>
      <c r="B508" s="1"/>
      <c r="C508" s="1"/>
      <c r="D508" s="39"/>
      <c r="E508" s="39"/>
      <c r="F508" s="438"/>
      <c r="G508" s="437"/>
      <c r="H508" s="438"/>
      <c r="I508" s="437"/>
      <c r="J508" s="438"/>
      <c r="K508" s="940"/>
      <c r="L508" s="438"/>
      <c r="M508" s="940"/>
      <c r="N508" s="438"/>
      <c r="O508" s="437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ht="14.25" customHeight="1">
      <c r="A509" s="1"/>
      <c r="B509" s="1"/>
      <c r="C509" s="1"/>
      <c r="D509" s="39"/>
      <c r="E509" s="39"/>
      <c r="F509" s="438"/>
      <c r="G509" s="437"/>
      <c r="H509" s="438"/>
      <c r="I509" s="437"/>
      <c r="J509" s="438"/>
      <c r="K509" s="940"/>
      <c r="L509" s="438"/>
      <c r="M509" s="940"/>
      <c r="N509" s="438"/>
      <c r="O509" s="437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ht="14.25" customHeight="1">
      <c r="A510" s="1"/>
      <c r="B510" s="1"/>
      <c r="C510" s="1"/>
      <c r="D510" s="39"/>
      <c r="E510" s="39"/>
      <c r="F510" s="438"/>
      <c r="G510" s="437"/>
      <c r="H510" s="438"/>
      <c r="I510" s="437"/>
      <c r="J510" s="438"/>
      <c r="K510" s="940"/>
      <c r="L510" s="438"/>
      <c r="M510" s="940"/>
      <c r="N510" s="438"/>
      <c r="O510" s="437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ht="14.25" customHeight="1">
      <c r="A511" s="1"/>
      <c r="B511" s="1"/>
      <c r="C511" s="1"/>
      <c r="D511" s="39"/>
      <c r="E511" s="39"/>
      <c r="F511" s="438"/>
      <c r="G511" s="437"/>
      <c r="H511" s="438"/>
      <c r="I511" s="437"/>
      <c r="J511" s="438"/>
      <c r="K511" s="940"/>
      <c r="L511" s="438"/>
      <c r="M511" s="940"/>
      <c r="N511" s="438"/>
      <c r="O511" s="437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ht="14.25" customHeight="1">
      <c r="A512" s="1"/>
      <c r="B512" s="1"/>
      <c r="C512" s="1"/>
      <c r="D512" s="39"/>
      <c r="E512" s="39"/>
      <c r="F512" s="438"/>
      <c r="G512" s="437"/>
      <c r="H512" s="438"/>
      <c r="I512" s="437"/>
      <c r="J512" s="438"/>
      <c r="K512" s="940"/>
      <c r="L512" s="438"/>
      <c r="M512" s="940"/>
      <c r="N512" s="438"/>
      <c r="O512" s="437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ht="14.25" customHeight="1">
      <c r="A513" s="1"/>
      <c r="B513" s="1"/>
      <c r="C513" s="1"/>
      <c r="D513" s="39"/>
      <c r="E513" s="39"/>
      <c r="F513" s="438"/>
      <c r="G513" s="437"/>
      <c r="H513" s="438"/>
      <c r="I513" s="437"/>
      <c r="J513" s="438"/>
      <c r="K513" s="940"/>
      <c r="L513" s="438"/>
      <c r="M513" s="940"/>
      <c r="N513" s="438"/>
      <c r="O513" s="437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ht="14.25" customHeight="1">
      <c r="A514" s="1"/>
      <c r="B514" s="1"/>
      <c r="C514" s="1"/>
      <c r="D514" s="39"/>
      <c r="E514" s="39"/>
      <c r="F514" s="438"/>
      <c r="G514" s="437"/>
      <c r="H514" s="438"/>
      <c r="I514" s="437"/>
      <c r="J514" s="438"/>
      <c r="K514" s="940"/>
      <c r="L514" s="438"/>
      <c r="M514" s="940"/>
      <c r="N514" s="438"/>
      <c r="O514" s="437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ht="14.25" customHeight="1">
      <c r="A515" s="1"/>
      <c r="B515" s="1"/>
      <c r="C515" s="1"/>
      <c r="D515" s="39"/>
      <c r="E515" s="39"/>
      <c r="F515" s="438"/>
      <c r="G515" s="437"/>
      <c r="H515" s="438"/>
      <c r="I515" s="437"/>
      <c r="J515" s="438"/>
      <c r="K515" s="940"/>
      <c r="L515" s="438"/>
      <c r="M515" s="940"/>
      <c r="N515" s="438"/>
      <c r="O515" s="437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ht="14.25" customHeight="1">
      <c r="A516" s="1"/>
      <c r="B516" s="1"/>
      <c r="C516" s="1"/>
      <c r="D516" s="39"/>
      <c r="E516" s="39"/>
      <c r="F516" s="438"/>
      <c r="G516" s="437"/>
      <c r="H516" s="438"/>
      <c r="I516" s="437"/>
      <c r="J516" s="438"/>
      <c r="K516" s="940"/>
      <c r="L516" s="438"/>
      <c r="M516" s="940"/>
      <c r="N516" s="438"/>
      <c r="O516" s="437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ht="14.25" customHeight="1">
      <c r="A517" s="1"/>
      <c r="B517" s="1"/>
      <c r="C517" s="1"/>
      <c r="D517" s="39"/>
      <c r="E517" s="39"/>
      <c r="F517" s="438"/>
      <c r="G517" s="437"/>
      <c r="H517" s="438"/>
      <c r="I517" s="437"/>
      <c r="J517" s="438"/>
      <c r="K517" s="940"/>
      <c r="L517" s="438"/>
      <c r="M517" s="940"/>
      <c r="N517" s="438"/>
      <c r="O517" s="43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ht="14.25" customHeight="1">
      <c r="A518" s="1"/>
      <c r="B518" s="1"/>
      <c r="C518" s="1"/>
      <c r="D518" s="39"/>
      <c r="E518" s="39"/>
      <c r="F518" s="438"/>
      <c r="G518" s="437"/>
      <c r="H518" s="438"/>
      <c r="I518" s="437"/>
      <c r="J518" s="438"/>
      <c r="K518" s="940"/>
      <c r="L518" s="438"/>
      <c r="M518" s="940"/>
      <c r="N518" s="438"/>
      <c r="O518" s="437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ht="14.25" customHeight="1">
      <c r="A519" s="1"/>
      <c r="B519" s="1"/>
      <c r="C519" s="1"/>
      <c r="D519" s="39"/>
      <c r="E519" s="39"/>
      <c r="F519" s="438"/>
      <c r="G519" s="437"/>
      <c r="H519" s="438"/>
      <c r="I519" s="437"/>
      <c r="J519" s="438"/>
      <c r="K519" s="940"/>
      <c r="L519" s="438"/>
      <c r="M519" s="940"/>
      <c r="N519" s="438"/>
      <c r="O519" s="437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ht="14.25" customHeight="1">
      <c r="A520" s="1"/>
      <c r="B520" s="1"/>
      <c r="C520" s="1"/>
      <c r="D520" s="39"/>
      <c r="E520" s="39"/>
      <c r="F520" s="438"/>
      <c r="G520" s="437"/>
      <c r="H520" s="438"/>
      <c r="I520" s="437"/>
      <c r="J520" s="438"/>
      <c r="K520" s="940"/>
      <c r="L520" s="438"/>
      <c r="M520" s="940"/>
      <c r="N520" s="438"/>
      <c r="O520" s="437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ht="14.25" customHeight="1">
      <c r="A521" s="1"/>
      <c r="B521" s="1"/>
      <c r="C521" s="1"/>
      <c r="D521" s="39"/>
      <c r="E521" s="39"/>
      <c r="F521" s="438"/>
      <c r="G521" s="437"/>
      <c r="H521" s="438"/>
      <c r="I521" s="437"/>
      <c r="J521" s="438"/>
      <c r="K521" s="940"/>
      <c r="L521" s="438"/>
      <c r="M521" s="940"/>
      <c r="N521" s="438"/>
      <c r="O521" s="437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ht="14.25" customHeight="1">
      <c r="A522" s="1"/>
      <c r="B522" s="1"/>
      <c r="C522" s="1"/>
      <c r="D522" s="39"/>
      <c r="E522" s="39"/>
      <c r="F522" s="438"/>
      <c r="G522" s="437"/>
      <c r="H522" s="438"/>
      <c r="I522" s="437"/>
      <c r="J522" s="438"/>
      <c r="K522" s="940"/>
      <c r="L522" s="438"/>
      <c r="M522" s="940"/>
      <c r="N522" s="438"/>
      <c r="O522" s="437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ht="14.25" customHeight="1">
      <c r="A523" s="1"/>
      <c r="B523" s="1"/>
      <c r="C523" s="1"/>
      <c r="D523" s="39"/>
      <c r="E523" s="39"/>
      <c r="F523" s="438"/>
      <c r="G523" s="437"/>
      <c r="H523" s="438"/>
      <c r="I523" s="437"/>
      <c r="J523" s="438"/>
      <c r="K523" s="940"/>
      <c r="L523" s="438"/>
      <c r="M523" s="940"/>
      <c r="N523" s="438"/>
      <c r="O523" s="437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ht="14.25" customHeight="1">
      <c r="A524" s="1"/>
      <c r="B524" s="1"/>
      <c r="C524" s="1"/>
      <c r="D524" s="39"/>
      <c r="E524" s="39"/>
      <c r="F524" s="438"/>
      <c r="G524" s="437"/>
      <c r="H524" s="438"/>
      <c r="I524" s="437"/>
      <c r="J524" s="438"/>
      <c r="K524" s="940"/>
      <c r="L524" s="438"/>
      <c r="M524" s="940"/>
      <c r="N524" s="438"/>
      <c r="O524" s="437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ht="14.25" customHeight="1">
      <c r="A525" s="1"/>
      <c r="B525" s="1"/>
      <c r="C525" s="1"/>
      <c r="D525" s="39"/>
      <c r="E525" s="39"/>
      <c r="F525" s="438"/>
      <c r="G525" s="437"/>
      <c r="H525" s="438"/>
      <c r="I525" s="437"/>
      <c r="J525" s="438"/>
      <c r="K525" s="940"/>
      <c r="L525" s="438"/>
      <c r="M525" s="940"/>
      <c r="N525" s="438"/>
      <c r="O525" s="437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ht="14.25" customHeight="1">
      <c r="A526" s="1"/>
      <c r="B526" s="1"/>
      <c r="C526" s="1"/>
      <c r="D526" s="39"/>
      <c r="E526" s="39"/>
      <c r="F526" s="438"/>
      <c r="G526" s="437"/>
      <c r="H526" s="438"/>
      <c r="I526" s="437"/>
      <c r="J526" s="438"/>
      <c r="K526" s="940"/>
      <c r="L526" s="438"/>
      <c r="M526" s="940"/>
      <c r="N526" s="438"/>
      <c r="O526" s="437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ht="14.25" customHeight="1">
      <c r="A527" s="1"/>
      <c r="B527" s="1"/>
      <c r="C527" s="1"/>
      <c r="D527" s="39"/>
      <c r="E527" s="39"/>
      <c r="F527" s="438"/>
      <c r="G527" s="437"/>
      <c r="H527" s="438"/>
      <c r="I527" s="437"/>
      <c r="J527" s="438"/>
      <c r="K527" s="940"/>
      <c r="L527" s="438"/>
      <c r="M527" s="940"/>
      <c r="N527" s="438"/>
      <c r="O527" s="43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ht="14.25" customHeight="1">
      <c r="A528" s="1"/>
      <c r="B528" s="1"/>
      <c r="C528" s="1"/>
      <c r="D528" s="39"/>
      <c r="E528" s="39"/>
      <c r="F528" s="438"/>
      <c r="G528" s="437"/>
      <c r="H528" s="438"/>
      <c r="I528" s="437"/>
      <c r="J528" s="438"/>
      <c r="K528" s="940"/>
      <c r="L528" s="438"/>
      <c r="M528" s="940"/>
      <c r="N528" s="438"/>
      <c r="O528" s="437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ht="14.25" customHeight="1">
      <c r="A529" s="1"/>
      <c r="B529" s="1"/>
      <c r="C529" s="1"/>
      <c r="D529" s="39"/>
      <c r="E529" s="39"/>
      <c r="F529" s="438"/>
      <c r="G529" s="437"/>
      <c r="H529" s="438"/>
      <c r="I529" s="437"/>
      <c r="J529" s="438"/>
      <c r="K529" s="940"/>
      <c r="L529" s="438"/>
      <c r="M529" s="940"/>
      <c r="N529" s="438"/>
      <c r="O529" s="437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ht="14.25" customHeight="1">
      <c r="A530" s="1"/>
      <c r="B530" s="1"/>
      <c r="C530" s="1"/>
      <c r="D530" s="39"/>
      <c r="E530" s="39"/>
      <c r="F530" s="438"/>
      <c r="G530" s="437"/>
      <c r="H530" s="438"/>
      <c r="I530" s="437"/>
      <c r="J530" s="438"/>
      <c r="K530" s="940"/>
      <c r="L530" s="438"/>
      <c r="M530" s="940"/>
      <c r="N530" s="438"/>
      <c r="O530" s="437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ht="14.25" customHeight="1">
      <c r="A531" s="1"/>
      <c r="B531" s="1"/>
      <c r="C531" s="1"/>
      <c r="D531" s="39"/>
      <c r="E531" s="39"/>
      <c r="F531" s="438"/>
      <c r="G531" s="437"/>
      <c r="H531" s="438"/>
      <c r="I531" s="437"/>
      <c r="J531" s="438"/>
      <c r="K531" s="940"/>
      <c r="L531" s="438"/>
      <c r="M531" s="940"/>
      <c r="N531" s="438"/>
      <c r="O531" s="437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ht="14.25" customHeight="1">
      <c r="A532" s="1"/>
      <c r="B532" s="1"/>
      <c r="C532" s="1"/>
      <c r="D532" s="39"/>
      <c r="E532" s="39"/>
      <c r="F532" s="438"/>
      <c r="G532" s="437"/>
      <c r="H532" s="438"/>
      <c r="I532" s="437"/>
      <c r="J532" s="438"/>
      <c r="K532" s="940"/>
      <c r="L532" s="438"/>
      <c r="M532" s="940"/>
      <c r="N532" s="438"/>
      <c r="O532" s="437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ht="14.25" customHeight="1">
      <c r="A533" s="1"/>
      <c r="B533" s="1"/>
      <c r="C533" s="1"/>
      <c r="D533" s="39"/>
      <c r="E533" s="39"/>
      <c r="F533" s="438"/>
      <c r="G533" s="437"/>
      <c r="H533" s="438"/>
      <c r="I533" s="437"/>
      <c r="J533" s="438"/>
      <c r="K533" s="940"/>
      <c r="L533" s="438"/>
      <c r="M533" s="940"/>
      <c r="N533" s="438"/>
      <c r="O533" s="437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ht="14.25" customHeight="1">
      <c r="A534" s="1"/>
      <c r="B534" s="1"/>
      <c r="C534" s="1"/>
      <c r="D534" s="39"/>
      <c r="E534" s="39"/>
      <c r="F534" s="438"/>
      <c r="G534" s="437"/>
      <c r="H534" s="438"/>
      <c r="I534" s="437"/>
      <c r="J534" s="438"/>
      <c r="K534" s="940"/>
      <c r="L534" s="438"/>
      <c r="M534" s="940"/>
      <c r="N534" s="438"/>
      <c r="O534" s="437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ht="14.25" customHeight="1">
      <c r="A535" s="1"/>
      <c r="B535" s="1"/>
      <c r="C535" s="1"/>
      <c r="D535" s="39"/>
      <c r="E535" s="39"/>
      <c r="F535" s="438"/>
      <c r="G535" s="437"/>
      <c r="H535" s="438"/>
      <c r="I535" s="437"/>
      <c r="J535" s="438"/>
      <c r="K535" s="940"/>
      <c r="L535" s="438"/>
      <c r="M535" s="940"/>
      <c r="N535" s="438"/>
      <c r="O535" s="437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ht="14.25" customHeight="1">
      <c r="A536" s="1"/>
      <c r="B536" s="1"/>
      <c r="C536" s="1"/>
      <c r="D536" s="39"/>
      <c r="E536" s="39"/>
      <c r="F536" s="438"/>
      <c r="G536" s="437"/>
      <c r="H536" s="438"/>
      <c r="I536" s="437"/>
      <c r="J536" s="438"/>
      <c r="K536" s="940"/>
      <c r="L536" s="438"/>
      <c r="M536" s="940"/>
      <c r="N536" s="438"/>
      <c r="O536" s="437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ht="14.25" customHeight="1">
      <c r="A537" s="1"/>
      <c r="B537" s="1"/>
      <c r="C537" s="1"/>
      <c r="D537" s="39"/>
      <c r="E537" s="39"/>
      <c r="F537" s="438"/>
      <c r="G537" s="437"/>
      <c r="H537" s="438"/>
      <c r="I537" s="437"/>
      <c r="J537" s="438"/>
      <c r="K537" s="940"/>
      <c r="L537" s="438"/>
      <c r="M537" s="940"/>
      <c r="N537" s="438"/>
      <c r="O537" s="4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ht="14.25" customHeight="1">
      <c r="A538" s="1"/>
      <c r="B538" s="1"/>
      <c r="C538" s="1"/>
      <c r="D538" s="39"/>
      <c r="E538" s="39"/>
      <c r="F538" s="438"/>
      <c r="G538" s="437"/>
      <c r="H538" s="438"/>
      <c r="I538" s="437"/>
      <c r="J538" s="438"/>
      <c r="K538" s="940"/>
      <c r="L538" s="438"/>
      <c r="M538" s="940"/>
      <c r="N538" s="438"/>
      <c r="O538" s="437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ht="14.25" customHeight="1">
      <c r="A539" s="1"/>
      <c r="B539" s="1"/>
      <c r="C539" s="1"/>
      <c r="D539" s="39"/>
      <c r="E539" s="39"/>
      <c r="F539" s="438"/>
      <c r="G539" s="437"/>
      <c r="H539" s="438"/>
      <c r="I539" s="437"/>
      <c r="J539" s="438"/>
      <c r="K539" s="940"/>
      <c r="L539" s="438"/>
      <c r="M539" s="940"/>
      <c r="N539" s="438"/>
      <c r="O539" s="437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ht="14.25" customHeight="1">
      <c r="A540" s="1"/>
      <c r="B540" s="1"/>
      <c r="C540" s="1"/>
      <c r="D540" s="39"/>
      <c r="E540" s="39"/>
      <c r="F540" s="438"/>
      <c r="G540" s="437"/>
      <c r="H540" s="438"/>
      <c r="I540" s="437"/>
      <c r="J540" s="438"/>
      <c r="K540" s="940"/>
      <c r="L540" s="438"/>
      <c r="M540" s="940"/>
      <c r="N540" s="438"/>
      <c r="O540" s="437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ht="14.25" customHeight="1">
      <c r="A541" s="1"/>
      <c r="B541" s="1"/>
      <c r="C541" s="1"/>
      <c r="D541" s="39"/>
      <c r="E541" s="39"/>
      <c r="F541" s="438"/>
      <c r="G541" s="437"/>
      <c r="H541" s="438"/>
      <c r="I541" s="437"/>
      <c r="J541" s="438"/>
      <c r="K541" s="940"/>
      <c r="L541" s="438"/>
      <c r="M541" s="940"/>
      <c r="N541" s="438"/>
      <c r="O541" s="437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ht="14.25" customHeight="1">
      <c r="A542" s="1"/>
      <c r="B542" s="1"/>
      <c r="C542" s="1"/>
      <c r="D542" s="39"/>
      <c r="E542" s="39"/>
      <c r="F542" s="438"/>
      <c r="G542" s="437"/>
      <c r="H542" s="438"/>
      <c r="I542" s="437"/>
      <c r="J542" s="438"/>
      <c r="K542" s="940"/>
      <c r="L542" s="438"/>
      <c r="M542" s="940"/>
      <c r="N542" s="438"/>
      <c r="O542" s="437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ht="14.25" customHeight="1">
      <c r="A543" s="1"/>
      <c r="B543" s="1"/>
      <c r="C543" s="1"/>
      <c r="D543" s="39"/>
      <c r="E543" s="39"/>
      <c r="F543" s="438"/>
      <c r="G543" s="437"/>
      <c r="H543" s="438"/>
      <c r="I543" s="437"/>
      <c r="J543" s="438"/>
      <c r="K543" s="940"/>
      <c r="L543" s="438"/>
      <c r="M543" s="940"/>
      <c r="N543" s="438"/>
      <c r="O543" s="437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ht="14.25" customHeight="1">
      <c r="A544" s="1"/>
      <c r="B544" s="1"/>
      <c r="C544" s="1"/>
      <c r="D544" s="39"/>
      <c r="E544" s="39"/>
      <c r="F544" s="438"/>
      <c r="G544" s="437"/>
      <c r="H544" s="438"/>
      <c r="I544" s="437"/>
      <c r="J544" s="438"/>
      <c r="K544" s="940"/>
      <c r="L544" s="438"/>
      <c r="M544" s="940"/>
      <c r="N544" s="438"/>
      <c r="O544" s="437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ht="14.25" customHeight="1">
      <c r="A545" s="1"/>
      <c r="B545" s="1"/>
      <c r="C545" s="1"/>
      <c r="D545" s="39"/>
      <c r="E545" s="39"/>
      <c r="F545" s="438"/>
      <c r="G545" s="437"/>
      <c r="H545" s="438"/>
      <c r="I545" s="437"/>
      <c r="J545" s="438"/>
      <c r="K545" s="940"/>
      <c r="L545" s="438"/>
      <c r="M545" s="940"/>
      <c r="N545" s="438"/>
      <c r="O545" s="437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ht="14.25" customHeight="1">
      <c r="A546" s="1"/>
      <c r="B546" s="1"/>
      <c r="C546" s="1"/>
      <c r="D546" s="39"/>
      <c r="E546" s="39"/>
      <c r="F546" s="438"/>
      <c r="G546" s="437"/>
      <c r="H546" s="438"/>
      <c r="I546" s="437"/>
      <c r="J546" s="438"/>
      <c r="K546" s="940"/>
      <c r="L546" s="438"/>
      <c r="M546" s="940"/>
      <c r="N546" s="438"/>
      <c r="O546" s="437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ht="14.25" customHeight="1">
      <c r="A547" s="1"/>
      <c r="B547" s="1"/>
      <c r="C547" s="1"/>
      <c r="D547" s="39"/>
      <c r="E547" s="39"/>
      <c r="F547" s="438"/>
      <c r="G547" s="437"/>
      <c r="H547" s="438"/>
      <c r="I547" s="437"/>
      <c r="J547" s="438"/>
      <c r="K547" s="940"/>
      <c r="L547" s="438"/>
      <c r="M547" s="940"/>
      <c r="N547" s="438"/>
      <c r="O547" s="43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ht="14.25" customHeight="1">
      <c r="A548" s="1"/>
      <c r="B548" s="1"/>
      <c r="C548" s="1"/>
      <c r="D548" s="39"/>
      <c r="E548" s="39"/>
      <c r="F548" s="438"/>
      <c r="G548" s="437"/>
      <c r="H548" s="438"/>
      <c r="I548" s="437"/>
      <c r="J548" s="438"/>
      <c r="K548" s="940"/>
      <c r="L548" s="438"/>
      <c r="M548" s="940"/>
      <c r="N548" s="438"/>
      <c r="O548" s="437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ht="14.25" customHeight="1">
      <c r="A549" s="1"/>
      <c r="B549" s="1"/>
      <c r="C549" s="1"/>
      <c r="D549" s="39"/>
      <c r="E549" s="39"/>
      <c r="F549" s="438"/>
      <c r="G549" s="437"/>
      <c r="H549" s="438"/>
      <c r="I549" s="437"/>
      <c r="J549" s="438"/>
      <c r="K549" s="940"/>
      <c r="L549" s="438"/>
      <c r="M549" s="940"/>
      <c r="N549" s="438"/>
      <c r="O549" s="437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ht="14.25" customHeight="1">
      <c r="A550" s="1"/>
      <c r="B550" s="1"/>
      <c r="C550" s="1"/>
      <c r="D550" s="39"/>
      <c r="E550" s="39"/>
      <c r="F550" s="438"/>
      <c r="G550" s="437"/>
      <c r="H550" s="438"/>
      <c r="I550" s="437"/>
      <c r="J550" s="438"/>
      <c r="K550" s="940"/>
      <c r="L550" s="438"/>
      <c r="M550" s="940"/>
      <c r="N550" s="438"/>
      <c r="O550" s="437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ht="14.25" customHeight="1">
      <c r="A551" s="1"/>
      <c r="B551" s="1"/>
      <c r="C551" s="1"/>
      <c r="D551" s="39"/>
      <c r="E551" s="39"/>
      <c r="F551" s="438"/>
      <c r="G551" s="437"/>
      <c r="H551" s="438"/>
      <c r="I551" s="437"/>
      <c r="J551" s="438"/>
      <c r="K551" s="940"/>
      <c r="L551" s="438"/>
      <c r="M551" s="940"/>
      <c r="N551" s="438"/>
      <c r="O551" s="437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ht="14.25" customHeight="1">
      <c r="A552" s="1"/>
      <c r="B552" s="1"/>
      <c r="C552" s="1"/>
      <c r="D552" s="39"/>
      <c r="E552" s="39"/>
      <c r="F552" s="438"/>
      <c r="G552" s="437"/>
      <c r="H552" s="438"/>
      <c r="I552" s="437"/>
      <c r="J552" s="438"/>
      <c r="K552" s="940"/>
      <c r="L552" s="438"/>
      <c r="M552" s="940"/>
      <c r="N552" s="438"/>
      <c r="O552" s="437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ht="14.25" customHeight="1">
      <c r="A553" s="1"/>
      <c r="B553" s="1"/>
      <c r="C553" s="1"/>
      <c r="D553" s="39"/>
      <c r="E553" s="39"/>
      <c r="F553" s="438"/>
      <c r="G553" s="437"/>
      <c r="H553" s="438"/>
      <c r="I553" s="437"/>
      <c r="J553" s="438"/>
      <c r="K553" s="940"/>
      <c r="L553" s="438"/>
      <c r="M553" s="940"/>
      <c r="N553" s="438"/>
      <c r="O553" s="437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ht="14.25" customHeight="1">
      <c r="A554" s="1"/>
      <c r="B554" s="1"/>
      <c r="C554" s="1"/>
      <c r="D554" s="39"/>
      <c r="E554" s="39"/>
      <c r="F554" s="438"/>
      <c r="G554" s="437"/>
      <c r="H554" s="438"/>
      <c r="I554" s="437"/>
      <c r="J554" s="438"/>
      <c r="K554" s="940"/>
      <c r="L554" s="438"/>
      <c r="M554" s="940"/>
      <c r="N554" s="438"/>
      <c r="O554" s="437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ht="14.25" customHeight="1">
      <c r="A555" s="1"/>
      <c r="B555" s="1"/>
      <c r="C555" s="1"/>
      <c r="D555" s="39"/>
      <c r="E555" s="39"/>
      <c r="F555" s="438"/>
      <c r="G555" s="437"/>
      <c r="H555" s="438"/>
      <c r="I555" s="437"/>
      <c r="J555" s="438"/>
      <c r="K555" s="940"/>
      <c r="L555" s="438"/>
      <c r="M555" s="940"/>
      <c r="N555" s="438"/>
      <c r="O555" s="437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ht="14.25" customHeight="1">
      <c r="A556" s="1"/>
      <c r="B556" s="1"/>
      <c r="C556" s="1"/>
      <c r="D556" s="39"/>
      <c r="E556" s="39"/>
      <c r="F556" s="438"/>
      <c r="G556" s="437"/>
      <c r="H556" s="438"/>
      <c r="I556" s="437"/>
      <c r="J556" s="438"/>
      <c r="K556" s="940"/>
      <c r="L556" s="438"/>
      <c r="M556" s="940"/>
      <c r="N556" s="438"/>
      <c r="O556" s="437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ht="14.25" customHeight="1">
      <c r="A557" s="1"/>
      <c r="B557" s="1"/>
      <c r="C557" s="1"/>
      <c r="D557" s="39"/>
      <c r="E557" s="39"/>
      <c r="F557" s="438"/>
      <c r="G557" s="437"/>
      <c r="H557" s="438"/>
      <c r="I557" s="437"/>
      <c r="J557" s="438"/>
      <c r="K557" s="940"/>
      <c r="L557" s="438"/>
      <c r="M557" s="940"/>
      <c r="N557" s="438"/>
      <c r="O557" s="43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ht="14.25" customHeight="1">
      <c r="A558" s="1"/>
      <c r="B558" s="1"/>
      <c r="C558" s="1"/>
      <c r="D558" s="39"/>
      <c r="E558" s="39"/>
      <c r="F558" s="438"/>
      <c r="G558" s="437"/>
      <c r="H558" s="438"/>
      <c r="I558" s="437"/>
      <c r="J558" s="438"/>
      <c r="K558" s="940"/>
      <c r="L558" s="438"/>
      <c r="M558" s="940"/>
      <c r="N558" s="438"/>
      <c r="O558" s="437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ht="14.25" customHeight="1">
      <c r="A559" s="1"/>
      <c r="B559" s="1"/>
      <c r="C559" s="1"/>
      <c r="D559" s="39"/>
      <c r="E559" s="39"/>
      <c r="F559" s="438"/>
      <c r="G559" s="437"/>
      <c r="H559" s="438"/>
      <c r="I559" s="437"/>
      <c r="J559" s="438"/>
      <c r="K559" s="940"/>
      <c r="L559" s="438"/>
      <c r="M559" s="940"/>
      <c r="N559" s="438"/>
      <c r="O559" s="437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ht="14.25" customHeight="1">
      <c r="A560" s="1"/>
      <c r="B560" s="1"/>
      <c r="C560" s="1"/>
      <c r="D560" s="39"/>
      <c r="E560" s="39"/>
      <c r="F560" s="438"/>
      <c r="G560" s="437"/>
      <c r="H560" s="438"/>
      <c r="I560" s="437"/>
      <c r="J560" s="438"/>
      <c r="K560" s="940"/>
      <c r="L560" s="438"/>
      <c r="M560" s="940"/>
      <c r="N560" s="438"/>
      <c r="O560" s="437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ht="14.25" customHeight="1">
      <c r="A561" s="1"/>
      <c r="B561" s="1"/>
      <c r="C561" s="1"/>
      <c r="D561" s="39"/>
      <c r="E561" s="39"/>
      <c r="F561" s="438"/>
      <c r="G561" s="437"/>
      <c r="H561" s="438"/>
      <c r="I561" s="437"/>
      <c r="J561" s="438"/>
      <c r="K561" s="940"/>
      <c r="L561" s="438"/>
      <c r="M561" s="940"/>
      <c r="N561" s="438"/>
      <c r="O561" s="437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ht="14.25" customHeight="1">
      <c r="A562" s="1"/>
      <c r="B562" s="1"/>
      <c r="C562" s="1"/>
      <c r="D562" s="39"/>
      <c r="E562" s="39"/>
      <c r="F562" s="438"/>
      <c r="G562" s="437"/>
      <c r="H562" s="438"/>
      <c r="I562" s="437"/>
      <c r="J562" s="438"/>
      <c r="K562" s="940"/>
      <c r="L562" s="438"/>
      <c r="M562" s="940"/>
      <c r="N562" s="438"/>
      <c r="O562" s="437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ht="14.25" customHeight="1">
      <c r="A563" s="1"/>
      <c r="B563" s="1"/>
      <c r="C563" s="1"/>
      <c r="D563" s="39"/>
      <c r="E563" s="39"/>
      <c r="F563" s="438"/>
      <c r="G563" s="437"/>
      <c r="H563" s="438"/>
      <c r="I563" s="437"/>
      <c r="J563" s="438"/>
      <c r="K563" s="940"/>
      <c r="L563" s="438"/>
      <c r="M563" s="940"/>
      <c r="N563" s="438"/>
      <c r="O563" s="437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ht="14.25" customHeight="1">
      <c r="A564" s="1"/>
      <c r="B564" s="1"/>
      <c r="C564" s="1"/>
      <c r="D564" s="39"/>
      <c r="E564" s="39"/>
      <c r="F564" s="438"/>
      <c r="G564" s="437"/>
      <c r="H564" s="438"/>
      <c r="I564" s="437"/>
      <c r="J564" s="438"/>
      <c r="K564" s="940"/>
      <c r="L564" s="438"/>
      <c r="M564" s="940"/>
      <c r="N564" s="438"/>
      <c r="O564" s="437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ht="14.25" customHeight="1">
      <c r="A565" s="1"/>
      <c r="B565" s="1"/>
      <c r="C565" s="1"/>
      <c r="D565" s="39"/>
      <c r="E565" s="39"/>
      <c r="F565" s="438"/>
      <c r="G565" s="437"/>
      <c r="H565" s="438"/>
      <c r="I565" s="437"/>
      <c r="J565" s="438"/>
      <c r="K565" s="940"/>
      <c r="L565" s="438"/>
      <c r="M565" s="940"/>
      <c r="N565" s="438"/>
      <c r="O565" s="437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ht="14.25" customHeight="1">
      <c r="A566" s="1"/>
      <c r="B566" s="1"/>
      <c r="C566" s="1"/>
      <c r="D566" s="39"/>
      <c r="E566" s="39"/>
      <c r="F566" s="438"/>
      <c r="G566" s="437"/>
      <c r="H566" s="438"/>
      <c r="I566" s="437"/>
      <c r="J566" s="438"/>
      <c r="K566" s="940"/>
      <c r="L566" s="438"/>
      <c r="M566" s="940"/>
      <c r="N566" s="438"/>
      <c r="O566" s="437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ht="14.25" customHeight="1">
      <c r="A567" s="1"/>
      <c r="B567" s="1"/>
      <c r="C567" s="1"/>
      <c r="D567" s="39"/>
      <c r="E567" s="39"/>
      <c r="F567" s="438"/>
      <c r="G567" s="437"/>
      <c r="H567" s="438"/>
      <c r="I567" s="437"/>
      <c r="J567" s="438"/>
      <c r="K567" s="940"/>
      <c r="L567" s="438"/>
      <c r="M567" s="940"/>
      <c r="N567" s="438"/>
      <c r="O567" s="43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ht="14.25" customHeight="1">
      <c r="A568" s="1"/>
      <c r="B568" s="1"/>
      <c r="C568" s="1"/>
      <c r="D568" s="39"/>
      <c r="E568" s="39"/>
      <c r="F568" s="438"/>
      <c r="G568" s="437"/>
      <c r="H568" s="438"/>
      <c r="I568" s="437"/>
      <c r="J568" s="438"/>
      <c r="K568" s="940"/>
      <c r="L568" s="438"/>
      <c r="M568" s="940"/>
      <c r="N568" s="438"/>
      <c r="O568" s="437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ht="14.25" customHeight="1">
      <c r="A569" s="1"/>
      <c r="B569" s="1"/>
      <c r="C569" s="1"/>
      <c r="D569" s="39"/>
      <c r="E569" s="39"/>
      <c r="F569" s="438"/>
      <c r="G569" s="437"/>
      <c r="H569" s="438"/>
      <c r="I569" s="437"/>
      <c r="J569" s="438"/>
      <c r="K569" s="940"/>
      <c r="L569" s="438"/>
      <c r="M569" s="940"/>
      <c r="N569" s="438"/>
      <c r="O569" s="437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ht="14.25" customHeight="1">
      <c r="A570" s="1"/>
      <c r="B570" s="1"/>
      <c r="C570" s="1"/>
      <c r="D570" s="39"/>
      <c r="E570" s="39"/>
      <c r="F570" s="438"/>
      <c r="G570" s="437"/>
      <c r="H570" s="438"/>
      <c r="I570" s="437"/>
      <c r="J570" s="438"/>
      <c r="K570" s="940"/>
      <c r="L570" s="438"/>
      <c r="M570" s="940"/>
      <c r="N570" s="438"/>
      <c r="O570" s="437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ht="14.25" customHeight="1">
      <c r="A571" s="1"/>
      <c r="B571" s="1"/>
      <c r="C571" s="1"/>
      <c r="D571" s="39"/>
      <c r="E571" s="39"/>
      <c r="F571" s="438"/>
      <c r="G571" s="437"/>
      <c r="H571" s="438"/>
      <c r="I571" s="437"/>
      <c r="J571" s="438"/>
      <c r="K571" s="940"/>
      <c r="L571" s="438"/>
      <c r="M571" s="940"/>
      <c r="N571" s="438"/>
      <c r="O571" s="437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ht="14.25" customHeight="1">
      <c r="A572" s="1"/>
      <c r="B572" s="1"/>
      <c r="C572" s="1"/>
      <c r="D572" s="39"/>
      <c r="E572" s="39"/>
      <c r="F572" s="438"/>
      <c r="G572" s="437"/>
      <c r="H572" s="438"/>
      <c r="I572" s="437"/>
      <c r="J572" s="438"/>
      <c r="K572" s="940"/>
      <c r="L572" s="438"/>
      <c r="M572" s="940"/>
      <c r="N572" s="438"/>
      <c r="O572" s="437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ht="14.25" customHeight="1">
      <c r="A573" s="1"/>
      <c r="B573" s="1"/>
      <c r="C573" s="1"/>
      <c r="D573" s="39"/>
      <c r="E573" s="39"/>
      <c r="F573" s="438"/>
      <c r="G573" s="437"/>
      <c r="H573" s="438"/>
      <c r="I573" s="437"/>
      <c r="J573" s="438"/>
      <c r="K573" s="940"/>
      <c r="L573" s="438"/>
      <c r="M573" s="940"/>
      <c r="N573" s="438"/>
      <c r="O573" s="437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ht="14.25" customHeight="1">
      <c r="A574" s="1"/>
      <c r="B574" s="1"/>
      <c r="C574" s="1"/>
      <c r="D574" s="39"/>
      <c r="E574" s="39"/>
      <c r="F574" s="438"/>
      <c r="G574" s="437"/>
      <c r="H574" s="438"/>
      <c r="I574" s="437"/>
      <c r="J574" s="438"/>
      <c r="K574" s="940"/>
      <c r="L574" s="438"/>
      <c r="M574" s="940"/>
      <c r="N574" s="438"/>
      <c r="O574" s="437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ht="14.25" customHeight="1">
      <c r="A575" s="1"/>
      <c r="B575" s="1"/>
      <c r="C575" s="1"/>
      <c r="D575" s="39"/>
      <c r="E575" s="39"/>
      <c r="F575" s="438"/>
      <c r="G575" s="437"/>
      <c r="H575" s="438"/>
      <c r="I575" s="437"/>
      <c r="J575" s="438"/>
      <c r="K575" s="940"/>
      <c r="L575" s="438"/>
      <c r="M575" s="940"/>
      <c r="N575" s="438"/>
      <c r="O575" s="437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ht="14.25" customHeight="1">
      <c r="A576" s="1"/>
      <c r="B576" s="1"/>
      <c r="C576" s="1"/>
      <c r="D576" s="39"/>
      <c r="E576" s="39"/>
      <c r="F576" s="438"/>
      <c r="G576" s="437"/>
      <c r="H576" s="438"/>
      <c r="I576" s="437"/>
      <c r="J576" s="438"/>
      <c r="K576" s="940"/>
      <c r="L576" s="438"/>
      <c r="M576" s="940"/>
      <c r="N576" s="438"/>
      <c r="O576" s="437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ht="14.25" customHeight="1">
      <c r="A577" s="1"/>
      <c r="B577" s="1"/>
      <c r="C577" s="1"/>
      <c r="D577" s="39"/>
      <c r="E577" s="39"/>
      <c r="F577" s="438"/>
      <c r="G577" s="437"/>
      <c r="H577" s="438"/>
      <c r="I577" s="437"/>
      <c r="J577" s="438"/>
      <c r="K577" s="940"/>
      <c r="L577" s="438"/>
      <c r="M577" s="940"/>
      <c r="N577" s="438"/>
      <c r="O577" s="43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ht="14.25" customHeight="1">
      <c r="A578" s="1"/>
      <c r="B578" s="1"/>
      <c r="C578" s="1"/>
      <c r="D578" s="39"/>
      <c r="E578" s="39"/>
      <c r="F578" s="438"/>
      <c r="G578" s="437"/>
      <c r="H578" s="438"/>
      <c r="I578" s="437"/>
      <c r="J578" s="438"/>
      <c r="K578" s="940"/>
      <c r="L578" s="438"/>
      <c r="M578" s="940"/>
      <c r="N578" s="438"/>
      <c r="O578" s="437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ht="14.25" customHeight="1">
      <c r="A579" s="1"/>
      <c r="B579" s="1"/>
      <c r="C579" s="1"/>
      <c r="D579" s="39"/>
      <c r="E579" s="39"/>
      <c r="F579" s="438"/>
      <c r="G579" s="437"/>
      <c r="H579" s="438"/>
      <c r="I579" s="437"/>
      <c r="J579" s="438"/>
      <c r="K579" s="940"/>
      <c r="L579" s="438"/>
      <c r="M579" s="940"/>
      <c r="N579" s="438"/>
      <c r="O579" s="437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ht="14.25" customHeight="1">
      <c r="A580" s="1"/>
      <c r="B580" s="1"/>
      <c r="C580" s="1"/>
      <c r="D580" s="39"/>
      <c r="E580" s="39"/>
      <c r="F580" s="438"/>
      <c r="G580" s="437"/>
      <c r="H580" s="438"/>
      <c r="I580" s="437"/>
      <c r="J580" s="438"/>
      <c r="K580" s="940"/>
      <c r="L580" s="438"/>
      <c r="M580" s="940"/>
      <c r="N580" s="438"/>
      <c r="O580" s="437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ht="14.25" customHeight="1">
      <c r="A581" s="1"/>
      <c r="B581" s="1"/>
      <c r="C581" s="1"/>
      <c r="D581" s="39"/>
      <c r="E581" s="39"/>
      <c r="F581" s="438"/>
      <c r="G581" s="437"/>
      <c r="H581" s="438"/>
      <c r="I581" s="437"/>
      <c r="J581" s="438"/>
      <c r="K581" s="940"/>
      <c r="L581" s="438"/>
      <c r="M581" s="940"/>
      <c r="N581" s="438"/>
      <c r="O581" s="437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ht="14.25" customHeight="1">
      <c r="A582" s="1"/>
      <c r="B582" s="1"/>
      <c r="C582" s="1"/>
      <c r="D582" s="39"/>
      <c r="E582" s="39"/>
      <c r="F582" s="438"/>
      <c r="G582" s="437"/>
      <c r="H582" s="438"/>
      <c r="I582" s="437"/>
      <c r="J582" s="438"/>
      <c r="K582" s="940"/>
      <c r="L582" s="438"/>
      <c r="M582" s="940"/>
      <c r="N582" s="438"/>
      <c r="O582" s="437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ht="14.25" customHeight="1">
      <c r="A583" s="1"/>
      <c r="B583" s="1"/>
      <c r="C583" s="1"/>
      <c r="D583" s="39"/>
      <c r="E583" s="39"/>
      <c r="F583" s="438"/>
      <c r="G583" s="437"/>
      <c r="H583" s="438"/>
      <c r="I583" s="437"/>
      <c r="J583" s="438"/>
      <c r="K583" s="940"/>
      <c r="L583" s="438"/>
      <c r="M583" s="940"/>
      <c r="N583" s="438"/>
      <c r="O583" s="437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ht="14.25" customHeight="1">
      <c r="A584" s="1"/>
      <c r="B584" s="1"/>
      <c r="C584" s="1"/>
      <c r="D584" s="39"/>
      <c r="E584" s="39"/>
      <c r="F584" s="438"/>
      <c r="G584" s="437"/>
      <c r="H584" s="438"/>
      <c r="I584" s="437"/>
      <c r="J584" s="438"/>
      <c r="K584" s="940"/>
      <c r="L584" s="438"/>
      <c r="M584" s="940"/>
      <c r="N584" s="438"/>
      <c r="O584" s="437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ht="14.25" customHeight="1">
      <c r="A585" s="1"/>
      <c r="B585" s="1"/>
      <c r="C585" s="1"/>
      <c r="D585" s="39"/>
      <c r="E585" s="39"/>
      <c r="F585" s="438"/>
      <c r="G585" s="437"/>
      <c r="H585" s="438"/>
      <c r="I585" s="437"/>
      <c r="J585" s="438"/>
      <c r="K585" s="940"/>
      <c r="L585" s="438"/>
      <c r="M585" s="940"/>
      <c r="N585" s="438"/>
      <c r="O585" s="437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ht="14.25" customHeight="1">
      <c r="A586" s="1"/>
      <c r="B586" s="1"/>
      <c r="C586" s="1"/>
      <c r="D586" s="39"/>
      <c r="E586" s="39"/>
      <c r="F586" s="438"/>
      <c r="G586" s="437"/>
      <c r="H586" s="438"/>
      <c r="I586" s="437"/>
      <c r="J586" s="438"/>
      <c r="K586" s="940"/>
      <c r="L586" s="438"/>
      <c r="M586" s="940"/>
      <c r="N586" s="438"/>
      <c r="O586" s="437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ht="14.25" customHeight="1">
      <c r="A587" s="1"/>
      <c r="B587" s="1"/>
      <c r="C587" s="1"/>
      <c r="D587" s="39"/>
      <c r="E587" s="39"/>
      <c r="F587" s="438"/>
      <c r="G587" s="437"/>
      <c r="H587" s="438"/>
      <c r="I587" s="437"/>
      <c r="J587" s="438"/>
      <c r="K587" s="940"/>
      <c r="L587" s="438"/>
      <c r="M587" s="940"/>
      <c r="N587" s="438"/>
      <c r="O587" s="43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ht="14.25" customHeight="1">
      <c r="A588" s="1"/>
      <c r="B588" s="1"/>
      <c r="C588" s="1"/>
      <c r="D588" s="39"/>
      <c r="E588" s="39"/>
      <c r="F588" s="438"/>
      <c r="G588" s="437"/>
      <c r="H588" s="438"/>
      <c r="I588" s="437"/>
      <c r="J588" s="438"/>
      <c r="K588" s="940"/>
      <c r="L588" s="438"/>
      <c r="M588" s="940"/>
      <c r="N588" s="438"/>
      <c r="O588" s="437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ht="14.25" customHeight="1">
      <c r="A589" s="1"/>
      <c r="B589" s="1"/>
      <c r="C589" s="1"/>
      <c r="D589" s="39"/>
      <c r="E589" s="39"/>
      <c r="F589" s="438"/>
      <c r="G589" s="437"/>
      <c r="H589" s="438"/>
      <c r="I589" s="437"/>
      <c r="J589" s="438"/>
      <c r="K589" s="940"/>
      <c r="L589" s="438"/>
      <c r="M589" s="940"/>
      <c r="N589" s="438"/>
      <c r="O589" s="437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ht="14.25" customHeight="1">
      <c r="A590" s="1"/>
      <c r="B590" s="1"/>
      <c r="C590" s="1"/>
      <c r="D590" s="39"/>
      <c r="E590" s="39"/>
      <c r="F590" s="438"/>
      <c r="G590" s="437"/>
      <c r="H590" s="438"/>
      <c r="I590" s="437"/>
      <c r="J590" s="438"/>
      <c r="K590" s="940"/>
      <c r="L590" s="438"/>
      <c r="M590" s="940"/>
      <c r="N590" s="438"/>
      <c r="O590" s="437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ht="14.25" customHeight="1">
      <c r="A591" s="1"/>
      <c r="B591" s="1"/>
      <c r="C591" s="1"/>
      <c r="D591" s="39"/>
      <c r="E591" s="39"/>
      <c r="F591" s="438"/>
      <c r="G591" s="437"/>
      <c r="H591" s="438"/>
      <c r="I591" s="437"/>
      <c r="J591" s="438"/>
      <c r="K591" s="940"/>
      <c r="L591" s="438"/>
      <c r="M591" s="940"/>
      <c r="N591" s="438"/>
      <c r="O591" s="437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ht="14.25" customHeight="1">
      <c r="A592" s="1"/>
      <c r="B592" s="1"/>
      <c r="C592" s="1"/>
      <c r="D592" s="39"/>
      <c r="E592" s="39"/>
      <c r="F592" s="438"/>
      <c r="G592" s="437"/>
      <c r="H592" s="438"/>
      <c r="I592" s="437"/>
      <c r="J592" s="438"/>
      <c r="K592" s="940"/>
      <c r="L592" s="438"/>
      <c r="M592" s="940"/>
      <c r="N592" s="438"/>
      <c r="O592" s="437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ht="14.25" customHeight="1">
      <c r="A593" s="1"/>
      <c r="B593" s="1"/>
      <c r="C593" s="1"/>
      <c r="D593" s="39"/>
      <c r="E593" s="39"/>
      <c r="F593" s="438"/>
      <c r="G593" s="437"/>
      <c r="H593" s="438"/>
      <c r="I593" s="437"/>
      <c r="J593" s="438"/>
      <c r="K593" s="940"/>
      <c r="L593" s="438"/>
      <c r="M593" s="940"/>
      <c r="N593" s="438"/>
      <c r="O593" s="437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ht="14.25" customHeight="1">
      <c r="A594" s="1"/>
      <c r="B594" s="1"/>
      <c r="C594" s="1"/>
      <c r="D594" s="39"/>
      <c r="E594" s="39"/>
      <c r="F594" s="438"/>
      <c r="G594" s="437"/>
      <c r="H594" s="438"/>
      <c r="I594" s="437"/>
      <c r="J594" s="438"/>
      <c r="K594" s="940"/>
      <c r="L594" s="438"/>
      <c r="M594" s="940"/>
      <c r="N594" s="438"/>
      <c r="O594" s="437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ht="14.25" customHeight="1">
      <c r="A595" s="1"/>
      <c r="B595" s="1"/>
      <c r="C595" s="1"/>
      <c r="D595" s="39"/>
      <c r="E595" s="39"/>
      <c r="F595" s="438"/>
      <c r="G595" s="437"/>
      <c r="H595" s="438"/>
      <c r="I595" s="437"/>
      <c r="J595" s="438"/>
      <c r="K595" s="940"/>
      <c r="L595" s="438"/>
      <c r="M595" s="940"/>
      <c r="N595" s="438"/>
      <c r="O595" s="437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ht="14.25" customHeight="1">
      <c r="A596" s="1"/>
      <c r="B596" s="1"/>
      <c r="C596" s="1"/>
      <c r="D596" s="39"/>
      <c r="E596" s="39"/>
      <c r="F596" s="438"/>
      <c r="G596" s="437"/>
      <c r="H596" s="438"/>
      <c r="I596" s="437"/>
      <c r="J596" s="438"/>
      <c r="K596" s="940"/>
      <c r="L596" s="438"/>
      <c r="M596" s="940"/>
      <c r="N596" s="438"/>
      <c r="O596" s="437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ht="14.25" customHeight="1">
      <c r="A597" s="1"/>
      <c r="B597" s="1"/>
      <c r="C597" s="1"/>
      <c r="D597" s="39"/>
      <c r="E597" s="39"/>
      <c r="F597" s="438"/>
      <c r="G597" s="437"/>
      <c r="H597" s="438"/>
      <c r="I597" s="437"/>
      <c r="J597" s="438"/>
      <c r="K597" s="940"/>
      <c r="L597" s="438"/>
      <c r="M597" s="940"/>
      <c r="N597" s="438"/>
      <c r="O597" s="43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ht="14.25" customHeight="1">
      <c r="A598" s="1"/>
      <c r="B598" s="1"/>
      <c r="C598" s="1"/>
      <c r="D598" s="39"/>
      <c r="E598" s="39"/>
      <c r="F598" s="438"/>
      <c r="G598" s="437"/>
      <c r="H598" s="438"/>
      <c r="I598" s="437"/>
      <c r="J598" s="438"/>
      <c r="K598" s="940"/>
      <c r="L598" s="438"/>
      <c r="M598" s="940"/>
      <c r="N598" s="438"/>
      <c r="O598" s="437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ht="14.25" customHeight="1">
      <c r="A599" s="1"/>
      <c r="B599" s="1"/>
      <c r="C599" s="1"/>
      <c r="D599" s="39"/>
      <c r="E599" s="39"/>
      <c r="F599" s="438"/>
      <c r="G599" s="437"/>
      <c r="H599" s="438"/>
      <c r="I599" s="437"/>
      <c r="J599" s="438"/>
      <c r="K599" s="940"/>
      <c r="L599" s="438"/>
      <c r="M599" s="940"/>
      <c r="N599" s="438"/>
      <c r="O599" s="437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ht="14.25" customHeight="1">
      <c r="A600" s="1"/>
      <c r="B600" s="1"/>
      <c r="C600" s="1"/>
      <c r="D600" s="39"/>
      <c r="E600" s="39"/>
      <c r="F600" s="438"/>
      <c r="G600" s="437"/>
      <c r="H600" s="438"/>
      <c r="I600" s="437"/>
      <c r="J600" s="438"/>
      <c r="K600" s="940"/>
      <c r="L600" s="438"/>
      <c r="M600" s="940"/>
      <c r="N600" s="438"/>
      <c r="O600" s="437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ht="14.25" customHeight="1">
      <c r="A601" s="1"/>
      <c r="B601" s="1"/>
      <c r="C601" s="1"/>
      <c r="D601" s="39"/>
      <c r="E601" s="39"/>
      <c r="F601" s="438"/>
      <c r="G601" s="437"/>
      <c r="H601" s="438"/>
      <c r="I601" s="437"/>
      <c r="J601" s="438"/>
      <c r="K601" s="940"/>
      <c r="L601" s="438"/>
      <c r="M601" s="940"/>
      <c r="N601" s="438"/>
      <c r="O601" s="437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ht="14.25" customHeight="1">
      <c r="A602" s="1"/>
      <c r="B602" s="1"/>
      <c r="C602" s="1"/>
      <c r="D602" s="39"/>
      <c r="E602" s="39"/>
      <c r="F602" s="438"/>
      <c r="G602" s="437"/>
      <c r="H602" s="438"/>
      <c r="I602" s="437"/>
      <c r="J602" s="438"/>
      <c r="K602" s="940"/>
      <c r="L602" s="438"/>
      <c r="M602" s="940"/>
      <c r="N602" s="438"/>
      <c r="O602" s="437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ht="14.25" customHeight="1">
      <c r="A603" s="1"/>
      <c r="B603" s="1"/>
      <c r="C603" s="1"/>
      <c r="D603" s="39"/>
      <c r="E603" s="39"/>
      <c r="F603" s="438"/>
      <c r="G603" s="437"/>
      <c r="H603" s="438"/>
      <c r="I603" s="437"/>
      <c r="J603" s="438"/>
      <c r="K603" s="940"/>
      <c r="L603" s="438"/>
      <c r="M603" s="940"/>
      <c r="N603" s="438"/>
      <c r="O603" s="437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ht="14.25" customHeight="1">
      <c r="A604" s="1"/>
      <c r="B604" s="1"/>
      <c r="C604" s="1"/>
      <c r="D604" s="39"/>
      <c r="E604" s="39"/>
      <c r="F604" s="438"/>
      <c r="G604" s="437"/>
      <c r="H604" s="438"/>
      <c r="I604" s="437"/>
      <c r="J604" s="438"/>
      <c r="K604" s="940"/>
      <c r="L604" s="438"/>
      <c r="M604" s="940"/>
      <c r="N604" s="438"/>
      <c r="O604" s="437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ht="14.25" customHeight="1">
      <c r="A605" s="1"/>
      <c r="B605" s="1"/>
      <c r="C605" s="1"/>
      <c r="D605" s="39"/>
      <c r="E605" s="39"/>
      <c r="F605" s="438"/>
      <c r="G605" s="437"/>
      <c r="H605" s="438"/>
      <c r="I605" s="437"/>
      <c r="J605" s="438"/>
      <c r="K605" s="940"/>
      <c r="L605" s="438"/>
      <c r="M605" s="940"/>
      <c r="N605" s="438"/>
      <c r="O605" s="437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ht="14.25" customHeight="1">
      <c r="A606" s="1"/>
      <c r="B606" s="1"/>
      <c r="C606" s="1"/>
      <c r="D606" s="39"/>
      <c r="E606" s="39"/>
      <c r="F606" s="438"/>
      <c r="G606" s="437"/>
      <c r="H606" s="438"/>
      <c r="I606" s="437"/>
      <c r="J606" s="438"/>
      <c r="K606" s="940"/>
      <c r="L606" s="438"/>
      <c r="M606" s="940"/>
      <c r="N606" s="438"/>
      <c r="O606" s="437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ht="14.25" customHeight="1">
      <c r="A607" s="1"/>
      <c r="B607" s="1"/>
      <c r="C607" s="1"/>
      <c r="D607" s="39"/>
      <c r="E607" s="39"/>
      <c r="F607" s="438"/>
      <c r="G607" s="437"/>
      <c r="H607" s="438"/>
      <c r="I607" s="437"/>
      <c r="J607" s="438"/>
      <c r="K607" s="940"/>
      <c r="L607" s="438"/>
      <c r="M607" s="940"/>
      <c r="N607" s="438"/>
      <c r="O607" s="43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ht="14.25" customHeight="1">
      <c r="A608" s="1"/>
      <c r="B608" s="1"/>
      <c r="C608" s="1"/>
      <c r="D608" s="39"/>
      <c r="E608" s="39"/>
      <c r="F608" s="438"/>
      <c r="G608" s="437"/>
      <c r="H608" s="438"/>
      <c r="I608" s="437"/>
      <c r="J608" s="438"/>
      <c r="K608" s="940"/>
      <c r="L608" s="438"/>
      <c r="M608" s="940"/>
      <c r="N608" s="438"/>
      <c r="O608" s="437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ht="14.25" customHeight="1">
      <c r="A609" s="1"/>
      <c r="B609" s="1"/>
      <c r="C609" s="1"/>
      <c r="D609" s="39"/>
      <c r="E609" s="39"/>
      <c r="F609" s="438"/>
      <c r="G609" s="437"/>
      <c r="H609" s="438"/>
      <c r="I609" s="437"/>
      <c r="J609" s="438"/>
      <c r="K609" s="940"/>
      <c r="L609" s="438"/>
      <c r="M609" s="940"/>
      <c r="N609" s="438"/>
      <c r="O609" s="437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ht="14.25" customHeight="1">
      <c r="A610" s="1"/>
      <c r="B610" s="1"/>
      <c r="C610" s="1"/>
      <c r="D610" s="39"/>
      <c r="E610" s="39"/>
      <c r="F610" s="438"/>
      <c r="G610" s="437"/>
      <c r="H610" s="438"/>
      <c r="I610" s="437"/>
      <c r="J610" s="438"/>
      <c r="K610" s="940"/>
      <c r="L610" s="438"/>
      <c r="M610" s="940"/>
      <c r="N610" s="438"/>
      <c r="O610" s="437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ht="14.25" customHeight="1">
      <c r="A611" s="1"/>
      <c r="B611" s="1"/>
      <c r="C611" s="1"/>
      <c r="D611" s="39"/>
      <c r="E611" s="39"/>
      <c r="F611" s="438"/>
      <c r="G611" s="437"/>
      <c r="H611" s="438"/>
      <c r="I611" s="437"/>
      <c r="J611" s="438"/>
      <c r="K611" s="940"/>
      <c r="L611" s="438"/>
      <c r="M611" s="940"/>
      <c r="N611" s="438"/>
      <c r="O611" s="437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ht="14.25" customHeight="1">
      <c r="A612" s="1"/>
      <c r="B612" s="1"/>
      <c r="C612" s="1"/>
      <c r="D612" s="39"/>
      <c r="E612" s="39"/>
      <c r="F612" s="438"/>
      <c r="G612" s="437"/>
      <c r="H612" s="438"/>
      <c r="I612" s="437"/>
      <c r="J612" s="438"/>
      <c r="K612" s="940"/>
      <c r="L612" s="438"/>
      <c r="M612" s="940"/>
      <c r="N612" s="438"/>
      <c r="O612" s="437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ht="14.25" customHeight="1">
      <c r="A613" s="1"/>
      <c r="B613" s="1"/>
      <c r="C613" s="1"/>
      <c r="D613" s="39"/>
      <c r="E613" s="39"/>
      <c r="F613" s="438"/>
      <c r="G613" s="437"/>
      <c r="H613" s="438"/>
      <c r="I613" s="437"/>
      <c r="J613" s="438"/>
      <c r="K613" s="940"/>
      <c r="L613" s="438"/>
      <c r="M613" s="940"/>
      <c r="N613" s="438"/>
      <c r="O613" s="437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ht="14.25" customHeight="1">
      <c r="A614" s="1"/>
      <c r="B614" s="1"/>
      <c r="C614" s="1"/>
      <c r="D614" s="39"/>
      <c r="E614" s="39"/>
      <c r="F614" s="438"/>
      <c r="G614" s="437"/>
      <c r="H614" s="438"/>
      <c r="I614" s="437"/>
      <c r="J614" s="438"/>
      <c r="K614" s="940"/>
      <c r="L614" s="438"/>
      <c r="M614" s="940"/>
      <c r="N614" s="438"/>
      <c r="O614" s="437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ht="14.25" customHeight="1">
      <c r="A615" s="1"/>
      <c r="B615" s="1"/>
      <c r="C615" s="1"/>
      <c r="D615" s="39"/>
      <c r="E615" s="39"/>
      <c r="F615" s="438"/>
      <c r="G615" s="437"/>
      <c r="H615" s="438"/>
      <c r="I615" s="437"/>
      <c r="J615" s="438"/>
      <c r="K615" s="940"/>
      <c r="L615" s="438"/>
      <c r="M615" s="940"/>
      <c r="N615" s="438"/>
      <c r="O615" s="437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ht="14.25" customHeight="1">
      <c r="A616" s="1"/>
      <c r="B616" s="1"/>
      <c r="C616" s="1"/>
      <c r="D616" s="39"/>
      <c r="E616" s="39"/>
      <c r="F616" s="438"/>
      <c r="G616" s="437"/>
      <c r="H616" s="438"/>
      <c r="I616" s="437"/>
      <c r="J616" s="438"/>
      <c r="K616" s="940"/>
      <c r="L616" s="438"/>
      <c r="M616" s="940"/>
      <c r="N616" s="438"/>
      <c r="O616" s="437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ht="14.25" customHeight="1">
      <c r="A617" s="1"/>
      <c r="B617" s="1"/>
      <c r="C617" s="1"/>
      <c r="D617" s="39"/>
      <c r="E617" s="39"/>
      <c r="F617" s="438"/>
      <c r="G617" s="437"/>
      <c r="H617" s="438"/>
      <c r="I617" s="437"/>
      <c r="J617" s="438"/>
      <c r="K617" s="940"/>
      <c r="L617" s="438"/>
      <c r="M617" s="940"/>
      <c r="N617" s="438"/>
      <c r="O617" s="43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ht="14.25" customHeight="1">
      <c r="A618" s="1"/>
      <c r="B618" s="1"/>
      <c r="C618" s="1"/>
      <c r="D618" s="39"/>
      <c r="E618" s="39"/>
      <c r="F618" s="438"/>
      <c r="G618" s="437"/>
      <c r="H618" s="438"/>
      <c r="I618" s="437"/>
      <c r="J618" s="438"/>
      <c r="K618" s="940"/>
      <c r="L618" s="438"/>
      <c r="M618" s="940"/>
      <c r="N618" s="438"/>
      <c r="O618" s="437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ht="14.25" customHeight="1">
      <c r="A619" s="1"/>
      <c r="B619" s="1"/>
      <c r="C619" s="1"/>
      <c r="D619" s="39"/>
      <c r="E619" s="39"/>
      <c r="F619" s="438"/>
      <c r="G619" s="437"/>
      <c r="H619" s="438"/>
      <c r="I619" s="437"/>
      <c r="J619" s="438"/>
      <c r="K619" s="940"/>
      <c r="L619" s="438"/>
      <c r="M619" s="940"/>
      <c r="N619" s="438"/>
      <c r="O619" s="437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ht="14.25" customHeight="1">
      <c r="A620" s="1"/>
      <c r="B620" s="1"/>
      <c r="C620" s="1"/>
      <c r="D620" s="39"/>
      <c r="E620" s="39"/>
      <c r="F620" s="438"/>
      <c r="G620" s="437"/>
      <c r="H620" s="438"/>
      <c r="I620" s="437"/>
      <c r="J620" s="438"/>
      <c r="K620" s="940"/>
      <c r="L620" s="438"/>
      <c r="M620" s="940"/>
      <c r="N620" s="438"/>
      <c r="O620" s="437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ht="14.25" customHeight="1">
      <c r="A621" s="1"/>
      <c r="B621" s="1"/>
      <c r="C621" s="1"/>
      <c r="D621" s="39"/>
      <c r="E621" s="39"/>
      <c r="F621" s="438"/>
      <c r="G621" s="437"/>
      <c r="H621" s="438"/>
      <c r="I621" s="437"/>
      <c r="J621" s="438"/>
      <c r="K621" s="940"/>
      <c r="L621" s="438"/>
      <c r="M621" s="940"/>
      <c r="N621" s="438"/>
      <c r="O621" s="437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ht="14.25" customHeight="1">
      <c r="A622" s="1"/>
      <c r="B622" s="1"/>
      <c r="C622" s="1"/>
      <c r="D622" s="39"/>
      <c r="E622" s="39"/>
      <c r="F622" s="438"/>
      <c r="G622" s="437"/>
      <c r="H622" s="438"/>
      <c r="I622" s="437"/>
      <c r="J622" s="438"/>
      <c r="K622" s="940"/>
      <c r="L622" s="438"/>
      <c r="M622" s="940"/>
      <c r="N622" s="438"/>
      <c r="O622" s="437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ht="14.25" customHeight="1">
      <c r="A623" s="1"/>
      <c r="B623" s="1"/>
      <c r="C623" s="1"/>
      <c r="D623" s="39"/>
      <c r="E623" s="39"/>
      <c r="F623" s="438"/>
      <c r="G623" s="437"/>
      <c r="H623" s="438"/>
      <c r="I623" s="437"/>
      <c r="J623" s="438"/>
      <c r="K623" s="940"/>
      <c r="L623" s="438"/>
      <c r="M623" s="940"/>
      <c r="N623" s="438"/>
      <c r="O623" s="437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ht="14.25" customHeight="1">
      <c r="A624" s="1"/>
      <c r="B624" s="1"/>
      <c r="C624" s="1"/>
      <c r="D624" s="39"/>
      <c r="E624" s="39"/>
      <c r="F624" s="438"/>
      <c r="G624" s="437"/>
      <c r="H624" s="438"/>
      <c r="I624" s="437"/>
      <c r="J624" s="438"/>
      <c r="K624" s="940"/>
      <c r="L624" s="438"/>
      <c r="M624" s="940"/>
      <c r="N624" s="438"/>
      <c r="O624" s="437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ht="14.25" customHeight="1">
      <c r="A625" s="1"/>
      <c r="B625" s="1"/>
      <c r="C625" s="1"/>
      <c r="D625" s="39"/>
      <c r="E625" s="39"/>
      <c r="F625" s="438"/>
      <c r="G625" s="437"/>
      <c r="H625" s="438"/>
      <c r="I625" s="437"/>
      <c r="J625" s="438"/>
      <c r="K625" s="940"/>
      <c r="L625" s="438"/>
      <c r="M625" s="940"/>
      <c r="N625" s="438"/>
      <c r="O625" s="437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ht="14.25" customHeight="1">
      <c r="A626" s="1"/>
      <c r="B626" s="1"/>
      <c r="C626" s="1"/>
      <c r="D626" s="39"/>
      <c r="E626" s="39"/>
      <c r="F626" s="438"/>
      <c r="G626" s="437"/>
      <c r="H626" s="438"/>
      <c r="I626" s="437"/>
      <c r="J626" s="438"/>
      <c r="K626" s="940"/>
      <c r="L626" s="438"/>
      <c r="M626" s="940"/>
      <c r="N626" s="438"/>
      <c r="O626" s="437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ht="14.25" customHeight="1">
      <c r="A627" s="1"/>
      <c r="B627" s="1"/>
      <c r="C627" s="1"/>
      <c r="D627" s="39"/>
      <c r="E627" s="39"/>
      <c r="F627" s="438"/>
      <c r="G627" s="437"/>
      <c r="H627" s="438"/>
      <c r="I627" s="437"/>
      <c r="J627" s="438"/>
      <c r="K627" s="940"/>
      <c r="L627" s="438"/>
      <c r="M627" s="940"/>
      <c r="N627" s="438"/>
      <c r="O627" s="43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ht="14.25" customHeight="1">
      <c r="A628" s="1"/>
      <c r="B628" s="1"/>
      <c r="C628" s="1"/>
      <c r="D628" s="39"/>
      <c r="E628" s="39"/>
      <c r="F628" s="438"/>
      <c r="G628" s="437"/>
      <c r="H628" s="438"/>
      <c r="I628" s="437"/>
      <c r="J628" s="438"/>
      <c r="K628" s="940"/>
      <c r="L628" s="438"/>
      <c r="M628" s="940"/>
      <c r="N628" s="438"/>
      <c r="O628" s="437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ht="14.25" customHeight="1">
      <c r="A629" s="1"/>
      <c r="B629" s="1"/>
      <c r="C629" s="1"/>
      <c r="D629" s="39"/>
      <c r="E629" s="39"/>
      <c r="F629" s="438"/>
      <c r="G629" s="437"/>
      <c r="H629" s="438"/>
      <c r="I629" s="437"/>
      <c r="J629" s="438"/>
      <c r="K629" s="940"/>
      <c r="L629" s="438"/>
      <c r="M629" s="940"/>
      <c r="N629" s="438"/>
      <c r="O629" s="437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ht="14.25" customHeight="1">
      <c r="A630" s="1"/>
      <c r="B630" s="1"/>
      <c r="C630" s="1"/>
      <c r="D630" s="39"/>
      <c r="E630" s="39"/>
      <c r="F630" s="438"/>
      <c r="G630" s="437"/>
      <c r="H630" s="438"/>
      <c r="I630" s="437"/>
      <c r="J630" s="438"/>
      <c r="K630" s="940"/>
      <c r="L630" s="438"/>
      <c r="M630" s="940"/>
      <c r="N630" s="438"/>
      <c r="O630" s="437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ht="14.25" customHeight="1">
      <c r="A631" s="1"/>
      <c r="B631" s="1"/>
      <c r="C631" s="1"/>
      <c r="D631" s="39"/>
      <c r="E631" s="39"/>
      <c r="F631" s="438"/>
      <c r="G631" s="437"/>
      <c r="H631" s="438"/>
      <c r="I631" s="437"/>
      <c r="J631" s="438"/>
      <c r="K631" s="940"/>
      <c r="L631" s="438"/>
      <c r="M631" s="940"/>
      <c r="N631" s="438"/>
      <c r="O631" s="437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ht="14.25" customHeight="1">
      <c r="A632" s="1"/>
      <c r="B632" s="1"/>
      <c r="C632" s="1"/>
      <c r="D632" s="39"/>
      <c r="E632" s="39"/>
      <c r="F632" s="438"/>
      <c r="G632" s="437"/>
      <c r="H632" s="438"/>
      <c r="I632" s="437"/>
      <c r="J632" s="438"/>
      <c r="K632" s="940"/>
      <c r="L632" s="438"/>
      <c r="M632" s="940"/>
      <c r="N632" s="438"/>
      <c r="O632" s="437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ht="14.25" customHeight="1">
      <c r="A633" s="1"/>
      <c r="B633" s="1"/>
      <c r="C633" s="1"/>
      <c r="D633" s="39"/>
      <c r="E633" s="39"/>
      <c r="F633" s="438"/>
      <c r="G633" s="437"/>
      <c r="H633" s="438"/>
      <c r="I633" s="437"/>
      <c r="J633" s="438"/>
      <c r="K633" s="940"/>
      <c r="L633" s="438"/>
      <c r="M633" s="940"/>
      <c r="N633" s="438"/>
      <c r="O633" s="437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ht="14.25" customHeight="1">
      <c r="A634" s="1"/>
      <c r="B634" s="1"/>
      <c r="C634" s="1"/>
      <c r="D634" s="39"/>
      <c r="E634" s="39"/>
      <c r="F634" s="438"/>
      <c r="G634" s="437"/>
      <c r="H634" s="438"/>
      <c r="I634" s="437"/>
      <c r="J634" s="438"/>
      <c r="K634" s="940"/>
      <c r="L634" s="438"/>
      <c r="M634" s="940"/>
      <c r="N634" s="438"/>
      <c r="O634" s="437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ht="14.25" customHeight="1">
      <c r="A635" s="1"/>
      <c r="B635" s="1"/>
      <c r="C635" s="1"/>
      <c r="D635" s="39"/>
      <c r="E635" s="39"/>
      <c r="F635" s="438"/>
      <c r="G635" s="437"/>
      <c r="H635" s="438"/>
      <c r="I635" s="437"/>
      <c r="J635" s="438"/>
      <c r="K635" s="940"/>
      <c r="L635" s="438"/>
      <c r="M635" s="940"/>
      <c r="N635" s="438"/>
      <c r="O635" s="437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ht="14.25" customHeight="1">
      <c r="A636" s="1"/>
      <c r="B636" s="1"/>
      <c r="C636" s="1"/>
      <c r="D636" s="39"/>
      <c r="E636" s="39"/>
      <c r="F636" s="438"/>
      <c r="G636" s="437"/>
      <c r="H636" s="438"/>
      <c r="I636" s="437"/>
      <c r="J636" s="438"/>
      <c r="K636" s="940"/>
      <c r="L636" s="438"/>
      <c r="M636" s="940"/>
      <c r="N636" s="438"/>
      <c r="O636" s="437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ht="14.25" customHeight="1">
      <c r="A637" s="1"/>
      <c r="B637" s="1"/>
      <c r="C637" s="1"/>
      <c r="D637" s="39"/>
      <c r="E637" s="39"/>
      <c r="F637" s="438"/>
      <c r="G637" s="437"/>
      <c r="H637" s="438"/>
      <c r="I637" s="437"/>
      <c r="J637" s="438"/>
      <c r="K637" s="940"/>
      <c r="L637" s="438"/>
      <c r="M637" s="940"/>
      <c r="N637" s="438"/>
      <c r="O637" s="4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ht="14.25" customHeight="1">
      <c r="A638" s="1"/>
      <c r="B638" s="1"/>
      <c r="C638" s="1"/>
      <c r="D638" s="39"/>
      <c r="E638" s="39"/>
      <c r="F638" s="438"/>
      <c r="G638" s="437"/>
      <c r="H638" s="438"/>
      <c r="I638" s="437"/>
      <c r="J638" s="438"/>
      <c r="K638" s="940"/>
      <c r="L638" s="438"/>
      <c r="M638" s="940"/>
      <c r="N638" s="438"/>
      <c r="O638" s="437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ht="14.25" customHeight="1">
      <c r="A639" s="1"/>
      <c r="B639" s="1"/>
      <c r="C639" s="1"/>
      <c r="D639" s="39"/>
      <c r="E639" s="39"/>
      <c r="F639" s="438"/>
      <c r="G639" s="437"/>
      <c r="H639" s="438"/>
      <c r="I639" s="437"/>
      <c r="J639" s="438"/>
      <c r="K639" s="940"/>
      <c r="L639" s="438"/>
      <c r="M639" s="940"/>
      <c r="N639" s="438"/>
      <c r="O639" s="437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ht="14.25" customHeight="1">
      <c r="A640" s="1"/>
      <c r="B640" s="1"/>
      <c r="C640" s="1"/>
      <c r="D640" s="39"/>
      <c r="E640" s="39"/>
      <c r="F640" s="438"/>
      <c r="G640" s="437"/>
      <c r="H640" s="438"/>
      <c r="I640" s="437"/>
      <c r="J640" s="438"/>
      <c r="K640" s="940"/>
      <c r="L640" s="438"/>
      <c r="M640" s="940"/>
      <c r="N640" s="438"/>
      <c r="O640" s="437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ht="14.25" customHeight="1">
      <c r="A641" s="1"/>
      <c r="B641" s="1"/>
      <c r="C641" s="1"/>
      <c r="D641" s="39"/>
      <c r="E641" s="39"/>
      <c r="F641" s="438"/>
      <c r="G641" s="437"/>
      <c r="H641" s="438"/>
      <c r="I641" s="437"/>
      <c r="J641" s="438"/>
      <c r="K641" s="940"/>
      <c r="L641" s="438"/>
      <c r="M641" s="940"/>
      <c r="N641" s="438"/>
      <c r="O641" s="437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ht="14.25" customHeight="1">
      <c r="A642" s="1"/>
      <c r="B642" s="1"/>
      <c r="C642" s="1"/>
      <c r="D642" s="39"/>
      <c r="E642" s="39"/>
      <c r="F642" s="438"/>
      <c r="G642" s="437"/>
      <c r="H642" s="438"/>
      <c r="I642" s="437"/>
      <c r="J642" s="438"/>
      <c r="K642" s="940"/>
      <c r="L642" s="438"/>
      <c r="M642" s="940"/>
      <c r="N642" s="438"/>
      <c r="O642" s="437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ht="14.25" customHeight="1">
      <c r="A643" s="1"/>
      <c r="B643" s="1"/>
      <c r="C643" s="1"/>
      <c r="D643" s="39"/>
      <c r="E643" s="39"/>
      <c r="F643" s="438"/>
      <c r="G643" s="437"/>
      <c r="H643" s="438"/>
      <c r="I643" s="437"/>
      <c r="J643" s="438"/>
      <c r="K643" s="940"/>
      <c r="L643" s="438"/>
      <c r="M643" s="940"/>
      <c r="N643" s="438"/>
      <c r="O643" s="437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ht="14.25" customHeight="1">
      <c r="A644" s="1"/>
      <c r="B644" s="1"/>
      <c r="C644" s="1"/>
      <c r="D644" s="39"/>
      <c r="E644" s="39"/>
      <c r="F644" s="438"/>
      <c r="G644" s="437"/>
      <c r="H644" s="438"/>
      <c r="I644" s="437"/>
      <c r="J644" s="438"/>
      <c r="K644" s="940"/>
      <c r="L644" s="438"/>
      <c r="M644" s="940"/>
      <c r="N644" s="438"/>
      <c r="O644" s="437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ht="14.25" customHeight="1">
      <c r="A645" s="1"/>
      <c r="B645" s="1"/>
      <c r="C645" s="1"/>
      <c r="D645" s="39"/>
      <c r="E645" s="39"/>
      <c r="F645" s="438"/>
      <c r="G645" s="437"/>
      <c r="H645" s="438"/>
      <c r="I645" s="437"/>
      <c r="J645" s="438"/>
      <c r="K645" s="940"/>
      <c r="L645" s="438"/>
      <c r="M645" s="940"/>
      <c r="N645" s="438"/>
      <c r="O645" s="437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ht="14.25" customHeight="1">
      <c r="A646" s="1"/>
      <c r="B646" s="1"/>
      <c r="C646" s="1"/>
      <c r="D646" s="39"/>
      <c r="E646" s="39"/>
      <c r="F646" s="438"/>
      <c r="G646" s="437"/>
      <c r="H646" s="438"/>
      <c r="I646" s="437"/>
      <c r="J646" s="438"/>
      <c r="K646" s="940"/>
      <c r="L646" s="438"/>
      <c r="M646" s="940"/>
      <c r="N646" s="438"/>
      <c r="O646" s="437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ht="14.25" customHeight="1">
      <c r="A647" s="1"/>
      <c r="B647" s="1"/>
      <c r="C647" s="1"/>
      <c r="D647" s="39"/>
      <c r="E647" s="39"/>
      <c r="F647" s="438"/>
      <c r="G647" s="437"/>
      <c r="H647" s="438"/>
      <c r="I647" s="437"/>
      <c r="J647" s="438"/>
      <c r="K647" s="940"/>
      <c r="L647" s="438"/>
      <c r="M647" s="940"/>
      <c r="N647" s="438"/>
      <c r="O647" s="43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ht="14.25" customHeight="1">
      <c r="A648" s="1"/>
      <c r="B648" s="1"/>
      <c r="C648" s="1"/>
      <c r="D648" s="39"/>
      <c r="E648" s="39"/>
      <c r="F648" s="438"/>
      <c r="G648" s="437"/>
      <c r="H648" s="438"/>
      <c r="I648" s="437"/>
      <c r="J648" s="438"/>
      <c r="K648" s="940"/>
      <c r="L648" s="438"/>
      <c r="M648" s="940"/>
      <c r="N648" s="438"/>
      <c r="O648" s="437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ht="14.25" customHeight="1">
      <c r="A649" s="1"/>
      <c r="B649" s="1"/>
      <c r="C649" s="1"/>
      <c r="D649" s="39"/>
      <c r="E649" s="39"/>
      <c r="F649" s="438"/>
      <c r="G649" s="437"/>
      <c r="H649" s="438"/>
      <c r="I649" s="437"/>
      <c r="J649" s="438"/>
      <c r="K649" s="940"/>
      <c r="L649" s="438"/>
      <c r="M649" s="940"/>
      <c r="N649" s="438"/>
      <c r="O649" s="437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ht="14.25" customHeight="1">
      <c r="A650" s="1"/>
      <c r="B650" s="1"/>
      <c r="C650" s="1"/>
      <c r="D650" s="39"/>
      <c r="E650" s="39"/>
      <c r="F650" s="438"/>
      <c r="G650" s="437"/>
      <c r="H650" s="438"/>
      <c r="I650" s="437"/>
      <c r="J650" s="438"/>
      <c r="K650" s="940"/>
      <c r="L650" s="438"/>
      <c r="M650" s="940"/>
      <c r="N650" s="438"/>
      <c r="O650" s="437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ht="14.25" customHeight="1">
      <c r="A651" s="1"/>
      <c r="B651" s="1"/>
      <c r="C651" s="1"/>
      <c r="D651" s="39"/>
      <c r="E651" s="39"/>
      <c r="F651" s="438"/>
      <c r="G651" s="437"/>
      <c r="H651" s="438"/>
      <c r="I651" s="437"/>
      <c r="J651" s="438"/>
      <c r="K651" s="940"/>
      <c r="L651" s="438"/>
      <c r="M651" s="940"/>
      <c r="N651" s="438"/>
      <c r="O651" s="437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ht="14.25" customHeight="1">
      <c r="A652" s="1"/>
      <c r="B652" s="1"/>
      <c r="C652" s="1"/>
      <c r="D652" s="39"/>
      <c r="E652" s="39"/>
      <c r="F652" s="438"/>
      <c r="G652" s="437"/>
      <c r="H652" s="438"/>
      <c r="I652" s="437"/>
      <c r="J652" s="438"/>
      <c r="K652" s="940"/>
      <c r="L652" s="438"/>
      <c r="M652" s="940"/>
      <c r="N652" s="438"/>
      <c r="O652" s="437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ht="14.25" customHeight="1">
      <c r="A653" s="1"/>
      <c r="B653" s="1"/>
      <c r="C653" s="1"/>
      <c r="D653" s="39"/>
      <c r="E653" s="39"/>
      <c r="F653" s="438"/>
      <c r="G653" s="437"/>
      <c r="H653" s="438"/>
      <c r="I653" s="437"/>
      <c r="J653" s="438"/>
      <c r="K653" s="940"/>
      <c r="L653" s="438"/>
      <c r="M653" s="940"/>
      <c r="N653" s="438"/>
      <c r="O653" s="437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ht="14.25" customHeight="1">
      <c r="A654" s="1"/>
      <c r="B654" s="1"/>
      <c r="C654" s="1"/>
      <c r="D654" s="39"/>
      <c r="E654" s="39"/>
      <c r="F654" s="438"/>
      <c r="G654" s="437"/>
      <c r="H654" s="438"/>
      <c r="I654" s="437"/>
      <c r="J654" s="438"/>
      <c r="K654" s="940"/>
      <c r="L654" s="438"/>
      <c r="M654" s="940"/>
      <c r="N654" s="438"/>
      <c r="O654" s="437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ht="14.25" customHeight="1">
      <c r="A655" s="1"/>
      <c r="B655" s="1"/>
      <c r="C655" s="1"/>
      <c r="D655" s="39"/>
      <c r="E655" s="39"/>
      <c r="F655" s="438"/>
      <c r="G655" s="437"/>
      <c r="H655" s="438"/>
      <c r="I655" s="437"/>
      <c r="J655" s="438"/>
      <c r="K655" s="940"/>
      <c r="L655" s="438"/>
      <c r="M655" s="940"/>
      <c r="N655" s="438"/>
      <c r="O655" s="437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ht="14.25" customHeight="1">
      <c r="A656" s="1"/>
      <c r="B656" s="1"/>
      <c r="C656" s="1"/>
      <c r="D656" s="39"/>
      <c r="E656" s="39"/>
      <c r="F656" s="438"/>
      <c r="G656" s="437"/>
      <c r="H656" s="438"/>
      <c r="I656" s="437"/>
      <c r="J656" s="438"/>
      <c r="K656" s="940"/>
      <c r="L656" s="438"/>
      <c r="M656" s="940"/>
      <c r="N656" s="438"/>
      <c r="O656" s="437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ht="14.25" customHeight="1">
      <c r="A657" s="1"/>
      <c r="B657" s="1"/>
      <c r="C657" s="1"/>
      <c r="D657" s="39"/>
      <c r="E657" s="39"/>
      <c r="F657" s="438"/>
      <c r="G657" s="437"/>
      <c r="H657" s="438"/>
      <c r="I657" s="437"/>
      <c r="J657" s="438"/>
      <c r="K657" s="940"/>
      <c r="L657" s="438"/>
      <c r="M657" s="940"/>
      <c r="N657" s="438"/>
      <c r="O657" s="43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ht="14.25" customHeight="1">
      <c r="A658" s="1"/>
      <c r="B658" s="1"/>
      <c r="C658" s="1"/>
      <c r="D658" s="39"/>
      <c r="E658" s="39"/>
      <c r="F658" s="438"/>
      <c r="G658" s="437"/>
      <c r="H658" s="438"/>
      <c r="I658" s="437"/>
      <c r="J658" s="438"/>
      <c r="K658" s="940"/>
      <c r="L658" s="438"/>
      <c r="M658" s="940"/>
      <c r="N658" s="438"/>
      <c r="O658" s="437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ht="14.25" customHeight="1">
      <c r="A659" s="1"/>
      <c r="B659" s="1"/>
      <c r="C659" s="1"/>
      <c r="D659" s="39"/>
      <c r="E659" s="39"/>
      <c r="F659" s="438"/>
      <c r="G659" s="437"/>
      <c r="H659" s="438"/>
      <c r="I659" s="437"/>
      <c r="J659" s="438"/>
      <c r="K659" s="940"/>
      <c r="L659" s="438"/>
      <c r="M659" s="940"/>
      <c r="N659" s="438"/>
      <c r="O659" s="437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ht="14.25" customHeight="1">
      <c r="A660" s="1"/>
      <c r="B660" s="1"/>
      <c r="C660" s="1"/>
      <c r="D660" s="39"/>
      <c r="E660" s="39"/>
      <c r="F660" s="438"/>
      <c r="G660" s="437"/>
      <c r="H660" s="438"/>
      <c r="I660" s="437"/>
      <c r="J660" s="438"/>
      <c r="K660" s="940"/>
      <c r="L660" s="438"/>
      <c r="M660" s="940"/>
      <c r="N660" s="438"/>
      <c r="O660" s="437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ht="14.25" customHeight="1">
      <c r="A661" s="1"/>
      <c r="B661" s="1"/>
      <c r="C661" s="1"/>
      <c r="D661" s="39"/>
      <c r="E661" s="39"/>
      <c r="F661" s="438"/>
      <c r="G661" s="437"/>
      <c r="H661" s="438"/>
      <c r="I661" s="437"/>
      <c r="J661" s="438"/>
      <c r="K661" s="940"/>
      <c r="L661" s="438"/>
      <c r="M661" s="940"/>
      <c r="N661" s="438"/>
      <c r="O661" s="437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ht="14.25" customHeight="1">
      <c r="A662" s="1"/>
      <c r="B662" s="1"/>
      <c r="C662" s="1"/>
      <c r="D662" s="39"/>
      <c r="E662" s="39"/>
      <c r="F662" s="438"/>
      <c r="G662" s="437"/>
      <c r="H662" s="438"/>
      <c r="I662" s="437"/>
      <c r="J662" s="438"/>
      <c r="K662" s="940"/>
      <c r="L662" s="438"/>
      <c r="M662" s="940"/>
      <c r="N662" s="438"/>
      <c r="O662" s="437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ht="14.25" customHeight="1">
      <c r="A663" s="1"/>
      <c r="B663" s="1"/>
      <c r="C663" s="1"/>
      <c r="D663" s="39"/>
      <c r="E663" s="39"/>
      <c r="F663" s="438"/>
      <c r="G663" s="437"/>
      <c r="H663" s="438"/>
      <c r="I663" s="437"/>
      <c r="J663" s="438"/>
      <c r="K663" s="940"/>
      <c r="L663" s="438"/>
      <c r="M663" s="940"/>
      <c r="N663" s="438"/>
      <c r="O663" s="437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ht="14.25" customHeight="1">
      <c r="A664" s="1"/>
      <c r="B664" s="1"/>
      <c r="C664" s="1"/>
      <c r="D664" s="39"/>
      <c r="E664" s="39"/>
      <c r="F664" s="438"/>
      <c r="G664" s="437"/>
      <c r="H664" s="438"/>
      <c r="I664" s="437"/>
      <c r="J664" s="438"/>
      <c r="K664" s="940"/>
      <c r="L664" s="438"/>
      <c r="M664" s="940"/>
      <c r="N664" s="438"/>
      <c r="O664" s="437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ht="14.25" customHeight="1">
      <c r="A665" s="1"/>
      <c r="B665" s="1"/>
      <c r="C665" s="1"/>
      <c r="D665" s="39"/>
      <c r="E665" s="39"/>
      <c r="F665" s="438"/>
      <c r="G665" s="437"/>
      <c r="H665" s="438"/>
      <c r="I665" s="437"/>
      <c r="J665" s="438"/>
      <c r="K665" s="940"/>
      <c r="L665" s="438"/>
      <c r="M665" s="940"/>
      <c r="N665" s="438"/>
      <c r="O665" s="437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ht="14.25" customHeight="1">
      <c r="A666" s="1"/>
      <c r="B666" s="1"/>
      <c r="C666" s="1"/>
      <c r="D666" s="39"/>
      <c r="E666" s="39"/>
      <c r="F666" s="438"/>
      <c r="G666" s="437"/>
      <c r="H666" s="438"/>
      <c r="I666" s="437"/>
      <c r="J666" s="438"/>
      <c r="K666" s="940"/>
      <c r="L666" s="438"/>
      <c r="M666" s="940"/>
      <c r="N666" s="438"/>
      <c r="O666" s="437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ht="14.25" customHeight="1">
      <c r="A667" s="1"/>
      <c r="B667" s="1"/>
      <c r="C667" s="1"/>
      <c r="D667" s="39"/>
      <c r="E667" s="39"/>
      <c r="F667" s="438"/>
      <c r="G667" s="437"/>
      <c r="H667" s="438"/>
      <c r="I667" s="437"/>
      <c r="J667" s="438"/>
      <c r="K667" s="940"/>
      <c r="L667" s="438"/>
      <c r="M667" s="940"/>
      <c r="N667" s="438"/>
      <c r="O667" s="43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ht="14.25" customHeight="1">
      <c r="A668" s="1"/>
      <c r="B668" s="1"/>
      <c r="C668" s="1"/>
      <c r="D668" s="39"/>
      <c r="E668" s="39"/>
      <c r="F668" s="438"/>
      <c r="G668" s="437"/>
      <c r="H668" s="438"/>
      <c r="I668" s="437"/>
      <c r="J668" s="438"/>
      <c r="K668" s="940"/>
      <c r="L668" s="438"/>
      <c r="M668" s="940"/>
      <c r="N668" s="438"/>
      <c r="O668" s="437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ht="14.25" customHeight="1">
      <c r="A669" s="1"/>
      <c r="B669" s="1"/>
      <c r="C669" s="1"/>
      <c r="D669" s="39"/>
      <c r="E669" s="39"/>
      <c r="F669" s="438"/>
      <c r="G669" s="437"/>
      <c r="H669" s="438"/>
      <c r="I669" s="437"/>
      <c r="J669" s="438"/>
      <c r="K669" s="940"/>
      <c r="L669" s="438"/>
      <c r="M669" s="940"/>
      <c r="N669" s="438"/>
      <c r="O669" s="437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ht="14.25" customHeight="1">
      <c r="A670" s="1"/>
      <c r="B670" s="1"/>
      <c r="C670" s="1"/>
      <c r="D670" s="39"/>
      <c r="E670" s="39"/>
      <c r="F670" s="438"/>
      <c r="G670" s="437"/>
      <c r="H670" s="438"/>
      <c r="I670" s="437"/>
      <c r="J670" s="438"/>
      <c r="K670" s="940"/>
      <c r="L670" s="438"/>
      <c r="M670" s="940"/>
      <c r="N670" s="438"/>
      <c r="O670" s="437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ht="14.25" customHeight="1">
      <c r="A671" s="1"/>
      <c r="B671" s="1"/>
      <c r="C671" s="1"/>
      <c r="D671" s="39"/>
      <c r="E671" s="39"/>
      <c r="F671" s="438"/>
      <c r="G671" s="437"/>
      <c r="H671" s="438"/>
      <c r="I671" s="437"/>
      <c r="J671" s="438"/>
      <c r="K671" s="940"/>
      <c r="L671" s="438"/>
      <c r="M671" s="940"/>
      <c r="N671" s="438"/>
      <c r="O671" s="437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ht="14.25" customHeight="1">
      <c r="A672" s="1"/>
      <c r="B672" s="1"/>
      <c r="C672" s="1"/>
      <c r="D672" s="39"/>
      <c r="E672" s="39"/>
      <c r="F672" s="438"/>
      <c r="G672" s="437"/>
      <c r="H672" s="438"/>
      <c r="I672" s="437"/>
      <c r="J672" s="438"/>
      <c r="K672" s="940"/>
      <c r="L672" s="438"/>
      <c r="M672" s="940"/>
      <c r="N672" s="438"/>
      <c r="O672" s="437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ht="14.25" customHeight="1">
      <c r="A673" s="1"/>
      <c r="B673" s="1"/>
      <c r="C673" s="1"/>
      <c r="D673" s="39"/>
      <c r="E673" s="39"/>
      <c r="F673" s="438"/>
      <c r="G673" s="437"/>
      <c r="H673" s="438"/>
      <c r="I673" s="437"/>
      <c r="J673" s="438"/>
      <c r="K673" s="940"/>
      <c r="L673" s="438"/>
      <c r="M673" s="940"/>
      <c r="N673" s="438"/>
      <c r="O673" s="437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ht="14.25" customHeight="1">
      <c r="A674" s="1"/>
      <c r="B674" s="1"/>
      <c r="C674" s="1"/>
      <c r="D674" s="39"/>
      <c r="E674" s="39"/>
      <c r="F674" s="438"/>
      <c r="G674" s="437"/>
      <c r="H674" s="438"/>
      <c r="I674" s="437"/>
      <c r="J674" s="438"/>
      <c r="K674" s="940"/>
      <c r="L674" s="438"/>
      <c r="M674" s="940"/>
      <c r="N674" s="438"/>
      <c r="O674" s="437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ht="14.25" customHeight="1">
      <c r="A675" s="1"/>
      <c r="B675" s="1"/>
      <c r="C675" s="1"/>
      <c r="D675" s="39"/>
      <c r="E675" s="39"/>
      <c r="F675" s="438"/>
      <c r="G675" s="437"/>
      <c r="H675" s="438"/>
      <c r="I675" s="437"/>
      <c r="J675" s="438"/>
      <c r="K675" s="940"/>
      <c r="L675" s="438"/>
      <c r="M675" s="940"/>
      <c r="N675" s="438"/>
      <c r="O675" s="437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ht="14.25" customHeight="1">
      <c r="A676" s="1"/>
      <c r="B676" s="1"/>
      <c r="C676" s="1"/>
      <c r="D676" s="39"/>
      <c r="E676" s="39"/>
      <c r="F676" s="438"/>
      <c r="G676" s="437"/>
      <c r="H676" s="438"/>
      <c r="I676" s="437"/>
      <c r="J676" s="438"/>
      <c r="K676" s="940"/>
      <c r="L676" s="438"/>
      <c r="M676" s="940"/>
      <c r="N676" s="438"/>
      <c r="O676" s="437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ht="14.25" customHeight="1">
      <c r="A677" s="1"/>
      <c r="B677" s="1"/>
      <c r="C677" s="1"/>
      <c r="D677" s="39"/>
      <c r="E677" s="39"/>
      <c r="F677" s="438"/>
      <c r="G677" s="437"/>
      <c r="H677" s="438"/>
      <c r="I677" s="437"/>
      <c r="J677" s="438"/>
      <c r="K677" s="940"/>
      <c r="L677" s="438"/>
      <c r="M677" s="940"/>
      <c r="N677" s="438"/>
      <c r="O677" s="43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ht="14.25" customHeight="1">
      <c r="A678" s="1"/>
      <c r="B678" s="1"/>
      <c r="C678" s="1"/>
      <c r="D678" s="39"/>
      <c r="E678" s="39"/>
      <c r="F678" s="438"/>
      <c r="G678" s="437"/>
      <c r="H678" s="438"/>
      <c r="I678" s="437"/>
      <c r="J678" s="438"/>
      <c r="K678" s="940"/>
      <c r="L678" s="438"/>
      <c r="M678" s="940"/>
      <c r="N678" s="438"/>
      <c r="O678" s="437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ht="14.25" customHeight="1">
      <c r="A679" s="1"/>
      <c r="B679" s="1"/>
      <c r="C679" s="1"/>
      <c r="D679" s="39"/>
      <c r="E679" s="39"/>
      <c r="F679" s="438"/>
      <c r="G679" s="437"/>
      <c r="H679" s="438"/>
      <c r="I679" s="437"/>
      <c r="J679" s="438"/>
      <c r="K679" s="940"/>
      <c r="L679" s="438"/>
      <c r="M679" s="940"/>
      <c r="N679" s="438"/>
      <c r="O679" s="437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ht="14.25" customHeight="1">
      <c r="A680" s="1"/>
      <c r="B680" s="1"/>
      <c r="C680" s="1"/>
      <c r="D680" s="39"/>
      <c r="E680" s="39"/>
      <c r="F680" s="438"/>
      <c r="G680" s="437"/>
      <c r="H680" s="438"/>
      <c r="I680" s="437"/>
      <c r="J680" s="438"/>
      <c r="K680" s="940"/>
      <c r="L680" s="438"/>
      <c r="M680" s="940"/>
      <c r="N680" s="438"/>
      <c r="O680" s="437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ht="14.25" customHeight="1">
      <c r="A681" s="1"/>
      <c r="B681" s="1"/>
      <c r="C681" s="1"/>
      <c r="D681" s="39"/>
      <c r="E681" s="39"/>
      <c r="F681" s="438"/>
      <c r="G681" s="437"/>
      <c r="H681" s="438"/>
      <c r="I681" s="437"/>
      <c r="J681" s="438"/>
      <c r="K681" s="940"/>
      <c r="L681" s="438"/>
      <c r="M681" s="940"/>
      <c r="N681" s="438"/>
      <c r="O681" s="437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ht="14.25" customHeight="1">
      <c r="A682" s="1"/>
      <c r="B682" s="1"/>
      <c r="C682" s="1"/>
      <c r="D682" s="39"/>
      <c r="E682" s="39"/>
      <c r="F682" s="438"/>
      <c r="G682" s="437"/>
      <c r="H682" s="438"/>
      <c r="I682" s="437"/>
      <c r="J682" s="438"/>
      <c r="K682" s="940"/>
      <c r="L682" s="438"/>
      <c r="M682" s="940"/>
      <c r="N682" s="438"/>
      <c r="O682" s="437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ht="14.25" customHeight="1">
      <c r="A683" s="1"/>
      <c r="B683" s="1"/>
      <c r="C683" s="1"/>
      <c r="D683" s="39"/>
      <c r="E683" s="39"/>
      <c r="F683" s="438"/>
      <c r="G683" s="437"/>
      <c r="H683" s="438"/>
      <c r="I683" s="437"/>
      <c r="J683" s="438"/>
      <c r="K683" s="940"/>
      <c r="L683" s="438"/>
      <c r="M683" s="940"/>
      <c r="N683" s="438"/>
      <c r="O683" s="437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ht="14.25" customHeight="1">
      <c r="A684" s="1"/>
      <c r="B684" s="1"/>
      <c r="C684" s="1"/>
      <c r="D684" s="39"/>
      <c r="E684" s="39"/>
      <c r="F684" s="438"/>
      <c r="G684" s="437"/>
      <c r="H684" s="438"/>
      <c r="I684" s="437"/>
      <c r="J684" s="438"/>
      <c r="K684" s="940"/>
      <c r="L684" s="438"/>
      <c r="M684" s="940"/>
      <c r="N684" s="438"/>
      <c r="O684" s="437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ht="14.25" customHeight="1">
      <c r="A685" s="1"/>
      <c r="B685" s="1"/>
      <c r="C685" s="1"/>
      <c r="D685" s="39"/>
      <c r="E685" s="39"/>
      <c r="F685" s="438"/>
      <c r="G685" s="437"/>
      <c r="H685" s="438"/>
      <c r="I685" s="437"/>
      <c r="J685" s="438"/>
      <c r="K685" s="940"/>
      <c r="L685" s="438"/>
      <c r="M685" s="940"/>
      <c r="N685" s="438"/>
      <c r="O685" s="437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ht="14.25" customHeight="1">
      <c r="A686" s="1"/>
      <c r="B686" s="1"/>
      <c r="C686" s="1"/>
      <c r="D686" s="39"/>
      <c r="E686" s="39"/>
      <c r="F686" s="438"/>
      <c r="G686" s="437"/>
      <c r="H686" s="438"/>
      <c r="I686" s="437"/>
      <c r="J686" s="438"/>
      <c r="K686" s="940"/>
      <c r="L686" s="438"/>
      <c r="M686" s="940"/>
      <c r="N686" s="438"/>
      <c r="O686" s="437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ht="14.25" customHeight="1">
      <c r="A687" s="1"/>
      <c r="B687" s="1"/>
      <c r="C687" s="1"/>
      <c r="D687" s="39"/>
      <c r="E687" s="39"/>
      <c r="F687" s="438"/>
      <c r="G687" s="437"/>
      <c r="H687" s="438"/>
      <c r="I687" s="437"/>
      <c r="J687" s="438"/>
      <c r="K687" s="940"/>
      <c r="L687" s="438"/>
      <c r="M687" s="940"/>
      <c r="N687" s="438"/>
      <c r="O687" s="43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ht="14.25" customHeight="1">
      <c r="A688" s="1"/>
      <c r="B688" s="1"/>
      <c r="C688" s="1"/>
      <c r="D688" s="39"/>
      <c r="E688" s="39"/>
      <c r="F688" s="438"/>
      <c r="G688" s="437"/>
      <c r="H688" s="438"/>
      <c r="I688" s="437"/>
      <c r="J688" s="438"/>
      <c r="K688" s="940"/>
      <c r="L688" s="438"/>
      <c r="M688" s="940"/>
      <c r="N688" s="438"/>
      <c r="O688" s="437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ht="14.25" customHeight="1">
      <c r="A689" s="1"/>
      <c r="B689" s="1"/>
      <c r="C689" s="1"/>
      <c r="D689" s="39"/>
      <c r="E689" s="39"/>
      <c r="F689" s="438"/>
      <c r="G689" s="437"/>
      <c r="H689" s="438"/>
      <c r="I689" s="437"/>
      <c r="J689" s="438"/>
      <c r="K689" s="940"/>
      <c r="L689" s="438"/>
      <c r="M689" s="940"/>
      <c r="N689" s="438"/>
      <c r="O689" s="437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ht="14.25" customHeight="1">
      <c r="A690" s="1"/>
      <c r="B690" s="1"/>
      <c r="C690" s="1"/>
      <c r="D690" s="39"/>
      <c r="E690" s="39"/>
      <c r="F690" s="438"/>
      <c r="G690" s="437"/>
      <c r="H690" s="438"/>
      <c r="I690" s="437"/>
      <c r="J690" s="438"/>
      <c r="K690" s="940"/>
      <c r="L690" s="438"/>
      <c r="M690" s="940"/>
      <c r="N690" s="438"/>
      <c r="O690" s="437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ht="14.25" customHeight="1">
      <c r="A691" s="1"/>
      <c r="B691" s="1"/>
      <c r="C691" s="1"/>
      <c r="D691" s="39"/>
      <c r="E691" s="39"/>
      <c r="F691" s="438"/>
      <c r="G691" s="437"/>
      <c r="H691" s="438"/>
      <c r="I691" s="437"/>
      <c r="J691" s="438"/>
      <c r="K691" s="940"/>
      <c r="L691" s="438"/>
      <c r="M691" s="940"/>
      <c r="N691" s="438"/>
      <c r="O691" s="437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ht="14.25" customHeight="1">
      <c r="A692" s="1"/>
      <c r="B692" s="1"/>
      <c r="C692" s="1"/>
      <c r="D692" s="39"/>
      <c r="E692" s="39"/>
      <c r="F692" s="438"/>
      <c r="G692" s="437"/>
      <c r="H692" s="438"/>
      <c r="I692" s="437"/>
      <c r="J692" s="438"/>
      <c r="K692" s="940"/>
      <c r="L692" s="438"/>
      <c r="M692" s="940"/>
      <c r="N692" s="438"/>
      <c r="O692" s="437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ht="14.25" customHeight="1">
      <c r="A693" s="1"/>
      <c r="B693" s="1"/>
      <c r="C693" s="1"/>
      <c r="D693" s="39"/>
      <c r="E693" s="39"/>
      <c r="F693" s="438"/>
      <c r="G693" s="437"/>
      <c r="H693" s="438"/>
      <c r="I693" s="437"/>
      <c r="J693" s="438"/>
      <c r="K693" s="940"/>
      <c r="L693" s="438"/>
      <c r="M693" s="940"/>
      <c r="N693" s="438"/>
      <c r="O693" s="437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ht="14.25" customHeight="1">
      <c r="A694" s="1"/>
      <c r="B694" s="1"/>
      <c r="C694" s="1"/>
      <c r="D694" s="39"/>
      <c r="E694" s="39"/>
      <c r="F694" s="438"/>
      <c r="G694" s="437"/>
      <c r="H694" s="438"/>
      <c r="I694" s="437"/>
      <c r="J694" s="438"/>
      <c r="K694" s="940"/>
      <c r="L694" s="438"/>
      <c r="M694" s="940"/>
      <c r="N694" s="438"/>
      <c r="O694" s="437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ht="14.25" customHeight="1">
      <c r="A695" s="1"/>
      <c r="B695" s="1"/>
      <c r="C695" s="1"/>
      <c r="D695" s="39"/>
      <c r="E695" s="39"/>
      <c r="F695" s="438"/>
      <c r="G695" s="437"/>
      <c r="H695" s="438"/>
      <c r="I695" s="437"/>
      <c r="J695" s="438"/>
      <c r="K695" s="940"/>
      <c r="L695" s="438"/>
      <c r="M695" s="940"/>
      <c r="N695" s="438"/>
      <c r="O695" s="437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ht="14.25" customHeight="1">
      <c r="A696" s="1"/>
      <c r="B696" s="1"/>
      <c r="C696" s="1"/>
      <c r="D696" s="39"/>
      <c r="E696" s="39"/>
      <c r="F696" s="438"/>
      <c r="G696" s="437"/>
      <c r="H696" s="438"/>
      <c r="I696" s="437"/>
      <c r="J696" s="438"/>
      <c r="K696" s="940"/>
      <c r="L696" s="438"/>
      <c r="M696" s="940"/>
      <c r="N696" s="438"/>
      <c r="O696" s="437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ht="14.25" customHeight="1">
      <c r="A697" s="1"/>
      <c r="B697" s="1"/>
      <c r="C697" s="1"/>
      <c r="D697" s="39"/>
      <c r="E697" s="39"/>
      <c r="F697" s="438"/>
      <c r="G697" s="437"/>
      <c r="H697" s="438"/>
      <c r="I697" s="437"/>
      <c r="J697" s="438"/>
      <c r="K697" s="940"/>
      <c r="L697" s="438"/>
      <c r="M697" s="940"/>
      <c r="N697" s="438"/>
      <c r="O697" s="43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ht="14.25" customHeight="1">
      <c r="A698" s="1"/>
      <c r="B698" s="1"/>
      <c r="C698" s="1"/>
      <c r="D698" s="39"/>
      <c r="E698" s="39"/>
      <c r="F698" s="438"/>
      <c r="G698" s="437"/>
      <c r="H698" s="438"/>
      <c r="I698" s="437"/>
      <c r="J698" s="438"/>
      <c r="K698" s="940"/>
      <c r="L698" s="438"/>
      <c r="M698" s="940"/>
      <c r="N698" s="438"/>
      <c r="O698" s="437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ht="14.25" customHeight="1">
      <c r="A699" s="1"/>
      <c r="B699" s="1"/>
      <c r="C699" s="1"/>
      <c r="D699" s="39"/>
      <c r="E699" s="39"/>
      <c r="F699" s="438"/>
      <c r="G699" s="437"/>
      <c r="H699" s="438"/>
      <c r="I699" s="437"/>
      <c r="J699" s="438"/>
      <c r="K699" s="940"/>
      <c r="L699" s="438"/>
      <c r="M699" s="940"/>
      <c r="N699" s="438"/>
      <c r="O699" s="437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ht="14.25" customHeight="1">
      <c r="A700" s="1"/>
      <c r="B700" s="1"/>
      <c r="C700" s="1"/>
      <c r="D700" s="39"/>
      <c r="E700" s="39"/>
      <c r="F700" s="438"/>
      <c r="G700" s="437"/>
      <c r="H700" s="438"/>
      <c r="I700" s="437"/>
      <c r="J700" s="438"/>
      <c r="K700" s="940"/>
      <c r="L700" s="438"/>
      <c r="M700" s="940"/>
      <c r="N700" s="438"/>
      <c r="O700" s="437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ht="14.25" customHeight="1">
      <c r="A701" s="1"/>
      <c r="B701" s="1"/>
      <c r="C701" s="1"/>
      <c r="D701" s="39"/>
      <c r="E701" s="39"/>
      <c r="F701" s="438"/>
      <c r="G701" s="437"/>
      <c r="H701" s="438"/>
      <c r="I701" s="437"/>
      <c r="J701" s="438"/>
      <c r="K701" s="940"/>
      <c r="L701" s="438"/>
      <c r="M701" s="940"/>
      <c r="N701" s="438"/>
      <c r="O701" s="437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ht="14.25" customHeight="1">
      <c r="A702" s="1"/>
      <c r="B702" s="1"/>
      <c r="C702" s="1"/>
      <c r="D702" s="39"/>
      <c r="E702" s="39"/>
      <c r="F702" s="438"/>
      <c r="G702" s="437"/>
      <c r="H702" s="438"/>
      <c r="I702" s="437"/>
      <c r="J702" s="438"/>
      <c r="K702" s="940"/>
      <c r="L702" s="438"/>
      <c r="M702" s="940"/>
      <c r="N702" s="438"/>
      <c r="O702" s="437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ht="14.25" customHeight="1">
      <c r="A703" s="1"/>
      <c r="B703" s="1"/>
      <c r="C703" s="1"/>
      <c r="D703" s="39"/>
      <c r="E703" s="39"/>
      <c r="F703" s="438"/>
      <c r="G703" s="437"/>
      <c r="H703" s="438"/>
      <c r="I703" s="437"/>
      <c r="J703" s="438"/>
      <c r="K703" s="940"/>
      <c r="L703" s="438"/>
      <c r="M703" s="940"/>
      <c r="N703" s="438"/>
      <c r="O703" s="437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ht="14.25" customHeight="1">
      <c r="A704" s="1"/>
      <c r="B704" s="1"/>
      <c r="C704" s="1"/>
      <c r="D704" s="39"/>
      <c r="E704" s="39"/>
      <c r="F704" s="438"/>
      <c r="G704" s="437"/>
      <c r="H704" s="438"/>
      <c r="I704" s="437"/>
      <c r="J704" s="438"/>
      <c r="K704" s="940"/>
      <c r="L704" s="438"/>
      <c r="M704" s="940"/>
      <c r="N704" s="438"/>
      <c r="O704" s="437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ht="14.25" customHeight="1">
      <c r="A705" s="1"/>
      <c r="B705" s="1"/>
      <c r="C705" s="1"/>
      <c r="D705" s="39"/>
      <c r="E705" s="39"/>
      <c r="F705" s="438"/>
      <c r="G705" s="437"/>
      <c r="H705" s="438"/>
      <c r="I705" s="437"/>
      <c r="J705" s="438"/>
      <c r="K705" s="940"/>
      <c r="L705" s="438"/>
      <c r="M705" s="940"/>
      <c r="N705" s="438"/>
      <c r="O705" s="437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ht="14.25" customHeight="1">
      <c r="A706" s="1"/>
      <c r="B706" s="1"/>
      <c r="C706" s="1"/>
      <c r="D706" s="39"/>
      <c r="E706" s="39"/>
      <c r="F706" s="438"/>
      <c r="G706" s="437"/>
      <c r="H706" s="438"/>
      <c r="I706" s="437"/>
      <c r="J706" s="438"/>
      <c r="K706" s="940"/>
      <c r="L706" s="438"/>
      <c r="M706" s="940"/>
      <c r="N706" s="438"/>
      <c r="O706" s="437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ht="14.25" customHeight="1">
      <c r="A707" s="1"/>
      <c r="B707" s="1"/>
      <c r="C707" s="1"/>
      <c r="D707" s="39"/>
      <c r="E707" s="39"/>
      <c r="F707" s="438"/>
      <c r="G707" s="437"/>
      <c r="H707" s="438"/>
      <c r="I707" s="437"/>
      <c r="J707" s="438"/>
      <c r="K707" s="940"/>
      <c r="L707" s="438"/>
      <c r="M707" s="940"/>
      <c r="N707" s="438"/>
      <c r="O707" s="43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ht="14.25" customHeight="1">
      <c r="A708" s="1"/>
      <c r="B708" s="1"/>
      <c r="C708" s="1"/>
      <c r="D708" s="39"/>
      <c r="E708" s="39"/>
      <c r="F708" s="438"/>
      <c r="G708" s="437"/>
      <c r="H708" s="438"/>
      <c r="I708" s="437"/>
      <c r="J708" s="438"/>
      <c r="K708" s="940"/>
      <c r="L708" s="438"/>
      <c r="M708" s="940"/>
      <c r="N708" s="438"/>
      <c r="O708" s="437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ht="14.25" customHeight="1">
      <c r="A709" s="1"/>
      <c r="B709" s="1"/>
      <c r="C709" s="1"/>
      <c r="D709" s="39"/>
      <c r="E709" s="39"/>
      <c r="F709" s="438"/>
      <c r="G709" s="437"/>
      <c r="H709" s="438"/>
      <c r="I709" s="437"/>
      <c r="J709" s="438"/>
      <c r="K709" s="940"/>
      <c r="L709" s="438"/>
      <c r="M709" s="940"/>
      <c r="N709" s="438"/>
      <c r="O709" s="437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ht="14.25" customHeight="1">
      <c r="A710" s="1"/>
      <c r="B710" s="1"/>
      <c r="C710" s="1"/>
      <c r="D710" s="39"/>
      <c r="E710" s="39"/>
      <c r="F710" s="438"/>
      <c r="G710" s="437"/>
      <c r="H710" s="438"/>
      <c r="I710" s="437"/>
      <c r="J710" s="438"/>
      <c r="K710" s="940"/>
      <c r="L710" s="438"/>
      <c r="M710" s="940"/>
      <c r="N710" s="438"/>
      <c r="O710" s="437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ht="14.25" customHeight="1">
      <c r="A711" s="1"/>
      <c r="B711" s="1"/>
      <c r="C711" s="1"/>
      <c r="D711" s="39"/>
      <c r="E711" s="39"/>
      <c r="F711" s="438"/>
      <c r="G711" s="437"/>
      <c r="H711" s="438"/>
      <c r="I711" s="437"/>
      <c r="J711" s="438"/>
      <c r="K711" s="940"/>
      <c r="L711" s="438"/>
      <c r="M711" s="940"/>
      <c r="N711" s="438"/>
      <c r="O711" s="437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ht="14.25" customHeight="1">
      <c r="A712" s="1"/>
      <c r="B712" s="1"/>
      <c r="C712" s="1"/>
      <c r="D712" s="39"/>
      <c r="E712" s="39"/>
      <c r="F712" s="438"/>
      <c r="G712" s="437"/>
      <c r="H712" s="438"/>
      <c r="I712" s="437"/>
      <c r="J712" s="438"/>
      <c r="K712" s="940"/>
      <c r="L712" s="438"/>
      <c r="M712" s="940"/>
      <c r="N712" s="438"/>
      <c r="O712" s="437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ht="14.25" customHeight="1">
      <c r="A713" s="1"/>
      <c r="B713" s="1"/>
      <c r="C713" s="1"/>
      <c r="D713" s="39"/>
      <c r="E713" s="39"/>
      <c r="F713" s="438"/>
      <c r="G713" s="437"/>
      <c r="H713" s="438"/>
      <c r="I713" s="437"/>
      <c r="J713" s="438"/>
      <c r="K713" s="940"/>
      <c r="L713" s="438"/>
      <c r="M713" s="940"/>
      <c r="N713" s="438"/>
      <c r="O713" s="437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ht="14.25" customHeight="1">
      <c r="A714" s="1"/>
      <c r="B714" s="1"/>
      <c r="C714" s="1"/>
      <c r="D714" s="39"/>
      <c r="E714" s="39"/>
      <c r="F714" s="438"/>
      <c r="G714" s="437"/>
      <c r="H714" s="438"/>
      <c r="I714" s="437"/>
      <c r="J714" s="438"/>
      <c r="K714" s="940"/>
      <c r="L714" s="438"/>
      <c r="M714" s="940"/>
      <c r="N714" s="438"/>
      <c r="O714" s="437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ht="14.25" customHeight="1">
      <c r="A715" s="1"/>
      <c r="B715" s="1"/>
      <c r="C715" s="1"/>
      <c r="D715" s="39"/>
      <c r="E715" s="39"/>
      <c r="F715" s="438"/>
      <c r="G715" s="437"/>
      <c r="H715" s="438"/>
      <c r="I715" s="437"/>
      <c r="J715" s="438"/>
      <c r="K715" s="940"/>
      <c r="L715" s="438"/>
      <c r="M715" s="940"/>
      <c r="N715" s="438"/>
      <c r="O715" s="437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ht="14.25" customHeight="1">
      <c r="A716" s="1"/>
      <c r="B716" s="1"/>
      <c r="C716" s="1"/>
      <c r="D716" s="39"/>
      <c r="E716" s="39"/>
      <c r="F716" s="438"/>
      <c r="G716" s="437"/>
      <c r="H716" s="438"/>
      <c r="I716" s="437"/>
      <c r="J716" s="438"/>
      <c r="K716" s="940"/>
      <c r="L716" s="438"/>
      <c r="M716" s="940"/>
      <c r="N716" s="438"/>
      <c r="O716" s="437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ht="14.25" customHeight="1">
      <c r="A717" s="1"/>
      <c r="B717" s="1"/>
      <c r="C717" s="1"/>
      <c r="D717" s="39"/>
      <c r="E717" s="39"/>
      <c r="F717" s="438"/>
      <c r="G717" s="437"/>
      <c r="H717" s="438"/>
      <c r="I717" s="437"/>
      <c r="J717" s="438"/>
      <c r="K717" s="940"/>
      <c r="L717" s="438"/>
      <c r="M717" s="940"/>
      <c r="N717" s="438"/>
      <c r="O717" s="43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ht="14.25" customHeight="1">
      <c r="A718" s="1"/>
      <c r="B718" s="1"/>
      <c r="C718" s="1"/>
      <c r="D718" s="39"/>
      <c r="E718" s="39"/>
      <c r="F718" s="438"/>
      <c r="G718" s="437"/>
      <c r="H718" s="438"/>
      <c r="I718" s="437"/>
      <c r="J718" s="438"/>
      <c r="K718" s="940"/>
      <c r="L718" s="438"/>
      <c r="M718" s="940"/>
      <c r="N718" s="438"/>
      <c r="O718" s="437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ht="14.25" customHeight="1">
      <c r="A719" s="1"/>
      <c r="B719" s="1"/>
      <c r="C719" s="1"/>
      <c r="D719" s="39"/>
      <c r="E719" s="39"/>
      <c r="F719" s="438"/>
      <c r="G719" s="437"/>
      <c r="H719" s="438"/>
      <c r="I719" s="437"/>
      <c r="J719" s="438"/>
      <c r="K719" s="940"/>
      <c r="L719" s="438"/>
      <c r="M719" s="940"/>
      <c r="N719" s="438"/>
      <c r="O719" s="437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ht="14.25" customHeight="1">
      <c r="A720" s="1"/>
      <c r="B720" s="1"/>
      <c r="C720" s="1"/>
      <c r="D720" s="39"/>
      <c r="E720" s="39"/>
      <c r="F720" s="438"/>
      <c r="G720" s="437"/>
      <c r="H720" s="438"/>
      <c r="I720" s="437"/>
      <c r="J720" s="438"/>
      <c r="K720" s="940"/>
      <c r="L720" s="438"/>
      <c r="M720" s="940"/>
      <c r="N720" s="438"/>
      <c r="O720" s="437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ht="14.25" customHeight="1">
      <c r="A721" s="1"/>
      <c r="B721" s="1"/>
      <c r="C721" s="1"/>
      <c r="D721" s="39"/>
      <c r="E721" s="39"/>
      <c r="F721" s="438"/>
      <c r="G721" s="437"/>
      <c r="H721" s="438"/>
      <c r="I721" s="437"/>
      <c r="J721" s="438"/>
      <c r="K721" s="940"/>
      <c r="L721" s="438"/>
      <c r="M721" s="940"/>
      <c r="N721" s="438"/>
      <c r="O721" s="437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ht="14.25" customHeight="1">
      <c r="A722" s="1"/>
      <c r="B722" s="1"/>
      <c r="C722" s="1"/>
      <c r="D722" s="39"/>
      <c r="E722" s="39"/>
      <c r="F722" s="438"/>
      <c r="G722" s="437"/>
      <c r="H722" s="438"/>
      <c r="I722" s="437"/>
      <c r="J722" s="438"/>
      <c r="K722" s="940"/>
      <c r="L722" s="438"/>
      <c r="M722" s="940"/>
      <c r="N722" s="438"/>
      <c r="O722" s="437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ht="14.25" customHeight="1">
      <c r="A723" s="1"/>
      <c r="B723" s="1"/>
      <c r="C723" s="1"/>
      <c r="D723" s="39"/>
      <c r="E723" s="39"/>
      <c r="F723" s="438"/>
      <c r="G723" s="437"/>
      <c r="H723" s="438"/>
      <c r="I723" s="437"/>
      <c r="J723" s="438"/>
      <c r="K723" s="940"/>
      <c r="L723" s="438"/>
      <c r="M723" s="940"/>
      <c r="N723" s="438"/>
      <c r="O723" s="437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ht="14.25" customHeight="1">
      <c r="A724" s="1"/>
      <c r="B724" s="1"/>
      <c r="C724" s="1"/>
      <c r="D724" s="39"/>
      <c r="E724" s="39"/>
      <c r="F724" s="438"/>
      <c r="G724" s="437"/>
      <c r="H724" s="438"/>
      <c r="I724" s="437"/>
      <c r="J724" s="438"/>
      <c r="K724" s="940"/>
      <c r="L724" s="438"/>
      <c r="M724" s="940"/>
      <c r="N724" s="438"/>
      <c r="O724" s="437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ht="14.25" customHeight="1">
      <c r="A725" s="1"/>
      <c r="B725" s="1"/>
      <c r="C725" s="1"/>
      <c r="D725" s="39"/>
      <c r="E725" s="39"/>
      <c r="F725" s="438"/>
      <c r="G725" s="437"/>
      <c r="H725" s="438"/>
      <c r="I725" s="437"/>
      <c r="J725" s="438"/>
      <c r="K725" s="940"/>
      <c r="L725" s="438"/>
      <c r="M725" s="940"/>
      <c r="N725" s="438"/>
      <c r="O725" s="437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ht="14.25" customHeight="1">
      <c r="A726" s="1"/>
      <c r="B726" s="1"/>
      <c r="C726" s="1"/>
      <c r="D726" s="39"/>
      <c r="E726" s="39"/>
      <c r="F726" s="438"/>
      <c r="G726" s="437"/>
      <c r="H726" s="438"/>
      <c r="I726" s="437"/>
      <c r="J726" s="438"/>
      <c r="K726" s="940"/>
      <c r="L726" s="438"/>
      <c r="M726" s="940"/>
      <c r="N726" s="438"/>
      <c r="O726" s="437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ht="14.25" customHeight="1">
      <c r="A727" s="1"/>
      <c r="B727" s="1"/>
      <c r="C727" s="1"/>
      <c r="D727" s="39"/>
      <c r="E727" s="39"/>
      <c r="F727" s="438"/>
      <c r="G727" s="437"/>
      <c r="H727" s="438"/>
      <c r="I727" s="437"/>
      <c r="J727" s="438"/>
      <c r="K727" s="940"/>
      <c r="L727" s="438"/>
      <c r="M727" s="940"/>
      <c r="N727" s="438"/>
      <c r="O727" s="43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ht="14.25" customHeight="1">
      <c r="A728" s="1"/>
      <c r="B728" s="1"/>
      <c r="C728" s="1"/>
      <c r="D728" s="39"/>
      <c r="E728" s="39"/>
      <c r="F728" s="438"/>
      <c r="G728" s="437"/>
      <c r="H728" s="438"/>
      <c r="I728" s="437"/>
      <c r="J728" s="438"/>
      <c r="K728" s="940"/>
      <c r="L728" s="438"/>
      <c r="M728" s="940"/>
      <c r="N728" s="438"/>
      <c r="O728" s="437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ht="14.25" customHeight="1">
      <c r="A729" s="1"/>
      <c r="B729" s="1"/>
      <c r="C729" s="1"/>
      <c r="D729" s="39"/>
      <c r="E729" s="39"/>
      <c r="F729" s="438"/>
      <c r="G729" s="437"/>
      <c r="H729" s="438"/>
      <c r="I729" s="437"/>
      <c r="J729" s="438"/>
      <c r="K729" s="940"/>
      <c r="L729" s="438"/>
      <c r="M729" s="940"/>
      <c r="N729" s="438"/>
      <c r="O729" s="437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ht="14.25" customHeight="1">
      <c r="A730" s="1"/>
      <c r="B730" s="1"/>
      <c r="C730" s="1"/>
      <c r="D730" s="39"/>
      <c r="E730" s="39"/>
      <c r="F730" s="438"/>
      <c r="G730" s="437"/>
      <c r="H730" s="438"/>
      <c r="I730" s="437"/>
      <c r="J730" s="438"/>
      <c r="K730" s="940"/>
      <c r="L730" s="438"/>
      <c r="M730" s="940"/>
      <c r="N730" s="438"/>
      <c r="O730" s="437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ht="14.25" customHeight="1">
      <c r="A731" s="1"/>
      <c r="B731" s="1"/>
      <c r="C731" s="1"/>
      <c r="D731" s="39"/>
      <c r="E731" s="39"/>
      <c r="F731" s="438"/>
      <c r="G731" s="437"/>
      <c r="H731" s="438"/>
      <c r="I731" s="437"/>
      <c r="J731" s="438"/>
      <c r="K731" s="940"/>
      <c r="L731" s="438"/>
      <c r="M731" s="940"/>
      <c r="N731" s="438"/>
      <c r="O731" s="437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ht="14.25" customHeight="1">
      <c r="A732" s="1"/>
      <c r="B732" s="1"/>
      <c r="C732" s="1"/>
      <c r="D732" s="39"/>
      <c r="E732" s="39"/>
      <c r="F732" s="438"/>
      <c r="G732" s="437"/>
      <c r="H732" s="438"/>
      <c r="I732" s="437"/>
      <c r="J732" s="438"/>
      <c r="K732" s="940"/>
      <c r="L732" s="438"/>
      <c r="M732" s="940"/>
      <c r="N732" s="438"/>
      <c r="O732" s="437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ht="14.25" customHeight="1">
      <c r="A733" s="1"/>
      <c r="B733" s="1"/>
      <c r="C733" s="1"/>
      <c r="D733" s="39"/>
      <c r="E733" s="39"/>
      <c r="F733" s="438"/>
      <c r="G733" s="437"/>
      <c r="H733" s="438"/>
      <c r="I733" s="437"/>
      <c r="J733" s="438"/>
      <c r="K733" s="940"/>
      <c r="L733" s="438"/>
      <c r="M733" s="940"/>
      <c r="N733" s="438"/>
      <c r="O733" s="437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ht="14.25" customHeight="1">
      <c r="A734" s="1"/>
      <c r="B734" s="1"/>
      <c r="C734" s="1"/>
      <c r="D734" s="39"/>
      <c r="E734" s="39"/>
      <c r="F734" s="438"/>
      <c r="G734" s="437"/>
      <c r="H734" s="438"/>
      <c r="I734" s="437"/>
      <c r="J734" s="438"/>
      <c r="K734" s="940"/>
      <c r="L734" s="438"/>
      <c r="M734" s="940"/>
      <c r="N734" s="438"/>
      <c r="O734" s="437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ht="14.25" customHeight="1">
      <c r="A735" s="1"/>
      <c r="B735" s="1"/>
      <c r="C735" s="1"/>
      <c r="D735" s="39"/>
      <c r="E735" s="39"/>
      <c r="F735" s="438"/>
      <c r="G735" s="437"/>
      <c r="H735" s="438"/>
      <c r="I735" s="437"/>
      <c r="J735" s="438"/>
      <c r="K735" s="940"/>
      <c r="L735" s="438"/>
      <c r="M735" s="940"/>
      <c r="N735" s="438"/>
      <c r="O735" s="437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ht="14.25" customHeight="1">
      <c r="A736" s="1"/>
      <c r="B736" s="1"/>
      <c r="C736" s="1"/>
      <c r="D736" s="39"/>
      <c r="E736" s="39"/>
      <c r="F736" s="438"/>
      <c r="G736" s="437"/>
      <c r="H736" s="438"/>
      <c r="I736" s="437"/>
      <c r="J736" s="438"/>
      <c r="K736" s="940"/>
      <c r="L736" s="438"/>
      <c r="M736" s="940"/>
      <c r="N736" s="438"/>
      <c r="O736" s="437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ht="14.25" customHeight="1">
      <c r="A737" s="1"/>
      <c r="B737" s="1"/>
      <c r="C737" s="1"/>
      <c r="D737" s="39"/>
      <c r="E737" s="39"/>
      <c r="F737" s="438"/>
      <c r="G737" s="437"/>
      <c r="H737" s="438"/>
      <c r="I737" s="437"/>
      <c r="J737" s="438"/>
      <c r="K737" s="940"/>
      <c r="L737" s="438"/>
      <c r="M737" s="940"/>
      <c r="N737" s="438"/>
      <c r="O737" s="4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ht="14.25" customHeight="1">
      <c r="A738" s="1"/>
      <c r="B738" s="1"/>
      <c r="C738" s="1"/>
      <c r="D738" s="39"/>
      <c r="E738" s="39"/>
      <c r="F738" s="438"/>
      <c r="G738" s="437"/>
      <c r="H738" s="438"/>
      <c r="I738" s="437"/>
      <c r="J738" s="438"/>
      <c r="K738" s="940"/>
      <c r="L738" s="438"/>
      <c r="M738" s="940"/>
      <c r="N738" s="438"/>
      <c r="O738" s="437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ht="14.25" customHeight="1">
      <c r="A739" s="1"/>
      <c r="B739" s="1"/>
      <c r="C739" s="1"/>
      <c r="D739" s="39"/>
      <c r="E739" s="39"/>
      <c r="F739" s="438"/>
      <c r="G739" s="437"/>
      <c r="H739" s="438"/>
      <c r="I739" s="437"/>
      <c r="J739" s="438"/>
      <c r="K739" s="940"/>
      <c r="L739" s="438"/>
      <c r="M739" s="940"/>
      <c r="N739" s="438"/>
      <c r="O739" s="437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ht="14.25" customHeight="1">
      <c r="A740" s="1"/>
      <c r="B740" s="1"/>
      <c r="C740" s="1"/>
      <c r="D740" s="39"/>
      <c r="E740" s="39"/>
      <c r="F740" s="438"/>
      <c r="G740" s="437"/>
      <c r="H740" s="438"/>
      <c r="I740" s="437"/>
      <c r="J740" s="438"/>
      <c r="K740" s="940"/>
      <c r="L740" s="438"/>
      <c r="M740" s="940"/>
      <c r="N740" s="438"/>
      <c r="O740" s="437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ht="14.25" customHeight="1">
      <c r="A741" s="1"/>
      <c r="B741" s="1"/>
      <c r="C741" s="1"/>
      <c r="D741" s="39"/>
      <c r="E741" s="39"/>
      <c r="F741" s="438"/>
      <c r="G741" s="437"/>
      <c r="H741" s="438"/>
      <c r="I741" s="437"/>
      <c r="J741" s="438"/>
      <c r="K741" s="940"/>
      <c r="L741" s="438"/>
      <c r="M741" s="940"/>
      <c r="N741" s="438"/>
      <c r="O741" s="437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ht="14.25" customHeight="1">
      <c r="A742" s="1"/>
      <c r="B742" s="1"/>
      <c r="C742" s="1"/>
      <c r="D742" s="39"/>
      <c r="E742" s="39"/>
      <c r="F742" s="438"/>
      <c r="G742" s="437"/>
      <c r="H742" s="438"/>
      <c r="I742" s="437"/>
      <c r="J742" s="438"/>
      <c r="K742" s="940"/>
      <c r="L742" s="438"/>
      <c r="M742" s="940"/>
      <c r="N742" s="438"/>
      <c r="O742" s="437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ht="14.25" customHeight="1">
      <c r="A743" s="1"/>
      <c r="B743" s="1"/>
      <c r="C743" s="1"/>
      <c r="D743" s="39"/>
      <c r="E743" s="39"/>
      <c r="F743" s="438"/>
      <c r="G743" s="437"/>
      <c r="H743" s="438"/>
      <c r="I743" s="437"/>
      <c r="J743" s="438"/>
      <c r="K743" s="940"/>
      <c r="L743" s="438"/>
      <c r="M743" s="940"/>
      <c r="N743" s="438"/>
      <c r="O743" s="437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ht="14.25" customHeight="1">
      <c r="A744" s="1"/>
      <c r="B744" s="1"/>
      <c r="C744" s="1"/>
      <c r="D744" s="39"/>
      <c r="E744" s="39"/>
      <c r="F744" s="438"/>
      <c r="G744" s="437"/>
      <c r="H744" s="438"/>
      <c r="I744" s="437"/>
      <c r="J744" s="438"/>
      <c r="K744" s="940"/>
      <c r="L744" s="438"/>
      <c r="M744" s="940"/>
      <c r="N744" s="438"/>
      <c r="O744" s="437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ht="14.25" customHeight="1">
      <c r="A745" s="1"/>
      <c r="B745" s="1"/>
      <c r="C745" s="1"/>
      <c r="D745" s="39"/>
      <c r="E745" s="39"/>
      <c r="F745" s="438"/>
      <c r="G745" s="437"/>
      <c r="H745" s="438"/>
      <c r="I745" s="437"/>
      <c r="J745" s="438"/>
      <c r="K745" s="940"/>
      <c r="L745" s="438"/>
      <c r="M745" s="940"/>
      <c r="N745" s="438"/>
      <c r="O745" s="437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ht="14.25" customHeight="1">
      <c r="A746" s="1"/>
      <c r="B746" s="1"/>
      <c r="C746" s="1"/>
      <c r="D746" s="39"/>
      <c r="E746" s="39"/>
      <c r="F746" s="438"/>
      <c r="G746" s="437"/>
      <c r="H746" s="438"/>
      <c r="I746" s="437"/>
      <c r="J746" s="438"/>
      <c r="K746" s="940"/>
      <c r="L746" s="438"/>
      <c r="M746" s="940"/>
      <c r="N746" s="438"/>
      <c r="O746" s="437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ht="14.25" customHeight="1">
      <c r="A747" s="1"/>
      <c r="B747" s="1"/>
      <c r="C747" s="1"/>
      <c r="D747" s="39"/>
      <c r="E747" s="39"/>
      <c r="F747" s="438"/>
      <c r="G747" s="437"/>
      <c r="H747" s="438"/>
      <c r="I747" s="437"/>
      <c r="J747" s="438"/>
      <c r="K747" s="940"/>
      <c r="L747" s="438"/>
      <c r="M747" s="940"/>
      <c r="N747" s="438"/>
      <c r="O747" s="43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ht="14.25" customHeight="1">
      <c r="A748" s="1"/>
      <c r="B748" s="1"/>
      <c r="C748" s="1"/>
      <c r="D748" s="39"/>
      <c r="E748" s="39"/>
      <c r="F748" s="438"/>
      <c r="G748" s="437"/>
      <c r="H748" s="438"/>
      <c r="I748" s="437"/>
      <c r="J748" s="438"/>
      <c r="K748" s="940"/>
      <c r="L748" s="438"/>
      <c r="M748" s="940"/>
      <c r="N748" s="438"/>
      <c r="O748" s="437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ht="14.25" customHeight="1">
      <c r="A749" s="1"/>
      <c r="B749" s="1"/>
      <c r="C749" s="1"/>
      <c r="D749" s="39"/>
      <c r="E749" s="39"/>
      <c r="F749" s="438"/>
      <c r="G749" s="437"/>
      <c r="H749" s="438"/>
      <c r="I749" s="437"/>
      <c r="J749" s="438"/>
      <c r="K749" s="940"/>
      <c r="L749" s="438"/>
      <c r="M749" s="940"/>
      <c r="N749" s="438"/>
      <c r="O749" s="437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ht="14.25" customHeight="1">
      <c r="A750" s="1"/>
      <c r="B750" s="1"/>
      <c r="C750" s="1"/>
      <c r="D750" s="39"/>
      <c r="E750" s="39"/>
      <c r="F750" s="438"/>
      <c r="G750" s="437"/>
      <c r="H750" s="438"/>
      <c r="I750" s="437"/>
      <c r="J750" s="438"/>
      <c r="K750" s="940"/>
      <c r="L750" s="438"/>
      <c r="M750" s="940"/>
      <c r="N750" s="438"/>
      <c r="O750" s="437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ht="14.25" customHeight="1">
      <c r="A751" s="1"/>
      <c r="B751" s="1"/>
      <c r="C751" s="1"/>
      <c r="D751" s="39"/>
      <c r="E751" s="39"/>
      <c r="F751" s="438"/>
      <c r="G751" s="437"/>
      <c r="H751" s="438"/>
      <c r="I751" s="437"/>
      <c r="J751" s="438"/>
      <c r="K751" s="940"/>
      <c r="L751" s="438"/>
      <c r="M751" s="940"/>
      <c r="N751" s="438"/>
      <c r="O751" s="437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ht="14.25" customHeight="1">
      <c r="A752" s="1"/>
      <c r="B752" s="1"/>
      <c r="C752" s="1"/>
      <c r="D752" s="39"/>
      <c r="E752" s="39"/>
      <c r="F752" s="438"/>
      <c r="G752" s="437"/>
      <c r="H752" s="438"/>
      <c r="I752" s="437"/>
      <c r="J752" s="438"/>
      <c r="K752" s="940"/>
      <c r="L752" s="438"/>
      <c r="M752" s="940"/>
      <c r="N752" s="438"/>
      <c r="O752" s="437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ht="14.25" customHeight="1">
      <c r="A753" s="1"/>
      <c r="B753" s="1"/>
      <c r="C753" s="1"/>
      <c r="D753" s="39"/>
      <c r="E753" s="39"/>
      <c r="F753" s="438"/>
      <c r="G753" s="437"/>
      <c r="H753" s="438"/>
      <c r="I753" s="437"/>
      <c r="J753" s="438"/>
      <c r="K753" s="940"/>
      <c r="L753" s="438"/>
      <c r="M753" s="940"/>
      <c r="N753" s="438"/>
      <c r="O753" s="437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ht="14.25" customHeight="1">
      <c r="A754" s="1"/>
      <c r="B754" s="1"/>
      <c r="C754" s="1"/>
      <c r="D754" s="39"/>
      <c r="E754" s="39"/>
      <c r="F754" s="438"/>
      <c r="G754" s="437"/>
      <c r="H754" s="438"/>
      <c r="I754" s="437"/>
      <c r="J754" s="438"/>
      <c r="K754" s="940"/>
      <c r="L754" s="438"/>
      <c r="M754" s="940"/>
      <c r="N754" s="438"/>
      <c r="O754" s="437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ht="14.25" customHeight="1">
      <c r="A755" s="1"/>
      <c r="B755" s="1"/>
      <c r="C755" s="1"/>
      <c r="D755" s="39"/>
      <c r="E755" s="39"/>
      <c r="F755" s="438"/>
      <c r="G755" s="437"/>
      <c r="H755" s="438"/>
      <c r="I755" s="437"/>
      <c r="J755" s="438"/>
      <c r="K755" s="940"/>
      <c r="L755" s="438"/>
      <c r="M755" s="940"/>
      <c r="N755" s="438"/>
      <c r="O755" s="437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ht="14.25" customHeight="1">
      <c r="A756" s="1"/>
      <c r="B756" s="1"/>
      <c r="C756" s="1"/>
      <c r="D756" s="39"/>
      <c r="E756" s="39"/>
      <c r="F756" s="438"/>
      <c r="G756" s="437"/>
      <c r="H756" s="438"/>
      <c r="I756" s="437"/>
      <c r="J756" s="438"/>
      <c r="K756" s="940"/>
      <c r="L756" s="438"/>
      <c r="M756" s="940"/>
      <c r="N756" s="438"/>
      <c r="O756" s="437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ht="14.25" customHeight="1">
      <c r="A757" s="1"/>
      <c r="B757" s="1"/>
      <c r="C757" s="1"/>
      <c r="D757" s="39"/>
      <c r="E757" s="39"/>
      <c r="F757" s="438"/>
      <c r="G757" s="437"/>
      <c r="H757" s="438"/>
      <c r="I757" s="437"/>
      <c r="J757" s="438"/>
      <c r="K757" s="940"/>
      <c r="L757" s="438"/>
      <c r="M757" s="940"/>
      <c r="N757" s="438"/>
      <c r="O757" s="43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ht="14.25" customHeight="1">
      <c r="A758" s="1"/>
      <c r="B758" s="1"/>
      <c r="C758" s="1"/>
      <c r="D758" s="39"/>
      <c r="E758" s="39"/>
      <c r="F758" s="438"/>
      <c r="G758" s="437"/>
      <c r="H758" s="438"/>
      <c r="I758" s="437"/>
      <c r="J758" s="438"/>
      <c r="K758" s="940"/>
      <c r="L758" s="438"/>
      <c r="M758" s="940"/>
      <c r="N758" s="438"/>
      <c r="O758" s="437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ht="14.25" customHeight="1">
      <c r="A759" s="1"/>
      <c r="B759" s="1"/>
      <c r="C759" s="1"/>
      <c r="D759" s="39"/>
      <c r="E759" s="39"/>
      <c r="F759" s="438"/>
      <c r="G759" s="437"/>
      <c r="H759" s="438"/>
      <c r="I759" s="437"/>
      <c r="J759" s="438"/>
      <c r="K759" s="940"/>
      <c r="L759" s="438"/>
      <c r="M759" s="940"/>
      <c r="N759" s="438"/>
      <c r="O759" s="437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ht="14.25" customHeight="1">
      <c r="A760" s="1"/>
      <c r="B760" s="1"/>
      <c r="C760" s="1"/>
      <c r="D760" s="39"/>
      <c r="E760" s="39"/>
      <c r="F760" s="438"/>
      <c r="G760" s="437"/>
      <c r="H760" s="438"/>
      <c r="I760" s="437"/>
      <c r="J760" s="438"/>
      <c r="K760" s="940"/>
      <c r="L760" s="438"/>
      <c r="M760" s="940"/>
      <c r="N760" s="438"/>
      <c r="O760" s="437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ht="14.25" customHeight="1">
      <c r="A761" s="1"/>
      <c r="B761" s="1"/>
      <c r="C761" s="1"/>
      <c r="D761" s="39"/>
      <c r="E761" s="39"/>
      <c r="F761" s="438"/>
      <c r="G761" s="437"/>
      <c r="H761" s="438"/>
      <c r="I761" s="437"/>
      <c r="J761" s="438"/>
      <c r="K761" s="940"/>
      <c r="L761" s="438"/>
      <c r="M761" s="940"/>
      <c r="N761" s="438"/>
      <c r="O761" s="437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ht="14.25" customHeight="1">
      <c r="A762" s="1"/>
      <c r="B762" s="1"/>
      <c r="C762" s="1"/>
      <c r="D762" s="39"/>
      <c r="E762" s="39"/>
      <c r="F762" s="438"/>
      <c r="G762" s="437"/>
      <c r="H762" s="438"/>
      <c r="I762" s="437"/>
      <c r="J762" s="438"/>
      <c r="K762" s="940"/>
      <c r="L762" s="438"/>
      <c r="M762" s="940"/>
      <c r="N762" s="438"/>
      <c r="O762" s="437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ht="14.25" customHeight="1">
      <c r="A763" s="1"/>
      <c r="B763" s="1"/>
      <c r="C763" s="1"/>
      <c r="D763" s="39"/>
      <c r="E763" s="39"/>
      <c r="F763" s="438"/>
      <c r="G763" s="437"/>
      <c r="H763" s="438"/>
      <c r="I763" s="437"/>
      <c r="J763" s="438"/>
      <c r="K763" s="940"/>
      <c r="L763" s="438"/>
      <c r="M763" s="940"/>
      <c r="N763" s="438"/>
      <c r="O763" s="437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ht="14.25" customHeight="1">
      <c r="A764" s="1"/>
      <c r="B764" s="1"/>
      <c r="C764" s="1"/>
      <c r="D764" s="39"/>
      <c r="E764" s="39"/>
      <c r="F764" s="438"/>
      <c r="G764" s="437"/>
      <c r="H764" s="438"/>
      <c r="I764" s="437"/>
      <c r="J764" s="438"/>
      <c r="K764" s="940"/>
      <c r="L764" s="438"/>
      <c r="M764" s="940"/>
      <c r="N764" s="438"/>
      <c r="O764" s="437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ht="14.25" customHeight="1">
      <c r="A765" s="1"/>
      <c r="B765" s="1"/>
      <c r="C765" s="1"/>
      <c r="D765" s="39"/>
      <c r="E765" s="39"/>
      <c r="F765" s="438"/>
      <c r="G765" s="437"/>
      <c r="H765" s="438"/>
      <c r="I765" s="437"/>
      <c r="J765" s="438"/>
      <c r="K765" s="940"/>
      <c r="L765" s="438"/>
      <c r="M765" s="940"/>
      <c r="N765" s="438"/>
      <c r="O765" s="437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ht="14.25" customHeight="1">
      <c r="A766" s="1"/>
      <c r="B766" s="1"/>
      <c r="C766" s="1"/>
      <c r="D766" s="39"/>
      <c r="E766" s="39"/>
      <c r="F766" s="438"/>
      <c r="G766" s="437"/>
      <c r="H766" s="438"/>
      <c r="I766" s="437"/>
      <c r="J766" s="438"/>
      <c r="K766" s="940"/>
      <c r="L766" s="438"/>
      <c r="M766" s="940"/>
      <c r="N766" s="438"/>
      <c r="O766" s="437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ht="14.25" customHeight="1">
      <c r="A767" s="1"/>
      <c r="B767" s="1"/>
      <c r="C767" s="1"/>
      <c r="D767" s="39"/>
      <c r="E767" s="39"/>
      <c r="F767" s="438"/>
      <c r="G767" s="437"/>
      <c r="H767" s="438"/>
      <c r="I767" s="437"/>
      <c r="J767" s="438"/>
      <c r="K767" s="940"/>
      <c r="L767" s="438"/>
      <c r="M767" s="940"/>
      <c r="N767" s="438"/>
      <c r="O767" s="43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ht="14.25" customHeight="1">
      <c r="A768" s="1"/>
      <c r="B768" s="1"/>
      <c r="C768" s="1"/>
      <c r="D768" s="39"/>
      <c r="E768" s="39"/>
      <c r="F768" s="438"/>
      <c r="G768" s="437"/>
      <c r="H768" s="438"/>
      <c r="I768" s="437"/>
      <c r="J768" s="438"/>
      <c r="K768" s="940"/>
      <c r="L768" s="438"/>
      <c r="M768" s="940"/>
      <c r="N768" s="438"/>
      <c r="O768" s="437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ht="14.25" customHeight="1">
      <c r="A769" s="1"/>
      <c r="B769" s="1"/>
      <c r="C769" s="1"/>
      <c r="D769" s="39"/>
      <c r="E769" s="39"/>
      <c r="F769" s="438"/>
      <c r="G769" s="437"/>
      <c r="H769" s="438"/>
      <c r="I769" s="437"/>
      <c r="J769" s="438"/>
      <c r="K769" s="940"/>
      <c r="L769" s="438"/>
      <c r="M769" s="940"/>
      <c r="N769" s="438"/>
      <c r="O769" s="437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ht="14.25" customHeight="1">
      <c r="A770" s="1"/>
      <c r="B770" s="1"/>
      <c r="C770" s="1"/>
      <c r="D770" s="39"/>
      <c r="E770" s="39"/>
      <c r="F770" s="438"/>
      <c r="G770" s="437"/>
      <c r="H770" s="438"/>
      <c r="I770" s="437"/>
      <c r="J770" s="438"/>
      <c r="K770" s="940"/>
      <c r="L770" s="438"/>
      <c r="M770" s="940"/>
      <c r="N770" s="438"/>
      <c r="O770" s="437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ht="14.25" customHeight="1">
      <c r="A771" s="1"/>
      <c r="B771" s="1"/>
      <c r="C771" s="1"/>
      <c r="D771" s="39"/>
      <c r="E771" s="39"/>
      <c r="F771" s="438"/>
      <c r="G771" s="437"/>
      <c r="H771" s="438"/>
      <c r="I771" s="437"/>
      <c r="J771" s="438"/>
      <c r="K771" s="940"/>
      <c r="L771" s="438"/>
      <c r="M771" s="940"/>
      <c r="N771" s="438"/>
      <c r="O771" s="437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ht="14.25" customHeight="1">
      <c r="A772" s="1"/>
      <c r="B772" s="1"/>
      <c r="C772" s="1"/>
      <c r="D772" s="39"/>
      <c r="E772" s="39"/>
      <c r="F772" s="438"/>
      <c r="G772" s="437"/>
      <c r="H772" s="438"/>
      <c r="I772" s="437"/>
      <c r="J772" s="438"/>
      <c r="K772" s="940"/>
      <c r="L772" s="438"/>
      <c r="M772" s="940"/>
      <c r="N772" s="438"/>
      <c r="O772" s="437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ht="14.25" customHeight="1">
      <c r="A773" s="1"/>
      <c r="B773" s="1"/>
      <c r="C773" s="1"/>
      <c r="D773" s="39"/>
      <c r="E773" s="39"/>
      <c r="F773" s="438"/>
      <c r="G773" s="437"/>
      <c r="H773" s="438"/>
      <c r="I773" s="437"/>
      <c r="J773" s="438"/>
      <c r="K773" s="940"/>
      <c r="L773" s="438"/>
      <c r="M773" s="940"/>
      <c r="N773" s="438"/>
      <c r="O773" s="437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ht="14.25" customHeight="1">
      <c r="A774" s="1"/>
      <c r="B774" s="1"/>
      <c r="C774" s="1"/>
      <c r="D774" s="39"/>
      <c r="E774" s="39"/>
      <c r="F774" s="438"/>
      <c r="G774" s="437"/>
      <c r="H774" s="438"/>
      <c r="I774" s="437"/>
      <c r="J774" s="438"/>
      <c r="K774" s="940"/>
      <c r="L774" s="438"/>
      <c r="M774" s="940"/>
      <c r="N774" s="438"/>
      <c r="O774" s="437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ht="14.25" customHeight="1">
      <c r="A775" s="1"/>
      <c r="B775" s="1"/>
      <c r="C775" s="1"/>
      <c r="D775" s="39"/>
      <c r="E775" s="39"/>
      <c r="F775" s="438"/>
      <c r="G775" s="437"/>
      <c r="H775" s="438"/>
      <c r="I775" s="437"/>
      <c r="J775" s="438"/>
      <c r="K775" s="940"/>
      <c r="L775" s="438"/>
      <c r="M775" s="940"/>
      <c r="N775" s="438"/>
      <c r="O775" s="437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ht="14.25" customHeight="1">
      <c r="A776" s="1"/>
      <c r="B776" s="1"/>
      <c r="C776" s="1"/>
      <c r="D776" s="39"/>
      <c r="E776" s="39"/>
      <c r="F776" s="438"/>
      <c r="G776" s="437"/>
      <c r="H776" s="438"/>
      <c r="I776" s="437"/>
      <c r="J776" s="438"/>
      <c r="K776" s="940"/>
      <c r="L776" s="438"/>
      <c r="M776" s="940"/>
      <c r="N776" s="438"/>
      <c r="O776" s="437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ht="14.25" customHeight="1">
      <c r="A777" s="1"/>
      <c r="B777" s="1"/>
      <c r="C777" s="1"/>
      <c r="D777" s="39"/>
      <c r="E777" s="39"/>
      <c r="F777" s="438"/>
      <c r="G777" s="437"/>
      <c r="H777" s="438"/>
      <c r="I777" s="437"/>
      <c r="J777" s="438"/>
      <c r="K777" s="940"/>
      <c r="L777" s="438"/>
      <c r="M777" s="940"/>
      <c r="N777" s="438"/>
      <c r="O777" s="43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ht="14.25" customHeight="1">
      <c r="A778" s="1"/>
      <c r="B778" s="1"/>
      <c r="C778" s="1"/>
      <c r="D778" s="39"/>
      <c r="E778" s="39"/>
      <c r="F778" s="438"/>
      <c r="G778" s="437"/>
      <c r="H778" s="438"/>
      <c r="I778" s="437"/>
      <c r="J778" s="438"/>
      <c r="K778" s="940"/>
      <c r="L778" s="438"/>
      <c r="M778" s="940"/>
      <c r="N778" s="438"/>
      <c r="O778" s="437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ht="14.25" customHeight="1">
      <c r="A779" s="1"/>
      <c r="B779" s="1"/>
      <c r="C779" s="1"/>
      <c r="D779" s="39"/>
      <c r="E779" s="39"/>
      <c r="F779" s="438"/>
      <c r="G779" s="437"/>
      <c r="H779" s="438"/>
      <c r="I779" s="437"/>
      <c r="J779" s="438"/>
      <c r="K779" s="940"/>
      <c r="L779" s="438"/>
      <c r="M779" s="940"/>
      <c r="N779" s="438"/>
      <c r="O779" s="437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ht="14.25" customHeight="1">
      <c r="A780" s="1"/>
      <c r="B780" s="1"/>
      <c r="C780" s="1"/>
      <c r="D780" s="39"/>
      <c r="E780" s="39"/>
      <c r="F780" s="438"/>
      <c r="G780" s="437"/>
      <c r="H780" s="438"/>
      <c r="I780" s="437"/>
      <c r="J780" s="438"/>
      <c r="K780" s="940"/>
      <c r="L780" s="438"/>
      <c r="M780" s="940"/>
      <c r="N780" s="438"/>
      <c r="O780" s="437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ht="14.25" customHeight="1">
      <c r="A781" s="1"/>
      <c r="B781" s="1"/>
      <c r="C781" s="1"/>
      <c r="D781" s="39"/>
      <c r="E781" s="39"/>
      <c r="F781" s="438"/>
      <c r="G781" s="437"/>
      <c r="H781" s="438"/>
      <c r="I781" s="437"/>
      <c r="J781" s="438"/>
      <c r="K781" s="940"/>
      <c r="L781" s="438"/>
      <c r="M781" s="940"/>
      <c r="N781" s="438"/>
      <c r="O781" s="437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ht="14.25" customHeight="1">
      <c r="A782" s="1"/>
      <c r="B782" s="1"/>
      <c r="C782" s="1"/>
      <c r="D782" s="39"/>
      <c r="E782" s="39"/>
      <c r="F782" s="438"/>
      <c r="G782" s="437"/>
      <c r="H782" s="438"/>
      <c r="I782" s="437"/>
      <c r="J782" s="438"/>
      <c r="K782" s="940"/>
      <c r="L782" s="438"/>
      <c r="M782" s="940"/>
      <c r="N782" s="438"/>
      <c r="O782" s="437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ht="14.25" customHeight="1">
      <c r="A783" s="1"/>
      <c r="B783" s="1"/>
      <c r="C783" s="1"/>
      <c r="D783" s="39"/>
      <c r="E783" s="39"/>
      <c r="F783" s="438"/>
      <c r="G783" s="437"/>
      <c r="H783" s="438"/>
      <c r="I783" s="437"/>
      <c r="J783" s="438"/>
      <c r="K783" s="940"/>
      <c r="L783" s="438"/>
      <c r="M783" s="940"/>
      <c r="N783" s="438"/>
      <c r="O783" s="437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ht="14.25" customHeight="1">
      <c r="A784" s="1"/>
      <c r="B784" s="1"/>
      <c r="C784" s="1"/>
      <c r="D784" s="39"/>
      <c r="E784" s="39"/>
      <c r="F784" s="438"/>
      <c r="G784" s="437"/>
      <c r="H784" s="438"/>
      <c r="I784" s="437"/>
      <c r="J784" s="438"/>
      <c r="K784" s="940"/>
      <c r="L784" s="438"/>
      <c r="M784" s="940"/>
      <c r="N784" s="438"/>
      <c r="O784" s="437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ht="14.25" customHeight="1">
      <c r="A785" s="1"/>
      <c r="B785" s="1"/>
      <c r="C785" s="1"/>
      <c r="D785" s="39"/>
      <c r="E785" s="39"/>
      <c r="F785" s="438"/>
      <c r="G785" s="437"/>
      <c r="H785" s="438"/>
      <c r="I785" s="437"/>
      <c r="J785" s="438"/>
      <c r="K785" s="940"/>
      <c r="L785" s="438"/>
      <c r="M785" s="940"/>
      <c r="N785" s="438"/>
      <c r="O785" s="437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ht="14.25" customHeight="1">
      <c r="A786" s="1"/>
      <c r="B786" s="1"/>
      <c r="C786" s="1"/>
      <c r="D786" s="39"/>
      <c r="E786" s="39"/>
      <c r="F786" s="438"/>
      <c r="G786" s="437"/>
      <c r="H786" s="438"/>
      <c r="I786" s="437"/>
      <c r="J786" s="438"/>
      <c r="K786" s="940"/>
      <c r="L786" s="438"/>
      <c r="M786" s="940"/>
      <c r="N786" s="438"/>
      <c r="O786" s="437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ht="14.25" customHeight="1">
      <c r="A787" s="1"/>
      <c r="B787" s="1"/>
      <c r="C787" s="1"/>
      <c r="D787" s="39"/>
      <c r="E787" s="39"/>
      <c r="F787" s="438"/>
      <c r="G787" s="437"/>
      <c r="H787" s="438"/>
      <c r="I787" s="437"/>
      <c r="J787" s="438"/>
      <c r="K787" s="940"/>
      <c r="L787" s="438"/>
      <c r="M787" s="940"/>
      <c r="N787" s="438"/>
      <c r="O787" s="43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ht="14.25" customHeight="1">
      <c r="A788" s="1"/>
      <c r="B788" s="1"/>
      <c r="C788" s="1"/>
      <c r="D788" s="39"/>
      <c r="E788" s="39"/>
      <c r="F788" s="438"/>
      <c r="G788" s="437"/>
      <c r="H788" s="438"/>
      <c r="I788" s="437"/>
      <c r="J788" s="438"/>
      <c r="K788" s="940"/>
      <c r="L788" s="438"/>
      <c r="M788" s="940"/>
      <c r="N788" s="438"/>
      <c r="O788" s="437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ht="14.25" customHeight="1">
      <c r="A789" s="1"/>
      <c r="B789" s="1"/>
      <c r="C789" s="1"/>
      <c r="D789" s="39"/>
      <c r="E789" s="39"/>
      <c r="F789" s="438"/>
      <c r="G789" s="437"/>
      <c r="H789" s="438"/>
      <c r="I789" s="437"/>
      <c r="J789" s="438"/>
      <c r="K789" s="940"/>
      <c r="L789" s="438"/>
      <c r="M789" s="940"/>
      <c r="N789" s="438"/>
      <c r="O789" s="437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ht="14.25" customHeight="1">
      <c r="A790" s="1"/>
      <c r="B790" s="1"/>
      <c r="C790" s="1"/>
      <c r="D790" s="39"/>
      <c r="E790" s="39"/>
      <c r="F790" s="438"/>
      <c r="G790" s="437"/>
      <c r="H790" s="438"/>
      <c r="I790" s="437"/>
      <c r="J790" s="438"/>
      <c r="K790" s="940"/>
      <c r="L790" s="438"/>
      <c r="M790" s="940"/>
      <c r="N790" s="438"/>
      <c r="O790" s="437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ht="14.25" customHeight="1">
      <c r="A791" s="1"/>
      <c r="B791" s="1"/>
      <c r="C791" s="1"/>
      <c r="D791" s="39"/>
      <c r="E791" s="39"/>
      <c r="F791" s="438"/>
      <c r="G791" s="437"/>
      <c r="H791" s="438"/>
      <c r="I791" s="437"/>
      <c r="J791" s="438"/>
      <c r="K791" s="940"/>
      <c r="L791" s="438"/>
      <c r="M791" s="940"/>
      <c r="N791" s="438"/>
      <c r="O791" s="437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ht="14.25" customHeight="1">
      <c r="A792" s="1"/>
      <c r="B792" s="1"/>
      <c r="C792" s="1"/>
      <c r="D792" s="39"/>
      <c r="E792" s="39"/>
      <c r="F792" s="438"/>
      <c r="G792" s="437"/>
      <c r="H792" s="438"/>
      <c r="I792" s="437"/>
      <c r="J792" s="438"/>
      <c r="K792" s="940"/>
      <c r="L792" s="438"/>
      <c r="M792" s="940"/>
      <c r="N792" s="438"/>
      <c r="O792" s="437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ht="14.25" customHeight="1">
      <c r="A793" s="1"/>
      <c r="B793" s="1"/>
      <c r="C793" s="1"/>
      <c r="D793" s="39"/>
      <c r="E793" s="39"/>
      <c r="F793" s="438"/>
      <c r="G793" s="437"/>
      <c r="H793" s="438"/>
      <c r="I793" s="437"/>
      <c r="J793" s="438"/>
      <c r="K793" s="940"/>
      <c r="L793" s="438"/>
      <c r="M793" s="940"/>
      <c r="N793" s="438"/>
      <c r="O793" s="437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ht="14.25" customHeight="1">
      <c r="A794" s="1"/>
      <c r="B794" s="1"/>
      <c r="C794" s="1"/>
      <c r="D794" s="39"/>
      <c r="E794" s="39"/>
      <c r="F794" s="438"/>
      <c r="G794" s="437"/>
      <c r="H794" s="438"/>
      <c r="I794" s="437"/>
      <c r="J794" s="438"/>
      <c r="K794" s="940"/>
      <c r="L794" s="438"/>
      <c r="M794" s="940"/>
      <c r="N794" s="438"/>
      <c r="O794" s="437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ht="14.25" customHeight="1">
      <c r="A795" s="1"/>
      <c r="B795" s="1"/>
      <c r="C795" s="1"/>
      <c r="D795" s="39"/>
      <c r="E795" s="39"/>
      <c r="F795" s="438"/>
      <c r="G795" s="437"/>
      <c r="H795" s="438"/>
      <c r="I795" s="437"/>
      <c r="J795" s="438"/>
      <c r="K795" s="940"/>
      <c r="L795" s="438"/>
      <c r="M795" s="940"/>
      <c r="N795" s="438"/>
      <c r="O795" s="437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ht="14.25" customHeight="1">
      <c r="A796" s="1"/>
      <c r="B796" s="1"/>
      <c r="C796" s="1"/>
      <c r="D796" s="39"/>
      <c r="E796" s="39"/>
      <c r="F796" s="438"/>
      <c r="G796" s="437"/>
      <c r="H796" s="438"/>
      <c r="I796" s="437"/>
      <c r="J796" s="438"/>
      <c r="K796" s="940"/>
      <c r="L796" s="438"/>
      <c r="M796" s="940"/>
      <c r="N796" s="438"/>
      <c r="O796" s="437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ht="14.25" customHeight="1">
      <c r="A797" s="1"/>
      <c r="B797" s="1"/>
      <c r="C797" s="1"/>
      <c r="D797" s="39"/>
      <c r="E797" s="39"/>
      <c r="F797" s="438"/>
      <c r="G797" s="437"/>
      <c r="H797" s="438"/>
      <c r="I797" s="437"/>
      <c r="J797" s="438"/>
      <c r="K797" s="940"/>
      <c r="L797" s="438"/>
      <c r="M797" s="940"/>
      <c r="N797" s="438"/>
      <c r="O797" s="43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ht="14.25" customHeight="1">
      <c r="A798" s="1"/>
      <c r="B798" s="1"/>
      <c r="C798" s="1"/>
      <c r="D798" s="39"/>
      <c r="E798" s="39"/>
      <c r="F798" s="438"/>
      <c r="G798" s="437"/>
      <c r="H798" s="438"/>
      <c r="I798" s="437"/>
      <c r="J798" s="438"/>
      <c r="K798" s="940"/>
      <c r="L798" s="438"/>
      <c r="M798" s="940"/>
      <c r="N798" s="438"/>
      <c r="O798" s="437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ht="14.25" customHeight="1">
      <c r="A799" s="1"/>
      <c r="B799" s="1"/>
      <c r="C799" s="1"/>
      <c r="D799" s="39"/>
      <c r="E799" s="39"/>
      <c r="F799" s="438"/>
      <c r="G799" s="437"/>
      <c r="H799" s="438"/>
      <c r="I799" s="437"/>
      <c r="J799" s="438"/>
      <c r="K799" s="940"/>
      <c r="L799" s="438"/>
      <c r="M799" s="940"/>
      <c r="N799" s="438"/>
      <c r="O799" s="437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ht="14.25" customHeight="1">
      <c r="A800" s="1"/>
      <c r="B800" s="1"/>
      <c r="C800" s="1"/>
      <c r="D800" s="39"/>
      <c r="E800" s="39"/>
      <c r="F800" s="438"/>
      <c r="G800" s="437"/>
      <c r="H800" s="438"/>
      <c r="I800" s="437"/>
      <c r="J800" s="438"/>
      <c r="K800" s="940"/>
      <c r="L800" s="438"/>
      <c r="M800" s="940"/>
      <c r="N800" s="438"/>
      <c r="O800" s="437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ht="14.25" customHeight="1">
      <c r="A801" s="1"/>
      <c r="B801" s="1"/>
      <c r="C801" s="1"/>
      <c r="D801" s="39"/>
      <c r="E801" s="39"/>
      <c r="F801" s="438"/>
      <c r="G801" s="437"/>
      <c r="H801" s="438"/>
      <c r="I801" s="437"/>
      <c r="J801" s="438"/>
      <c r="K801" s="940"/>
      <c r="L801" s="438"/>
      <c r="M801" s="940"/>
      <c r="N801" s="438"/>
      <c r="O801" s="437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ht="14.25" customHeight="1">
      <c r="A802" s="1"/>
      <c r="B802" s="1"/>
      <c r="C802" s="1"/>
      <c r="D802" s="39"/>
      <c r="E802" s="39"/>
      <c r="F802" s="438"/>
      <c r="G802" s="437"/>
      <c r="H802" s="438"/>
      <c r="I802" s="437"/>
      <c r="J802" s="438"/>
      <c r="K802" s="940"/>
      <c r="L802" s="438"/>
      <c r="M802" s="940"/>
      <c r="N802" s="438"/>
      <c r="O802" s="437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ht="14.25" customHeight="1">
      <c r="A803" s="1"/>
      <c r="B803" s="1"/>
      <c r="C803" s="1"/>
      <c r="D803" s="39"/>
      <c r="E803" s="39"/>
      <c r="F803" s="438"/>
      <c r="G803" s="437"/>
      <c r="H803" s="438"/>
      <c r="I803" s="437"/>
      <c r="J803" s="438"/>
      <c r="K803" s="940"/>
      <c r="L803" s="438"/>
      <c r="M803" s="940"/>
      <c r="N803" s="438"/>
      <c r="O803" s="437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ht="14.25" customHeight="1">
      <c r="A804" s="1"/>
      <c r="B804" s="1"/>
      <c r="C804" s="1"/>
      <c r="D804" s="39"/>
      <c r="E804" s="39"/>
      <c r="F804" s="438"/>
      <c r="G804" s="437"/>
      <c r="H804" s="438"/>
      <c r="I804" s="437"/>
      <c r="J804" s="438"/>
      <c r="K804" s="940"/>
      <c r="L804" s="438"/>
      <c r="M804" s="940"/>
      <c r="N804" s="438"/>
      <c r="O804" s="437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ht="14.25" customHeight="1">
      <c r="A805" s="1"/>
      <c r="B805" s="1"/>
      <c r="C805" s="1"/>
      <c r="D805" s="39"/>
      <c r="E805" s="39"/>
      <c r="F805" s="438"/>
      <c r="G805" s="437"/>
      <c r="H805" s="438"/>
      <c r="I805" s="437"/>
      <c r="J805" s="438"/>
      <c r="K805" s="940"/>
      <c r="L805" s="438"/>
      <c r="M805" s="940"/>
      <c r="N805" s="438"/>
      <c r="O805" s="437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ht="14.25" customHeight="1">
      <c r="A806" s="1"/>
      <c r="B806" s="1"/>
      <c r="C806" s="1"/>
      <c r="D806" s="39"/>
      <c r="E806" s="39"/>
      <c r="F806" s="438"/>
      <c r="G806" s="437"/>
      <c r="H806" s="438"/>
      <c r="I806" s="437"/>
      <c r="J806" s="438"/>
      <c r="K806" s="940"/>
      <c r="L806" s="438"/>
      <c r="M806" s="940"/>
      <c r="N806" s="438"/>
      <c r="O806" s="437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ht="14.25" customHeight="1">
      <c r="A807" s="1"/>
      <c r="B807" s="1"/>
      <c r="C807" s="1"/>
      <c r="D807" s="39"/>
      <c r="E807" s="39"/>
      <c r="F807" s="438"/>
      <c r="G807" s="437"/>
      <c r="H807" s="438"/>
      <c r="I807" s="437"/>
      <c r="J807" s="438"/>
      <c r="K807" s="940"/>
      <c r="L807" s="438"/>
      <c r="M807" s="940"/>
      <c r="N807" s="438"/>
      <c r="O807" s="43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ht="14.25" customHeight="1">
      <c r="A808" s="1"/>
      <c r="B808" s="1"/>
      <c r="C808" s="1"/>
      <c r="D808" s="39"/>
      <c r="E808" s="39"/>
      <c r="F808" s="438"/>
      <c r="G808" s="437"/>
      <c r="H808" s="438"/>
      <c r="I808" s="437"/>
      <c r="J808" s="438"/>
      <c r="K808" s="940"/>
      <c r="L808" s="438"/>
      <c r="M808" s="940"/>
      <c r="N808" s="438"/>
      <c r="O808" s="437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ht="14.25" customHeight="1">
      <c r="A809" s="1"/>
      <c r="B809" s="1"/>
      <c r="C809" s="1"/>
      <c r="D809" s="39"/>
      <c r="E809" s="39"/>
      <c r="F809" s="438"/>
      <c r="G809" s="437"/>
      <c r="H809" s="438"/>
      <c r="I809" s="437"/>
      <c r="J809" s="438"/>
      <c r="K809" s="940"/>
      <c r="L809" s="438"/>
      <c r="M809" s="940"/>
      <c r="N809" s="438"/>
      <c r="O809" s="437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ht="14.25" customHeight="1">
      <c r="A810" s="1"/>
      <c r="B810" s="1"/>
      <c r="C810" s="1"/>
      <c r="D810" s="39"/>
      <c r="E810" s="39"/>
      <c r="F810" s="438"/>
      <c r="G810" s="437"/>
      <c r="H810" s="438"/>
      <c r="I810" s="437"/>
      <c r="J810" s="438"/>
      <c r="K810" s="940"/>
      <c r="L810" s="438"/>
      <c r="M810" s="940"/>
      <c r="N810" s="438"/>
      <c r="O810" s="437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ht="14.25" customHeight="1">
      <c r="A811" s="1"/>
      <c r="B811" s="1"/>
      <c r="C811" s="1"/>
      <c r="D811" s="39"/>
      <c r="E811" s="39"/>
      <c r="F811" s="438"/>
      <c r="G811" s="437"/>
      <c r="H811" s="438"/>
      <c r="I811" s="437"/>
      <c r="J811" s="438"/>
      <c r="K811" s="940"/>
      <c r="L811" s="438"/>
      <c r="M811" s="940"/>
      <c r="N811" s="438"/>
      <c r="O811" s="437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ht="14.25" customHeight="1">
      <c r="A812" s="1"/>
      <c r="B812" s="1"/>
      <c r="C812" s="1"/>
      <c r="D812" s="39"/>
      <c r="E812" s="39"/>
      <c r="F812" s="438"/>
      <c r="G812" s="437"/>
      <c r="H812" s="438"/>
      <c r="I812" s="437"/>
      <c r="J812" s="438"/>
      <c r="K812" s="940"/>
      <c r="L812" s="438"/>
      <c r="M812" s="940"/>
      <c r="N812" s="438"/>
      <c r="O812" s="437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ht="14.25" customHeight="1">
      <c r="A813" s="1"/>
      <c r="B813" s="1"/>
      <c r="C813" s="1"/>
      <c r="D813" s="39"/>
      <c r="E813" s="39"/>
      <c r="F813" s="438"/>
      <c r="G813" s="437"/>
      <c r="H813" s="438"/>
      <c r="I813" s="437"/>
      <c r="J813" s="438"/>
      <c r="K813" s="940"/>
      <c r="L813" s="438"/>
      <c r="M813" s="940"/>
      <c r="N813" s="438"/>
      <c r="O813" s="437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ht="14.25" customHeight="1">
      <c r="A814" s="1"/>
      <c r="B814" s="1"/>
      <c r="C814" s="1"/>
      <c r="D814" s="39"/>
      <c r="E814" s="39"/>
      <c r="F814" s="438"/>
      <c r="G814" s="437"/>
      <c r="H814" s="438"/>
      <c r="I814" s="437"/>
      <c r="J814" s="438"/>
      <c r="K814" s="940"/>
      <c r="L814" s="438"/>
      <c r="M814" s="940"/>
      <c r="N814" s="438"/>
      <c r="O814" s="437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ht="14.25" customHeight="1">
      <c r="A815" s="1"/>
      <c r="B815" s="1"/>
      <c r="C815" s="1"/>
      <c r="D815" s="39"/>
      <c r="E815" s="39"/>
      <c r="F815" s="438"/>
      <c r="G815" s="437"/>
      <c r="H815" s="438"/>
      <c r="I815" s="437"/>
      <c r="J815" s="438"/>
      <c r="K815" s="940"/>
      <c r="L815" s="438"/>
      <c r="M815" s="940"/>
      <c r="N815" s="438"/>
      <c r="O815" s="437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ht="14.25" customHeight="1">
      <c r="A816" s="1"/>
      <c r="B816" s="1"/>
      <c r="C816" s="1"/>
      <c r="D816" s="39"/>
      <c r="E816" s="39"/>
      <c r="F816" s="438"/>
      <c r="G816" s="437"/>
      <c r="H816" s="438"/>
      <c r="I816" s="437"/>
      <c r="J816" s="438"/>
      <c r="K816" s="940"/>
      <c r="L816" s="438"/>
      <c r="M816" s="940"/>
      <c r="N816" s="438"/>
      <c r="O816" s="437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ht="14.25" customHeight="1">
      <c r="A817" s="1"/>
      <c r="B817" s="1"/>
      <c r="C817" s="1"/>
      <c r="D817" s="39"/>
      <c r="E817" s="39"/>
      <c r="F817" s="438"/>
      <c r="G817" s="437"/>
      <c r="H817" s="438"/>
      <c r="I817" s="437"/>
      <c r="J817" s="438"/>
      <c r="K817" s="940"/>
      <c r="L817" s="438"/>
      <c r="M817" s="940"/>
      <c r="N817" s="438"/>
      <c r="O817" s="43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ht="14.25" customHeight="1">
      <c r="A818" s="1"/>
      <c r="B818" s="1"/>
      <c r="C818" s="1"/>
      <c r="D818" s="39"/>
      <c r="E818" s="39"/>
      <c r="F818" s="438"/>
      <c r="G818" s="437"/>
      <c r="H818" s="438"/>
      <c r="I818" s="437"/>
      <c r="J818" s="438"/>
      <c r="K818" s="940"/>
      <c r="L818" s="438"/>
      <c r="M818" s="940"/>
      <c r="N818" s="438"/>
      <c r="O818" s="437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ht="14.25" customHeight="1">
      <c r="A819" s="1"/>
      <c r="B819" s="1"/>
      <c r="C819" s="1"/>
      <c r="D819" s="39"/>
      <c r="E819" s="39"/>
      <c r="F819" s="438"/>
      <c r="G819" s="437"/>
      <c r="H819" s="438"/>
      <c r="I819" s="437"/>
      <c r="J819" s="438"/>
      <c r="K819" s="940"/>
      <c r="L819" s="438"/>
      <c r="M819" s="940"/>
      <c r="N819" s="438"/>
      <c r="O819" s="437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ht="14.25" customHeight="1">
      <c r="A820" s="1"/>
      <c r="B820" s="1"/>
      <c r="C820" s="1"/>
      <c r="D820" s="39"/>
      <c r="E820" s="39"/>
      <c r="F820" s="438"/>
      <c r="G820" s="437"/>
      <c r="H820" s="438"/>
      <c r="I820" s="437"/>
      <c r="J820" s="438"/>
      <c r="K820" s="940"/>
      <c r="L820" s="438"/>
      <c r="M820" s="940"/>
      <c r="N820" s="438"/>
      <c r="O820" s="437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ht="14.25" customHeight="1">
      <c r="A821" s="1"/>
      <c r="B821" s="1"/>
      <c r="C821" s="1"/>
      <c r="D821" s="39"/>
      <c r="E821" s="39"/>
      <c r="F821" s="438"/>
      <c r="G821" s="437"/>
      <c r="H821" s="438"/>
      <c r="I821" s="437"/>
      <c r="J821" s="438"/>
      <c r="K821" s="940"/>
      <c r="L821" s="438"/>
      <c r="M821" s="940"/>
      <c r="N821" s="438"/>
      <c r="O821" s="437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ht="14.25" customHeight="1">
      <c r="A822" s="1"/>
      <c r="B822" s="1"/>
      <c r="C822" s="1"/>
      <c r="D822" s="39"/>
      <c r="E822" s="39"/>
      <c r="F822" s="438"/>
      <c r="G822" s="437"/>
      <c r="H822" s="438"/>
      <c r="I822" s="437"/>
      <c r="J822" s="438"/>
      <c r="K822" s="940"/>
      <c r="L822" s="438"/>
      <c r="M822" s="940"/>
      <c r="N822" s="438"/>
      <c r="O822" s="437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ht="14.25" customHeight="1">
      <c r="A823" s="1"/>
      <c r="B823" s="1"/>
      <c r="C823" s="1"/>
      <c r="D823" s="39"/>
      <c r="E823" s="39"/>
      <c r="F823" s="438"/>
      <c r="G823" s="437"/>
      <c r="H823" s="438"/>
      <c r="I823" s="437"/>
      <c r="J823" s="438"/>
      <c r="K823" s="940"/>
      <c r="L823" s="438"/>
      <c r="M823" s="940"/>
      <c r="N823" s="438"/>
      <c r="O823" s="437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ht="14.25" customHeight="1">
      <c r="A824" s="1"/>
      <c r="B824" s="1"/>
      <c r="C824" s="1"/>
      <c r="D824" s="39"/>
      <c r="E824" s="39"/>
      <c r="F824" s="438"/>
      <c r="G824" s="437"/>
      <c r="H824" s="438"/>
      <c r="I824" s="437"/>
      <c r="J824" s="438"/>
      <c r="K824" s="940"/>
      <c r="L824" s="438"/>
      <c r="M824" s="940"/>
      <c r="N824" s="438"/>
      <c r="O824" s="437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ht="14.25" customHeight="1">
      <c r="A825" s="1"/>
      <c r="B825" s="1"/>
      <c r="C825" s="1"/>
      <c r="D825" s="39"/>
      <c r="E825" s="39"/>
      <c r="F825" s="438"/>
      <c r="G825" s="437"/>
      <c r="H825" s="438"/>
      <c r="I825" s="437"/>
      <c r="J825" s="438"/>
      <c r="K825" s="940"/>
      <c r="L825" s="438"/>
      <c r="M825" s="940"/>
      <c r="N825" s="438"/>
      <c r="O825" s="437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ht="14.25" customHeight="1">
      <c r="A826" s="1"/>
      <c r="B826" s="1"/>
      <c r="C826" s="1"/>
      <c r="D826" s="39"/>
      <c r="E826" s="39"/>
      <c r="F826" s="438"/>
      <c r="G826" s="437"/>
      <c r="H826" s="438"/>
      <c r="I826" s="437"/>
      <c r="J826" s="438"/>
      <c r="K826" s="940"/>
      <c r="L826" s="438"/>
      <c r="M826" s="940"/>
      <c r="N826" s="438"/>
      <c r="O826" s="437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ht="14.25" customHeight="1">
      <c r="A827" s="1"/>
      <c r="B827" s="1"/>
      <c r="C827" s="1"/>
      <c r="D827" s="39"/>
      <c r="E827" s="39"/>
      <c r="F827" s="438"/>
      <c r="G827" s="437"/>
      <c r="H827" s="438"/>
      <c r="I827" s="437"/>
      <c r="J827" s="438"/>
      <c r="K827" s="940"/>
      <c r="L827" s="438"/>
      <c r="M827" s="940"/>
      <c r="N827" s="438"/>
      <c r="O827" s="43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ht="14.25" customHeight="1">
      <c r="A828" s="1"/>
      <c r="B828" s="1"/>
      <c r="C828" s="1"/>
      <c r="D828" s="39"/>
      <c r="E828" s="39"/>
      <c r="F828" s="438"/>
      <c r="G828" s="437"/>
      <c r="H828" s="438"/>
      <c r="I828" s="437"/>
      <c r="J828" s="438"/>
      <c r="K828" s="940"/>
      <c r="L828" s="438"/>
      <c r="M828" s="940"/>
      <c r="N828" s="438"/>
      <c r="O828" s="437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ht="14.25" customHeight="1">
      <c r="A829" s="1"/>
      <c r="B829" s="1"/>
      <c r="C829" s="1"/>
      <c r="D829" s="39"/>
      <c r="E829" s="39"/>
      <c r="F829" s="438"/>
      <c r="G829" s="437"/>
      <c r="H829" s="438"/>
      <c r="I829" s="437"/>
      <c r="J829" s="438"/>
      <c r="K829" s="940"/>
      <c r="L829" s="438"/>
      <c r="M829" s="940"/>
      <c r="N829" s="438"/>
      <c r="O829" s="437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ht="14.25" customHeight="1">
      <c r="A830" s="1"/>
      <c r="B830" s="1"/>
      <c r="C830" s="1"/>
      <c r="D830" s="39"/>
      <c r="E830" s="39"/>
      <c r="F830" s="438"/>
      <c r="G830" s="437"/>
      <c r="H830" s="438"/>
      <c r="I830" s="437"/>
      <c r="J830" s="438"/>
      <c r="K830" s="940"/>
      <c r="L830" s="438"/>
      <c r="M830" s="940"/>
      <c r="N830" s="438"/>
      <c r="O830" s="437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ht="14.25" customHeight="1">
      <c r="A831" s="1"/>
      <c r="B831" s="1"/>
      <c r="C831" s="1"/>
      <c r="D831" s="39"/>
      <c r="E831" s="39"/>
      <c r="F831" s="438"/>
      <c r="G831" s="437"/>
      <c r="H831" s="438"/>
      <c r="I831" s="437"/>
      <c r="J831" s="438"/>
      <c r="K831" s="940"/>
      <c r="L831" s="438"/>
      <c r="M831" s="940"/>
      <c r="N831" s="438"/>
      <c r="O831" s="437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ht="14.25" customHeight="1">
      <c r="A832" s="1"/>
      <c r="B832" s="1"/>
      <c r="C832" s="1"/>
      <c r="D832" s="39"/>
      <c r="E832" s="39"/>
      <c r="F832" s="438"/>
      <c r="G832" s="437"/>
      <c r="H832" s="438"/>
      <c r="I832" s="437"/>
      <c r="J832" s="438"/>
      <c r="K832" s="940"/>
      <c r="L832" s="438"/>
      <c r="M832" s="940"/>
      <c r="N832" s="438"/>
      <c r="O832" s="437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ht="14.25" customHeight="1">
      <c r="A833" s="1"/>
      <c r="B833" s="1"/>
      <c r="C833" s="1"/>
      <c r="D833" s="39"/>
      <c r="E833" s="39"/>
      <c r="F833" s="438"/>
      <c r="G833" s="437"/>
      <c r="H833" s="438"/>
      <c r="I833" s="437"/>
      <c r="J833" s="438"/>
      <c r="K833" s="940"/>
      <c r="L833" s="438"/>
      <c r="M833" s="940"/>
      <c r="N833" s="438"/>
      <c r="O833" s="437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ht="14.25" customHeight="1">
      <c r="A834" s="1"/>
      <c r="B834" s="1"/>
      <c r="C834" s="1"/>
      <c r="D834" s="39"/>
      <c r="E834" s="39"/>
      <c r="F834" s="438"/>
      <c r="G834" s="437"/>
      <c r="H834" s="438"/>
      <c r="I834" s="437"/>
      <c r="J834" s="438"/>
      <c r="K834" s="940"/>
      <c r="L834" s="438"/>
      <c r="M834" s="940"/>
      <c r="N834" s="438"/>
      <c r="O834" s="437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ht="14.25" customHeight="1">
      <c r="A835" s="1"/>
      <c r="B835" s="1"/>
      <c r="C835" s="1"/>
      <c r="D835" s="39"/>
      <c r="E835" s="39"/>
      <c r="F835" s="438"/>
      <c r="G835" s="437"/>
      <c r="H835" s="438"/>
      <c r="I835" s="437"/>
      <c r="J835" s="438"/>
      <c r="K835" s="940"/>
      <c r="L835" s="438"/>
      <c r="M835" s="940"/>
      <c r="N835" s="438"/>
      <c r="O835" s="437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ht="14.25" customHeight="1">
      <c r="A836" s="1"/>
      <c r="B836" s="1"/>
      <c r="C836" s="1"/>
      <c r="D836" s="39"/>
      <c r="E836" s="39"/>
      <c r="F836" s="438"/>
      <c r="G836" s="437"/>
      <c r="H836" s="438"/>
      <c r="I836" s="437"/>
      <c r="J836" s="438"/>
      <c r="K836" s="940"/>
      <c r="L836" s="438"/>
      <c r="M836" s="940"/>
      <c r="N836" s="438"/>
      <c r="O836" s="437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ht="14.25" customHeight="1">
      <c r="A837" s="1"/>
      <c r="B837" s="1"/>
      <c r="C837" s="1"/>
      <c r="D837" s="39"/>
      <c r="E837" s="39"/>
      <c r="F837" s="438"/>
      <c r="G837" s="437"/>
      <c r="H837" s="438"/>
      <c r="I837" s="437"/>
      <c r="J837" s="438"/>
      <c r="K837" s="940"/>
      <c r="L837" s="438"/>
      <c r="M837" s="940"/>
      <c r="N837" s="438"/>
      <c r="O837" s="4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ht="14.25" customHeight="1">
      <c r="A838" s="1"/>
      <c r="B838" s="1"/>
      <c r="C838" s="1"/>
      <c r="D838" s="39"/>
      <c r="E838" s="39"/>
      <c r="F838" s="438"/>
      <c r="G838" s="437"/>
      <c r="H838" s="438"/>
      <c r="I838" s="437"/>
      <c r="J838" s="438"/>
      <c r="K838" s="940"/>
      <c r="L838" s="438"/>
      <c r="M838" s="940"/>
      <c r="N838" s="438"/>
      <c r="O838" s="437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ht="14.25" customHeight="1">
      <c r="A839" s="1"/>
      <c r="B839" s="1"/>
      <c r="C839" s="1"/>
      <c r="D839" s="39"/>
      <c r="E839" s="39"/>
      <c r="F839" s="438"/>
      <c r="G839" s="437"/>
      <c r="H839" s="438"/>
      <c r="I839" s="437"/>
      <c r="J839" s="438"/>
      <c r="K839" s="940"/>
      <c r="L839" s="438"/>
      <c r="M839" s="940"/>
      <c r="N839" s="438"/>
      <c r="O839" s="437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ht="14.25" customHeight="1">
      <c r="A840" s="1"/>
      <c r="B840" s="1"/>
      <c r="C840" s="1"/>
      <c r="D840" s="39"/>
      <c r="E840" s="39"/>
      <c r="F840" s="438"/>
      <c r="G840" s="437"/>
      <c r="H840" s="438"/>
      <c r="I840" s="437"/>
      <c r="J840" s="438"/>
      <c r="K840" s="940"/>
      <c r="L840" s="438"/>
      <c r="M840" s="940"/>
      <c r="N840" s="438"/>
      <c r="O840" s="437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ht="14.25" customHeight="1">
      <c r="A841" s="1"/>
      <c r="B841" s="1"/>
      <c r="C841" s="1"/>
      <c r="D841" s="39"/>
      <c r="E841" s="39"/>
      <c r="F841" s="438"/>
      <c r="G841" s="437"/>
      <c r="H841" s="438"/>
      <c r="I841" s="437"/>
      <c r="J841" s="438"/>
      <c r="K841" s="940"/>
      <c r="L841" s="438"/>
      <c r="M841" s="940"/>
      <c r="N841" s="438"/>
      <c r="O841" s="437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ht="14.25" customHeight="1">
      <c r="A842" s="1"/>
      <c r="B842" s="1"/>
      <c r="C842" s="1"/>
      <c r="D842" s="39"/>
      <c r="E842" s="39"/>
      <c r="F842" s="438"/>
      <c r="G842" s="437"/>
      <c r="H842" s="438"/>
      <c r="I842" s="437"/>
      <c r="J842" s="438"/>
      <c r="K842" s="940"/>
      <c r="L842" s="438"/>
      <c r="M842" s="940"/>
      <c r="N842" s="438"/>
      <c r="O842" s="437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ht="14.25" customHeight="1">
      <c r="A843" s="1"/>
      <c r="B843" s="1"/>
      <c r="C843" s="1"/>
      <c r="D843" s="39"/>
      <c r="E843" s="39"/>
      <c r="F843" s="438"/>
      <c r="G843" s="437"/>
      <c r="H843" s="438"/>
      <c r="I843" s="437"/>
      <c r="J843" s="438"/>
      <c r="K843" s="940"/>
      <c r="L843" s="438"/>
      <c r="M843" s="940"/>
      <c r="N843" s="438"/>
      <c r="O843" s="437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ht="14.25" customHeight="1">
      <c r="A844" s="1"/>
      <c r="B844" s="1"/>
      <c r="C844" s="1"/>
      <c r="D844" s="39"/>
      <c r="E844" s="39"/>
      <c r="F844" s="438"/>
      <c r="G844" s="437"/>
      <c r="H844" s="438"/>
      <c r="I844" s="437"/>
      <c r="J844" s="438"/>
      <c r="K844" s="940"/>
      <c r="L844" s="438"/>
      <c r="M844" s="940"/>
      <c r="N844" s="438"/>
      <c r="O844" s="437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ht="14.25" customHeight="1">
      <c r="A845" s="1"/>
      <c r="B845" s="1"/>
      <c r="C845" s="1"/>
      <c r="D845" s="39"/>
      <c r="E845" s="39"/>
      <c r="F845" s="438"/>
      <c r="G845" s="437"/>
      <c r="H845" s="438"/>
      <c r="I845" s="437"/>
      <c r="J845" s="438"/>
      <c r="K845" s="940"/>
      <c r="L845" s="438"/>
      <c r="M845" s="940"/>
      <c r="N845" s="438"/>
      <c r="O845" s="437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ht="14.25" customHeight="1">
      <c r="A846" s="1"/>
      <c r="B846" s="1"/>
      <c r="C846" s="1"/>
      <c r="D846" s="39"/>
      <c r="E846" s="39"/>
      <c r="F846" s="438"/>
      <c r="G846" s="437"/>
      <c r="H846" s="438"/>
      <c r="I846" s="437"/>
      <c r="J846" s="438"/>
      <c r="K846" s="940"/>
      <c r="L846" s="438"/>
      <c r="M846" s="940"/>
      <c r="N846" s="438"/>
      <c r="O846" s="437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ht="14.25" customHeight="1">
      <c r="A847" s="1"/>
      <c r="B847" s="1"/>
      <c r="C847" s="1"/>
      <c r="D847" s="39"/>
      <c r="E847" s="39"/>
      <c r="F847" s="438"/>
      <c r="G847" s="437"/>
      <c r="H847" s="438"/>
      <c r="I847" s="437"/>
      <c r="J847" s="438"/>
      <c r="K847" s="940"/>
      <c r="L847" s="438"/>
      <c r="M847" s="940"/>
      <c r="N847" s="438"/>
      <c r="O847" s="43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ht="14.25" customHeight="1">
      <c r="A848" s="1"/>
      <c r="B848" s="1"/>
      <c r="C848" s="1"/>
      <c r="D848" s="39"/>
      <c r="E848" s="39"/>
      <c r="F848" s="438"/>
      <c r="G848" s="437"/>
      <c r="H848" s="438"/>
      <c r="I848" s="437"/>
      <c r="J848" s="438"/>
      <c r="K848" s="940"/>
      <c r="L848" s="438"/>
      <c r="M848" s="940"/>
      <c r="N848" s="438"/>
      <c r="O848" s="437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ht="14.25" customHeight="1">
      <c r="A849" s="1"/>
      <c r="B849" s="1"/>
      <c r="C849" s="1"/>
      <c r="D849" s="39"/>
      <c r="E849" s="39"/>
      <c r="F849" s="438"/>
      <c r="G849" s="437"/>
      <c r="H849" s="438"/>
      <c r="I849" s="437"/>
      <c r="J849" s="438"/>
      <c r="K849" s="940"/>
      <c r="L849" s="438"/>
      <c r="M849" s="940"/>
      <c r="N849" s="438"/>
      <c r="O849" s="437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ht="14.25" customHeight="1">
      <c r="A850" s="1"/>
      <c r="B850" s="1"/>
      <c r="C850" s="1"/>
      <c r="D850" s="39"/>
      <c r="E850" s="39"/>
      <c r="F850" s="438"/>
      <c r="G850" s="437"/>
      <c r="H850" s="438"/>
      <c r="I850" s="437"/>
      <c r="J850" s="438"/>
      <c r="K850" s="940"/>
      <c r="L850" s="438"/>
      <c r="M850" s="940"/>
      <c r="N850" s="438"/>
      <c r="O850" s="437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ht="14.25" customHeight="1">
      <c r="A851" s="1"/>
      <c r="B851" s="1"/>
      <c r="C851" s="1"/>
      <c r="D851" s="39"/>
      <c r="E851" s="39"/>
      <c r="F851" s="438"/>
      <c r="G851" s="437"/>
      <c r="H851" s="438"/>
      <c r="I851" s="437"/>
      <c r="J851" s="438"/>
      <c r="K851" s="940"/>
      <c r="L851" s="438"/>
      <c r="M851" s="940"/>
      <c r="N851" s="438"/>
      <c r="O851" s="437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ht="14.25" customHeight="1">
      <c r="A852" s="1"/>
      <c r="B852" s="1"/>
      <c r="C852" s="1"/>
      <c r="D852" s="39"/>
      <c r="E852" s="39"/>
      <c r="F852" s="438"/>
      <c r="G852" s="437"/>
      <c r="H852" s="438"/>
      <c r="I852" s="437"/>
      <c r="J852" s="438"/>
      <c r="K852" s="940"/>
      <c r="L852" s="438"/>
      <c r="M852" s="940"/>
      <c r="N852" s="438"/>
      <c r="O852" s="437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ht="14.25" customHeight="1">
      <c r="A853" s="1"/>
      <c r="B853" s="1"/>
      <c r="C853" s="1"/>
      <c r="D853" s="39"/>
      <c r="E853" s="39"/>
      <c r="F853" s="438"/>
      <c r="G853" s="437"/>
      <c r="H853" s="438"/>
      <c r="I853" s="437"/>
      <c r="J853" s="438"/>
      <c r="K853" s="940"/>
      <c r="L853" s="438"/>
      <c r="M853" s="940"/>
      <c r="N853" s="438"/>
      <c r="O853" s="437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ht="14.25" customHeight="1">
      <c r="A854" s="1"/>
      <c r="B854" s="1"/>
      <c r="C854" s="1"/>
      <c r="D854" s="39"/>
      <c r="E854" s="39"/>
      <c r="F854" s="438"/>
      <c r="G854" s="437"/>
      <c r="H854" s="438"/>
      <c r="I854" s="437"/>
      <c r="J854" s="438"/>
      <c r="K854" s="940"/>
      <c r="L854" s="438"/>
      <c r="M854" s="940"/>
      <c r="N854" s="438"/>
      <c r="O854" s="437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ht="14.25" customHeight="1">
      <c r="A855" s="1"/>
      <c r="B855" s="1"/>
      <c r="C855" s="1"/>
      <c r="D855" s="39"/>
      <c r="E855" s="39"/>
      <c r="F855" s="438"/>
      <c r="G855" s="437"/>
      <c r="H855" s="438"/>
      <c r="I855" s="437"/>
      <c r="J855" s="438"/>
      <c r="K855" s="940"/>
      <c r="L855" s="438"/>
      <c r="M855" s="940"/>
      <c r="N855" s="438"/>
      <c r="O855" s="437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ht="14.25" customHeight="1">
      <c r="A856" s="1"/>
      <c r="B856" s="1"/>
      <c r="C856" s="1"/>
      <c r="D856" s="39"/>
      <c r="E856" s="39"/>
      <c r="F856" s="438"/>
      <c r="G856" s="437"/>
      <c r="H856" s="438"/>
      <c r="I856" s="437"/>
      <c r="J856" s="438"/>
      <c r="K856" s="940"/>
      <c r="L856" s="438"/>
      <c r="M856" s="940"/>
      <c r="N856" s="438"/>
      <c r="O856" s="437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ht="14.25" customHeight="1">
      <c r="A857" s="1"/>
      <c r="B857" s="1"/>
      <c r="C857" s="1"/>
      <c r="D857" s="39"/>
      <c r="E857" s="39"/>
      <c r="F857" s="438"/>
      <c r="G857" s="437"/>
      <c r="H857" s="438"/>
      <c r="I857" s="437"/>
      <c r="J857" s="438"/>
      <c r="K857" s="940"/>
      <c r="L857" s="438"/>
      <c r="M857" s="940"/>
      <c r="N857" s="438"/>
      <c r="O857" s="43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ht="14.25" customHeight="1">
      <c r="A858" s="1"/>
      <c r="B858" s="1"/>
      <c r="C858" s="1"/>
      <c r="D858" s="39"/>
      <c r="E858" s="39"/>
      <c r="F858" s="438"/>
      <c r="G858" s="437"/>
      <c r="H858" s="438"/>
      <c r="I858" s="437"/>
      <c r="J858" s="438"/>
      <c r="K858" s="940"/>
      <c r="L858" s="438"/>
      <c r="M858" s="940"/>
      <c r="N858" s="438"/>
      <c r="O858" s="437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ht="14.25" customHeight="1">
      <c r="A859" s="1"/>
      <c r="B859" s="1"/>
      <c r="C859" s="1"/>
      <c r="D859" s="39"/>
      <c r="E859" s="39"/>
      <c r="F859" s="438"/>
      <c r="G859" s="437"/>
      <c r="H859" s="438"/>
      <c r="I859" s="437"/>
      <c r="J859" s="438"/>
      <c r="K859" s="940"/>
      <c r="L859" s="438"/>
      <c r="M859" s="940"/>
      <c r="N859" s="438"/>
      <c r="O859" s="437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ht="14.25" customHeight="1">
      <c r="A860" s="1"/>
      <c r="B860" s="1"/>
      <c r="C860" s="1"/>
      <c r="D860" s="39"/>
      <c r="E860" s="39"/>
      <c r="F860" s="438"/>
      <c r="G860" s="437"/>
      <c r="H860" s="438"/>
      <c r="I860" s="437"/>
      <c r="J860" s="438"/>
      <c r="K860" s="940"/>
      <c r="L860" s="438"/>
      <c r="M860" s="940"/>
      <c r="N860" s="438"/>
      <c r="O860" s="437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ht="14.25" customHeight="1">
      <c r="A861" s="1"/>
      <c r="B861" s="1"/>
      <c r="C861" s="1"/>
      <c r="D861" s="39"/>
      <c r="E861" s="39"/>
      <c r="F861" s="438"/>
      <c r="G861" s="437"/>
      <c r="H861" s="438"/>
      <c r="I861" s="437"/>
      <c r="J861" s="438"/>
      <c r="K861" s="940"/>
      <c r="L861" s="438"/>
      <c r="M861" s="940"/>
      <c r="N861" s="438"/>
      <c r="O861" s="437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ht="14.25" customHeight="1">
      <c r="A862" s="1"/>
      <c r="B862" s="1"/>
      <c r="C862" s="1"/>
      <c r="D862" s="39"/>
      <c r="E862" s="39"/>
      <c r="F862" s="438"/>
      <c r="G862" s="437"/>
      <c r="H862" s="438"/>
      <c r="I862" s="437"/>
      <c r="J862" s="438"/>
      <c r="K862" s="940"/>
      <c r="L862" s="438"/>
      <c r="M862" s="940"/>
      <c r="N862" s="438"/>
      <c r="O862" s="437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ht="14.25" customHeight="1">
      <c r="A863" s="1"/>
      <c r="B863" s="1"/>
      <c r="C863" s="1"/>
      <c r="D863" s="39"/>
      <c r="E863" s="39"/>
      <c r="F863" s="438"/>
      <c r="G863" s="437"/>
      <c r="H863" s="438"/>
      <c r="I863" s="437"/>
      <c r="J863" s="438"/>
      <c r="K863" s="940"/>
      <c r="L863" s="438"/>
      <c r="M863" s="940"/>
      <c r="N863" s="438"/>
      <c r="O863" s="437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ht="14.25" customHeight="1">
      <c r="A864" s="1"/>
      <c r="B864" s="1"/>
      <c r="C864" s="1"/>
      <c r="D864" s="39"/>
      <c r="E864" s="39"/>
      <c r="F864" s="438"/>
      <c r="G864" s="437"/>
      <c r="H864" s="438"/>
      <c r="I864" s="437"/>
      <c r="J864" s="438"/>
      <c r="K864" s="940"/>
      <c r="L864" s="438"/>
      <c r="M864" s="940"/>
      <c r="N864" s="438"/>
      <c r="O864" s="437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ht="14.25" customHeight="1">
      <c r="A865" s="1"/>
      <c r="B865" s="1"/>
      <c r="C865" s="1"/>
      <c r="D865" s="39"/>
      <c r="E865" s="39"/>
      <c r="F865" s="438"/>
      <c r="G865" s="437"/>
      <c r="H865" s="438"/>
      <c r="I865" s="437"/>
      <c r="J865" s="438"/>
      <c r="K865" s="940"/>
      <c r="L865" s="438"/>
      <c r="M865" s="940"/>
      <c r="N865" s="438"/>
      <c r="O865" s="437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ht="14.25" customHeight="1">
      <c r="A866" s="1"/>
      <c r="B866" s="1"/>
      <c r="C866" s="1"/>
      <c r="D866" s="39"/>
      <c r="E866" s="39"/>
      <c r="F866" s="438"/>
      <c r="G866" s="437"/>
      <c r="H866" s="438"/>
      <c r="I866" s="437"/>
      <c r="J866" s="438"/>
      <c r="K866" s="940"/>
      <c r="L866" s="438"/>
      <c r="M866" s="940"/>
      <c r="N866" s="438"/>
      <c r="O866" s="437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ht="14.25" customHeight="1">
      <c r="A867" s="1"/>
      <c r="B867" s="1"/>
      <c r="C867" s="1"/>
      <c r="D867" s="39"/>
      <c r="E867" s="39"/>
      <c r="F867" s="438"/>
      <c r="G867" s="437"/>
      <c r="H867" s="438"/>
      <c r="I867" s="437"/>
      <c r="J867" s="438"/>
      <c r="K867" s="940"/>
      <c r="L867" s="438"/>
      <c r="M867" s="940"/>
      <c r="N867" s="438"/>
      <c r="O867" s="43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ht="14.25" customHeight="1">
      <c r="A868" s="1"/>
      <c r="B868" s="1"/>
      <c r="C868" s="1"/>
      <c r="D868" s="39"/>
      <c r="E868" s="39"/>
      <c r="F868" s="438"/>
      <c r="G868" s="437"/>
      <c r="H868" s="438"/>
      <c r="I868" s="437"/>
      <c r="J868" s="438"/>
      <c r="K868" s="940"/>
      <c r="L868" s="438"/>
      <c r="M868" s="940"/>
      <c r="N868" s="438"/>
      <c r="O868" s="437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ht="14.25" customHeight="1">
      <c r="A869" s="1"/>
      <c r="B869" s="1"/>
      <c r="C869" s="1"/>
      <c r="D869" s="39"/>
      <c r="E869" s="39"/>
      <c r="F869" s="438"/>
      <c r="G869" s="437"/>
      <c r="H869" s="438"/>
      <c r="I869" s="437"/>
      <c r="J869" s="438"/>
      <c r="K869" s="940"/>
      <c r="L869" s="438"/>
      <c r="M869" s="940"/>
      <c r="N869" s="438"/>
      <c r="O869" s="437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ht="14.25" customHeight="1">
      <c r="A870" s="1"/>
      <c r="B870" s="1"/>
      <c r="C870" s="1"/>
      <c r="D870" s="39"/>
      <c r="E870" s="39"/>
      <c r="F870" s="438"/>
      <c r="G870" s="437"/>
      <c r="H870" s="438"/>
      <c r="I870" s="437"/>
      <c r="J870" s="438"/>
      <c r="K870" s="940"/>
      <c r="L870" s="438"/>
      <c r="M870" s="940"/>
      <c r="N870" s="438"/>
      <c r="O870" s="437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ht="14.25" customHeight="1">
      <c r="A871" s="1"/>
      <c r="B871" s="1"/>
      <c r="C871" s="1"/>
      <c r="D871" s="39"/>
      <c r="E871" s="39"/>
      <c r="F871" s="438"/>
      <c r="G871" s="437"/>
      <c r="H871" s="438"/>
      <c r="I871" s="437"/>
      <c r="J871" s="438"/>
      <c r="K871" s="940"/>
      <c r="L871" s="438"/>
      <c r="M871" s="940"/>
      <c r="N871" s="438"/>
      <c r="O871" s="437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ht="14.25" customHeight="1">
      <c r="A872" s="1"/>
      <c r="B872" s="1"/>
      <c r="C872" s="1"/>
      <c r="D872" s="39"/>
      <c r="E872" s="39"/>
      <c r="F872" s="438"/>
      <c r="G872" s="437"/>
      <c r="H872" s="438"/>
      <c r="I872" s="437"/>
      <c r="J872" s="438"/>
      <c r="K872" s="940"/>
      <c r="L872" s="438"/>
      <c r="M872" s="940"/>
      <c r="N872" s="438"/>
      <c r="O872" s="437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ht="14.25" customHeight="1">
      <c r="A873" s="1"/>
      <c r="B873" s="1"/>
      <c r="C873" s="1"/>
      <c r="D873" s="39"/>
      <c r="E873" s="39"/>
      <c r="F873" s="438"/>
      <c r="G873" s="437"/>
      <c r="H873" s="438"/>
      <c r="I873" s="437"/>
      <c r="J873" s="438"/>
      <c r="K873" s="940"/>
      <c r="L873" s="438"/>
      <c r="M873" s="940"/>
      <c r="N873" s="438"/>
      <c r="O873" s="437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ht="14.25" customHeight="1">
      <c r="A874" s="1"/>
      <c r="B874" s="1"/>
      <c r="C874" s="1"/>
      <c r="D874" s="39"/>
      <c r="E874" s="39"/>
      <c r="F874" s="438"/>
      <c r="G874" s="437"/>
      <c r="H874" s="438"/>
      <c r="I874" s="437"/>
      <c r="J874" s="438"/>
      <c r="K874" s="940"/>
      <c r="L874" s="438"/>
      <c r="M874" s="940"/>
      <c r="N874" s="438"/>
      <c r="O874" s="437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ht="14.25" customHeight="1">
      <c r="A875" s="1"/>
      <c r="B875" s="1"/>
      <c r="C875" s="1"/>
      <c r="D875" s="39"/>
      <c r="E875" s="39"/>
      <c r="F875" s="438"/>
      <c r="G875" s="437"/>
      <c r="H875" s="438"/>
      <c r="I875" s="437"/>
      <c r="J875" s="438"/>
      <c r="K875" s="940"/>
      <c r="L875" s="438"/>
      <c r="M875" s="940"/>
      <c r="N875" s="438"/>
      <c r="O875" s="437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ht="14.25" customHeight="1">
      <c r="A876" s="1"/>
      <c r="B876" s="1"/>
      <c r="C876" s="1"/>
      <c r="D876" s="39"/>
      <c r="E876" s="39"/>
      <c r="F876" s="438"/>
      <c r="G876" s="437"/>
      <c r="H876" s="438"/>
      <c r="I876" s="437"/>
      <c r="J876" s="438"/>
      <c r="K876" s="940"/>
      <c r="L876" s="438"/>
      <c r="M876" s="940"/>
      <c r="N876" s="438"/>
      <c r="O876" s="437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ht="14.25" customHeight="1">
      <c r="A877" s="1"/>
      <c r="B877" s="1"/>
      <c r="C877" s="1"/>
      <c r="D877" s="39"/>
      <c r="E877" s="39"/>
      <c r="F877" s="438"/>
      <c r="G877" s="437"/>
      <c r="H877" s="438"/>
      <c r="I877" s="437"/>
      <c r="J877" s="438"/>
      <c r="K877" s="940"/>
      <c r="L877" s="438"/>
      <c r="M877" s="940"/>
      <c r="N877" s="438"/>
      <c r="O877" s="43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ht="14.25" customHeight="1">
      <c r="A878" s="1"/>
      <c r="B878" s="1"/>
      <c r="C878" s="1"/>
      <c r="D878" s="39"/>
      <c r="E878" s="39"/>
      <c r="F878" s="438"/>
      <c r="G878" s="437"/>
      <c r="H878" s="438"/>
      <c r="I878" s="437"/>
      <c r="J878" s="438"/>
      <c r="K878" s="940"/>
      <c r="L878" s="438"/>
      <c r="M878" s="940"/>
      <c r="N878" s="438"/>
      <c r="O878" s="437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ht="14.25" customHeight="1">
      <c r="A879" s="1"/>
      <c r="B879" s="1"/>
      <c r="C879" s="1"/>
      <c r="D879" s="39"/>
      <c r="E879" s="39"/>
      <c r="F879" s="438"/>
      <c r="G879" s="437"/>
      <c r="H879" s="438"/>
      <c r="I879" s="437"/>
      <c r="J879" s="438"/>
      <c r="K879" s="940"/>
      <c r="L879" s="438"/>
      <c r="M879" s="940"/>
      <c r="N879" s="438"/>
      <c r="O879" s="437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ht="14.25" customHeight="1">
      <c r="A880" s="1"/>
      <c r="B880" s="1"/>
      <c r="C880" s="1"/>
      <c r="D880" s="39"/>
      <c r="E880" s="39"/>
      <c r="F880" s="438"/>
      <c r="G880" s="437"/>
      <c r="H880" s="438"/>
      <c r="I880" s="437"/>
      <c r="J880" s="438"/>
      <c r="K880" s="940"/>
      <c r="L880" s="438"/>
      <c r="M880" s="940"/>
      <c r="N880" s="438"/>
      <c r="O880" s="437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ht="14.25" customHeight="1">
      <c r="A881" s="1"/>
      <c r="B881" s="1"/>
      <c r="C881" s="1"/>
      <c r="D881" s="39"/>
      <c r="E881" s="39"/>
      <c r="F881" s="438"/>
      <c r="G881" s="437"/>
      <c r="H881" s="438"/>
      <c r="I881" s="437"/>
      <c r="J881" s="438"/>
      <c r="K881" s="940"/>
      <c r="L881" s="438"/>
      <c r="M881" s="940"/>
      <c r="N881" s="438"/>
      <c r="O881" s="437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ht="14.25" customHeight="1">
      <c r="A882" s="1"/>
      <c r="B882" s="1"/>
      <c r="C882" s="1"/>
      <c r="D882" s="39"/>
      <c r="E882" s="39"/>
      <c r="F882" s="438"/>
      <c r="G882" s="437"/>
      <c r="H882" s="438"/>
      <c r="I882" s="437"/>
      <c r="J882" s="438"/>
      <c r="K882" s="940"/>
      <c r="L882" s="438"/>
      <c r="M882" s="940"/>
      <c r="N882" s="438"/>
      <c r="O882" s="437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ht="14.25" customHeight="1">
      <c r="A883" s="1"/>
      <c r="B883" s="1"/>
      <c r="C883" s="1"/>
      <c r="D883" s="39"/>
      <c r="E883" s="39"/>
      <c r="F883" s="438"/>
      <c r="G883" s="437"/>
      <c r="H883" s="438"/>
      <c r="I883" s="437"/>
      <c r="J883" s="438"/>
      <c r="K883" s="940"/>
      <c r="L883" s="438"/>
      <c r="M883" s="940"/>
      <c r="N883" s="438"/>
      <c r="O883" s="437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ht="14.25" customHeight="1">
      <c r="A884" s="1"/>
      <c r="B884" s="1"/>
      <c r="C884" s="1"/>
      <c r="D884" s="39"/>
      <c r="E884" s="39"/>
      <c r="F884" s="438"/>
      <c r="G884" s="437"/>
      <c r="H884" s="438"/>
      <c r="I884" s="437"/>
      <c r="J884" s="438"/>
      <c r="K884" s="940"/>
      <c r="L884" s="438"/>
      <c r="M884" s="940"/>
      <c r="N884" s="438"/>
      <c r="O884" s="437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ht="14.25" customHeight="1">
      <c r="A885" s="1"/>
      <c r="B885" s="1"/>
      <c r="C885" s="1"/>
      <c r="D885" s="39"/>
      <c r="E885" s="39"/>
      <c r="F885" s="438"/>
      <c r="G885" s="437"/>
      <c r="H885" s="438"/>
      <c r="I885" s="437"/>
      <c r="J885" s="438"/>
      <c r="K885" s="940"/>
      <c r="L885" s="438"/>
      <c r="M885" s="940"/>
      <c r="N885" s="438"/>
      <c r="O885" s="437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ht="14.25" customHeight="1">
      <c r="A886" s="1"/>
      <c r="B886" s="1"/>
      <c r="C886" s="1"/>
      <c r="D886" s="39"/>
      <c r="E886" s="39"/>
      <c r="F886" s="438"/>
      <c r="G886" s="437"/>
      <c r="H886" s="438"/>
      <c r="I886" s="437"/>
      <c r="J886" s="438"/>
      <c r="K886" s="940"/>
      <c r="L886" s="438"/>
      <c r="M886" s="940"/>
      <c r="N886" s="438"/>
      <c r="O886" s="437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ht="14.25" customHeight="1">
      <c r="A887" s="1"/>
      <c r="B887" s="1"/>
      <c r="C887" s="1"/>
      <c r="D887" s="39"/>
      <c r="E887" s="39"/>
      <c r="F887" s="438"/>
      <c r="G887" s="437"/>
      <c r="H887" s="438"/>
      <c r="I887" s="437"/>
      <c r="J887" s="438"/>
      <c r="K887" s="940"/>
      <c r="L887" s="438"/>
      <c r="M887" s="940"/>
      <c r="N887" s="438"/>
      <c r="O887" s="43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ht="14.25" customHeight="1">
      <c r="A888" s="1"/>
      <c r="B888" s="1"/>
      <c r="C888" s="1"/>
      <c r="D888" s="39"/>
      <c r="E888" s="39"/>
      <c r="F888" s="438"/>
      <c r="G888" s="437"/>
      <c r="H888" s="438"/>
      <c r="I888" s="437"/>
      <c r="J888" s="438"/>
      <c r="K888" s="940"/>
      <c r="L888" s="438"/>
      <c r="M888" s="940"/>
      <c r="N888" s="438"/>
      <c r="O888" s="437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ht="14.25" customHeight="1">
      <c r="A889" s="1"/>
      <c r="B889" s="1"/>
      <c r="C889" s="1"/>
      <c r="D889" s="39"/>
      <c r="E889" s="39"/>
      <c r="F889" s="438"/>
      <c r="G889" s="437"/>
      <c r="H889" s="438"/>
      <c r="I889" s="437"/>
      <c r="J889" s="438"/>
      <c r="K889" s="940"/>
      <c r="L889" s="438"/>
      <c r="M889" s="940"/>
      <c r="N889" s="438"/>
      <c r="O889" s="437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ht="14.25" customHeight="1">
      <c r="A890" s="1"/>
      <c r="B890" s="1"/>
      <c r="C890" s="1"/>
      <c r="D890" s="39"/>
      <c r="E890" s="39"/>
      <c r="F890" s="438"/>
      <c r="G890" s="437"/>
      <c r="H890" s="438"/>
      <c r="I890" s="437"/>
      <c r="J890" s="438"/>
      <c r="K890" s="940"/>
      <c r="L890" s="438"/>
      <c r="M890" s="940"/>
      <c r="N890" s="438"/>
      <c r="O890" s="437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ht="14.25" customHeight="1">
      <c r="A891" s="1"/>
      <c r="B891" s="1"/>
      <c r="C891" s="1"/>
      <c r="D891" s="39"/>
      <c r="E891" s="39"/>
      <c r="F891" s="438"/>
      <c r="G891" s="437"/>
      <c r="H891" s="438"/>
      <c r="I891" s="437"/>
      <c r="J891" s="438"/>
      <c r="K891" s="940"/>
      <c r="L891" s="438"/>
      <c r="M891" s="940"/>
      <c r="N891" s="438"/>
      <c r="O891" s="437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ht="14.25" customHeight="1">
      <c r="A892" s="1"/>
      <c r="B892" s="1"/>
      <c r="C892" s="1"/>
      <c r="D892" s="39"/>
      <c r="E892" s="39"/>
      <c r="F892" s="438"/>
      <c r="G892" s="437"/>
      <c r="H892" s="438"/>
      <c r="I892" s="437"/>
      <c r="J892" s="438"/>
      <c r="K892" s="940"/>
      <c r="L892" s="438"/>
      <c r="M892" s="940"/>
      <c r="N892" s="438"/>
      <c r="O892" s="437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ht="14.25" customHeight="1">
      <c r="A893" s="1"/>
      <c r="B893" s="1"/>
      <c r="C893" s="1"/>
      <c r="D893" s="39"/>
      <c r="E893" s="39"/>
      <c r="F893" s="438"/>
      <c r="G893" s="437"/>
      <c r="H893" s="438"/>
      <c r="I893" s="437"/>
      <c r="J893" s="438"/>
      <c r="K893" s="940"/>
      <c r="L893" s="438"/>
      <c r="M893" s="940"/>
      <c r="N893" s="438"/>
      <c r="O893" s="437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ht="14.25" customHeight="1">
      <c r="A894" s="1"/>
      <c r="B894" s="1"/>
      <c r="C894" s="1"/>
      <c r="D894" s="39"/>
      <c r="E894" s="39"/>
      <c r="F894" s="438"/>
      <c r="G894" s="437"/>
      <c r="H894" s="438"/>
      <c r="I894" s="437"/>
      <c r="J894" s="438"/>
      <c r="K894" s="940"/>
      <c r="L894" s="438"/>
      <c r="M894" s="940"/>
      <c r="N894" s="438"/>
      <c r="O894" s="437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ht="14.25" customHeight="1">
      <c r="A895" s="1"/>
      <c r="B895" s="1"/>
      <c r="C895" s="1"/>
      <c r="D895" s="39"/>
      <c r="E895" s="39"/>
      <c r="F895" s="438"/>
      <c r="G895" s="437"/>
      <c r="H895" s="438"/>
      <c r="I895" s="437"/>
      <c r="J895" s="438"/>
      <c r="K895" s="940"/>
      <c r="L895" s="438"/>
      <c r="M895" s="940"/>
      <c r="N895" s="438"/>
      <c r="O895" s="437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ht="14.25" customHeight="1">
      <c r="A896" s="1"/>
      <c r="B896" s="1"/>
      <c r="C896" s="1"/>
      <c r="D896" s="39"/>
      <c r="E896" s="39"/>
      <c r="F896" s="438"/>
      <c r="G896" s="437"/>
      <c r="H896" s="438"/>
      <c r="I896" s="437"/>
      <c r="J896" s="438"/>
      <c r="K896" s="940"/>
      <c r="L896" s="438"/>
      <c r="M896" s="940"/>
      <c r="N896" s="438"/>
      <c r="O896" s="437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ht="14.25" customHeight="1">
      <c r="A897" s="1"/>
      <c r="B897" s="1"/>
      <c r="C897" s="1"/>
      <c r="D897" s="39"/>
      <c r="E897" s="39"/>
      <c r="F897" s="438"/>
      <c r="G897" s="437"/>
      <c r="H897" s="438"/>
      <c r="I897" s="437"/>
      <c r="J897" s="438"/>
      <c r="K897" s="940"/>
      <c r="L897" s="438"/>
      <c r="M897" s="940"/>
      <c r="N897" s="438"/>
      <c r="O897" s="43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ht="14.25" customHeight="1">
      <c r="A898" s="1"/>
      <c r="B898" s="1"/>
      <c r="C898" s="1"/>
      <c r="D898" s="39"/>
      <c r="E898" s="39"/>
      <c r="F898" s="438"/>
      <c r="G898" s="437"/>
      <c r="H898" s="438"/>
      <c r="I898" s="437"/>
      <c r="J898" s="438"/>
      <c r="K898" s="940"/>
      <c r="L898" s="438"/>
      <c r="M898" s="940"/>
      <c r="N898" s="438"/>
      <c r="O898" s="437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ht="14.25" customHeight="1">
      <c r="A899" s="1"/>
      <c r="B899" s="1"/>
      <c r="C899" s="1"/>
      <c r="D899" s="39"/>
      <c r="E899" s="39"/>
      <c r="F899" s="438"/>
      <c r="G899" s="437"/>
      <c r="H899" s="438"/>
      <c r="I899" s="437"/>
      <c r="J899" s="438"/>
      <c r="K899" s="940"/>
      <c r="L899" s="438"/>
      <c r="M899" s="940"/>
      <c r="N899" s="438"/>
      <c r="O899" s="437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ht="14.25" customHeight="1">
      <c r="A900" s="1"/>
      <c r="B900" s="1"/>
      <c r="C900" s="1"/>
      <c r="D900" s="39"/>
      <c r="E900" s="39"/>
      <c r="F900" s="438"/>
      <c r="G900" s="437"/>
      <c r="H900" s="438"/>
      <c r="I900" s="437"/>
      <c r="J900" s="438"/>
      <c r="K900" s="940"/>
      <c r="L900" s="438"/>
      <c r="M900" s="940"/>
      <c r="N900" s="438"/>
      <c r="O900" s="437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ht="14.25" customHeight="1">
      <c r="A901" s="1"/>
      <c r="B901" s="1"/>
      <c r="C901" s="1"/>
      <c r="D901" s="39"/>
      <c r="E901" s="39"/>
      <c r="F901" s="438"/>
      <c r="G901" s="437"/>
      <c r="H901" s="438"/>
      <c r="I901" s="437"/>
      <c r="J901" s="438"/>
      <c r="K901" s="940"/>
      <c r="L901" s="438"/>
      <c r="M901" s="940"/>
      <c r="N901" s="438"/>
      <c r="O901" s="437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ht="14.25" customHeight="1">
      <c r="A902" s="1"/>
      <c r="B902" s="1"/>
      <c r="C902" s="1"/>
      <c r="D902" s="39"/>
      <c r="E902" s="39"/>
      <c r="F902" s="438"/>
      <c r="G902" s="437"/>
      <c r="H902" s="438"/>
      <c r="I902" s="437"/>
      <c r="J902" s="438"/>
      <c r="K902" s="940"/>
      <c r="L902" s="438"/>
      <c r="M902" s="940"/>
      <c r="N902" s="438"/>
      <c r="O902" s="437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ht="14.25" customHeight="1">
      <c r="A903" s="1"/>
      <c r="B903" s="1"/>
      <c r="C903" s="1"/>
      <c r="D903" s="39"/>
      <c r="E903" s="39"/>
      <c r="F903" s="438"/>
      <c r="G903" s="437"/>
      <c r="H903" s="438"/>
      <c r="I903" s="437"/>
      <c r="J903" s="438"/>
      <c r="K903" s="940"/>
      <c r="L903" s="438"/>
      <c r="M903" s="940"/>
      <c r="N903" s="438"/>
      <c r="O903" s="437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ht="14.25" customHeight="1">
      <c r="A904" s="1"/>
      <c r="B904" s="1"/>
      <c r="C904" s="1"/>
      <c r="D904" s="39"/>
      <c r="E904" s="39"/>
      <c r="F904" s="438"/>
      <c r="G904" s="437"/>
      <c r="H904" s="438"/>
      <c r="I904" s="437"/>
      <c r="J904" s="438"/>
      <c r="K904" s="940"/>
      <c r="L904" s="438"/>
      <c r="M904" s="940"/>
      <c r="N904" s="438"/>
      <c r="O904" s="437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ht="14.25" customHeight="1">
      <c r="A905" s="1"/>
      <c r="B905" s="1"/>
      <c r="C905" s="1"/>
      <c r="D905" s="39"/>
      <c r="E905" s="39"/>
      <c r="F905" s="438"/>
      <c r="G905" s="437"/>
      <c r="H905" s="438"/>
      <c r="I905" s="437"/>
      <c r="J905" s="438"/>
      <c r="K905" s="940"/>
      <c r="L905" s="438"/>
      <c r="M905" s="940"/>
      <c r="N905" s="438"/>
      <c r="O905" s="437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ht="14.25" customHeight="1">
      <c r="A906" s="1"/>
      <c r="B906" s="1"/>
      <c r="C906" s="1"/>
      <c r="D906" s="39"/>
      <c r="E906" s="39"/>
      <c r="F906" s="438"/>
      <c r="G906" s="437"/>
      <c r="H906" s="438"/>
      <c r="I906" s="437"/>
      <c r="J906" s="438"/>
      <c r="K906" s="940"/>
      <c r="L906" s="438"/>
      <c r="M906" s="940"/>
      <c r="N906" s="438"/>
      <c r="O906" s="437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ht="14.25" customHeight="1">
      <c r="A907" s="1"/>
      <c r="B907" s="1"/>
      <c r="C907" s="1"/>
      <c r="D907" s="39"/>
      <c r="E907" s="39"/>
      <c r="F907" s="438"/>
      <c r="G907" s="437"/>
      <c r="H907" s="438"/>
      <c r="I907" s="437"/>
      <c r="J907" s="438"/>
      <c r="K907" s="940"/>
      <c r="L907" s="438"/>
      <c r="M907" s="940"/>
      <c r="N907" s="438"/>
      <c r="O907" s="43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ht="14.25" customHeight="1">
      <c r="A908" s="1"/>
      <c r="B908" s="1"/>
      <c r="C908" s="1"/>
      <c r="D908" s="39"/>
      <c r="E908" s="39"/>
      <c r="F908" s="438"/>
      <c r="G908" s="437"/>
      <c r="H908" s="438"/>
      <c r="I908" s="437"/>
      <c r="J908" s="438"/>
      <c r="K908" s="940"/>
      <c r="L908" s="438"/>
      <c r="M908" s="940"/>
      <c r="N908" s="438"/>
      <c r="O908" s="437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ht="14.25" customHeight="1">
      <c r="A909" s="1"/>
      <c r="B909" s="1"/>
      <c r="C909" s="1"/>
      <c r="D909" s="39"/>
      <c r="E909" s="39"/>
      <c r="F909" s="438"/>
      <c r="G909" s="437"/>
      <c r="H909" s="438"/>
      <c r="I909" s="437"/>
      <c r="J909" s="438"/>
      <c r="K909" s="940"/>
      <c r="L909" s="438"/>
      <c r="M909" s="940"/>
      <c r="N909" s="438"/>
      <c r="O909" s="437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ht="14.25" customHeight="1">
      <c r="A910" s="1"/>
      <c r="B910" s="1"/>
      <c r="C910" s="1"/>
      <c r="D910" s="39"/>
      <c r="E910" s="39"/>
      <c r="F910" s="438"/>
      <c r="G910" s="437"/>
      <c r="H910" s="438"/>
      <c r="I910" s="437"/>
      <c r="J910" s="438"/>
      <c r="K910" s="940"/>
      <c r="L910" s="438"/>
      <c r="M910" s="940"/>
      <c r="N910" s="438"/>
      <c r="O910" s="437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ht="14.25" customHeight="1">
      <c r="A911" s="1"/>
      <c r="B911" s="1"/>
      <c r="C911" s="1"/>
      <c r="D911" s="39"/>
      <c r="E911" s="39"/>
      <c r="F911" s="438"/>
      <c r="G911" s="437"/>
      <c r="H911" s="438"/>
      <c r="I911" s="437"/>
      <c r="J911" s="438"/>
      <c r="K911" s="940"/>
      <c r="L911" s="438"/>
      <c r="M911" s="940"/>
      <c r="N911" s="438"/>
      <c r="O911" s="437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ht="14.25" customHeight="1">
      <c r="A912" s="1"/>
      <c r="B912" s="1"/>
      <c r="C912" s="1"/>
      <c r="D912" s="39"/>
      <c r="E912" s="39"/>
      <c r="F912" s="438"/>
      <c r="G912" s="437"/>
      <c r="H912" s="438"/>
      <c r="I912" s="437"/>
      <c r="J912" s="438"/>
      <c r="K912" s="940"/>
      <c r="L912" s="438"/>
      <c r="M912" s="940"/>
      <c r="N912" s="438"/>
      <c r="O912" s="437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ht="14.25" customHeight="1">
      <c r="A913" s="1"/>
      <c r="B913" s="1"/>
      <c r="C913" s="1"/>
      <c r="D913" s="39"/>
      <c r="E913" s="39"/>
      <c r="F913" s="438"/>
      <c r="G913" s="437"/>
      <c r="H913" s="438"/>
      <c r="I913" s="437"/>
      <c r="J913" s="438"/>
      <c r="K913" s="940"/>
      <c r="L913" s="438"/>
      <c r="M913" s="940"/>
      <c r="N913" s="438"/>
      <c r="O913" s="437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ht="14.25" customHeight="1">
      <c r="A914" s="1"/>
      <c r="B914" s="1"/>
      <c r="C914" s="1"/>
      <c r="D914" s="39"/>
      <c r="E914" s="39"/>
      <c r="F914" s="438"/>
      <c r="G914" s="437"/>
      <c r="H914" s="438"/>
      <c r="I914" s="437"/>
      <c r="J914" s="438"/>
      <c r="K914" s="940"/>
      <c r="L914" s="438"/>
      <c r="M914" s="940"/>
      <c r="N914" s="438"/>
      <c r="O914" s="437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ht="14.25" customHeight="1">
      <c r="A915" s="1"/>
      <c r="B915" s="1"/>
      <c r="C915" s="1"/>
      <c r="D915" s="39"/>
      <c r="E915" s="39"/>
      <c r="F915" s="438"/>
      <c r="G915" s="437"/>
      <c r="H915" s="438"/>
      <c r="I915" s="437"/>
      <c r="J915" s="438"/>
      <c r="K915" s="940"/>
      <c r="L915" s="438"/>
      <c r="M915" s="940"/>
      <c r="N915" s="438"/>
      <c r="O915" s="437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ht="14.25" customHeight="1">
      <c r="A916" s="1"/>
      <c r="B916" s="1"/>
      <c r="C916" s="1"/>
      <c r="D916" s="39"/>
      <c r="E916" s="39"/>
      <c r="F916" s="438"/>
      <c r="G916" s="437"/>
      <c r="H916" s="438"/>
      <c r="I916" s="437"/>
      <c r="J916" s="438"/>
      <c r="K916" s="940"/>
      <c r="L916" s="438"/>
      <c r="M916" s="940"/>
      <c r="N916" s="438"/>
      <c r="O916" s="437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ht="14.25" customHeight="1">
      <c r="A917" s="1"/>
      <c r="B917" s="1"/>
      <c r="C917" s="1"/>
      <c r="D917" s="39"/>
      <c r="E917" s="39"/>
      <c r="F917" s="438"/>
      <c r="G917" s="437"/>
      <c r="H917" s="438"/>
      <c r="I917" s="437"/>
      <c r="J917" s="438"/>
      <c r="K917" s="940"/>
      <c r="L917" s="438"/>
      <c r="M917" s="940"/>
      <c r="N917" s="438"/>
      <c r="O917" s="43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ht="14.25" customHeight="1">
      <c r="A918" s="1"/>
      <c r="B918" s="1"/>
      <c r="C918" s="1"/>
      <c r="D918" s="39"/>
      <c r="E918" s="39"/>
      <c r="F918" s="438"/>
      <c r="G918" s="437"/>
      <c r="H918" s="438"/>
      <c r="I918" s="437"/>
      <c r="J918" s="438"/>
      <c r="K918" s="940"/>
      <c r="L918" s="438"/>
      <c r="M918" s="940"/>
      <c r="N918" s="438"/>
      <c r="O918" s="437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ht="14.25" customHeight="1">
      <c r="A919" s="1"/>
      <c r="B919" s="1"/>
      <c r="C919" s="1"/>
      <c r="D919" s="39"/>
      <c r="E919" s="39"/>
      <c r="F919" s="438"/>
      <c r="G919" s="437"/>
      <c r="H919" s="438"/>
      <c r="I919" s="437"/>
      <c r="J919" s="438"/>
      <c r="K919" s="940"/>
      <c r="L919" s="438"/>
      <c r="M919" s="940"/>
      <c r="N919" s="438"/>
      <c r="O919" s="437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ht="14.25" customHeight="1">
      <c r="A920" s="1"/>
      <c r="B920" s="1"/>
      <c r="C920" s="1"/>
      <c r="D920" s="39"/>
      <c r="E920" s="39"/>
      <c r="F920" s="438"/>
      <c r="G920" s="437"/>
      <c r="H920" s="438"/>
      <c r="I920" s="437"/>
      <c r="J920" s="438"/>
      <c r="K920" s="940"/>
      <c r="L920" s="438"/>
      <c r="M920" s="940"/>
      <c r="N920" s="438"/>
      <c r="O920" s="437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ht="14.25" customHeight="1">
      <c r="A921" s="1"/>
      <c r="B921" s="1"/>
      <c r="C921" s="1"/>
      <c r="D921" s="39"/>
      <c r="E921" s="39"/>
      <c r="F921" s="438"/>
      <c r="G921" s="437"/>
      <c r="H921" s="438"/>
      <c r="I921" s="437"/>
      <c r="J921" s="438"/>
      <c r="K921" s="940"/>
      <c r="L921" s="438"/>
      <c r="M921" s="940"/>
      <c r="N921" s="438"/>
      <c r="O921" s="437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ht="14.25" customHeight="1">
      <c r="A922" s="1"/>
      <c r="B922" s="1"/>
      <c r="C922" s="1"/>
      <c r="D922" s="39"/>
      <c r="E922" s="39"/>
      <c r="F922" s="438"/>
      <c r="G922" s="437"/>
      <c r="H922" s="438"/>
      <c r="I922" s="437"/>
      <c r="J922" s="438"/>
      <c r="K922" s="940"/>
      <c r="L922" s="438"/>
      <c r="M922" s="940"/>
      <c r="N922" s="438"/>
      <c r="O922" s="437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ht="14.25" customHeight="1">
      <c r="A923" s="1"/>
      <c r="B923" s="1"/>
      <c r="C923" s="1"/>
      <c r="D923" s="39"/>
      <c r="E923" s="39"/>
      <c r="F923" s="438"/>
      <c r="G923" s="437"/>
      <c r="H923" s="438"/>
      <c r="I923" s="437"/>
      <c r="J923" s="438"/>
      <c r="K923" s="940"/>
      <c r="L923" s="438"/>
      <c r="M923" s="940"/>
      <c r="N923" s="438"/>
      <c r="O923" s="437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ht="14.25" customHeight="1">
      <c r="A924" s="1"/>
      <c r="B924" s="1"/>
      <c r="C924" s="1"/>
      <c r="D924" s="39"/>
      <c r="E924" s="39"/>
      <c r="F924" s="438"/>
      <c r="G924" s="437"/>
      <c r="H924" s="438"/>
      <c r="I924" s="437"/>
      <c r="J924" s="438"/>
      <c r="K924" s="940"/>
      <c r="L924" s="438"/>
      <c r="M924" s="940"/>
      <c r="N924" s="438"/>
      <c r="O924" s="437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ht="14.25" customHeight="1">
      <c r="A925" s="1"/>
      <c r="B925" s="1"/>
      <c r="C925" s="1"/>
      <c r="D925" s="39"/>
      <c r="E925" s="39"/>
      <c r="F925" s="438"/>
      <c r="G925" s="437"/>
      <c r="H925" s="438"/>
      <c r="I925" s="437"/>
      <c r="J925" s="438"/>
      <c r="K925" s="940"/>
      <c r="L925" s="438"/>
      <c r="M925" s="940"/>
      <c r="N925" s="438"/>
      <c r="O925" s="437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ht="14.25" customHeight="1">
      <c r="A926" s="1"/>
      <c r="B926" s="1"/>
      <c r="C926" s="1"/>
      <c r="D926" s="39"/>
      <c r="E926" s="39"/>
      <c r="F926" s="438"/>
      <c r="G926" s="437"/>
      <c r="H926" s="438"/>
      <c r="I926" s="437"/>
      <c r="J926" s="438"/>
      <c r="K926" s="940"/>
      <c r="L926" s="438"/>
      <c r="M926" s="940"/>
      <c r="N926" s="438"/>
      <c r="O926" s="437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ht="14.25" customHeight="1">
      <c r="A927" s="1"/>
      <c r="B927" s="1"/>
      <c r="C927" s="1"/>
      <c r="D927" s="39"/>
      <c r="E927" s="39"/>
      <c r="F927" s="438"/>
      <c r="G927" s="437"/>
      <c r="H927" s="438"/>
      <c r="I927" s="437"/>
      <c r="J927" s="438"/>
      <c r="K927" s="940"/>
      <c r="L927" s="438"/>
      <c r="M927" s="940"/>
      <c r="N927" s="438"/>
      <c r="O927" s="43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ht="14.25" customHeight="1">
      <c r="A928" s="1"/>
      <c r="B928" s="1"/>
      <c r="C928" s="1"/>
      <c r="D928" s="39"/>
      <c r="E928" s="39"/>
      <c r="F928" s="438"/>
      <c r="G928" s="437"/>
      <c r="H928" s="438"/>
      <c r="I928" s="437"/>
      <c r="J928" s="438"/>
      <c r="K928" s="940"/>
      <c r="L928" s="438"/>
      <c r="M928" s="940"/>
      <c r="N928" s="438"/>
      <c r="O928" s="437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ht="14.25" customHeight="1">
      <c r="A929" s="1"/>
      <c r="B929" s="1"/>
      <c r="C929" s="1"/>
      <c r="D929" s="39"/>
      <c r="E929" s="39"/>
      <c r="F929" s="438"/>
      <c r="G929" s="437"/>
      <c r="H929" s="438"/>
      <c r="I929" s="437"/>
      <c r="J929" s="438"/>
      <c r="K929" s="940"/>
      <c r="L929" s="438"/>
      <c r="M929" s="940"/>
      <c r="N929" s="438"/>
      <c r="O929" s="437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ht="14.25" customHeight="1">
      <c r="A930" s="1"/>
      <c r="B930" s="1"/>
      <c r="C930" s="1"/>
      <c r="D930" s="39"/>
      <c r="E930" s="39"/>
      <c r="F930" s="438"/>
      <c r="G930" s="437"/>
      <c r="H930" s="438"/>
      <c r="I930" s="437"/>
      <c r="J930" s="438"/>
      <c r="K930" s="940"/>
      <c r="L930" s="438"/>
      <c r="M930" s="940"/>
      <c r="N930" s="438"/>
      <c r="O930" s="437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ht="14.25" customHeight="1">
      <c r="A931" s="1"/>
      <c r="B931" s="1"/>
      <c r="C931" s="1"/>
      <c r="D931" s="39"/>
      <c r="E931" s="39"/>
      <c r="F931" s="438"/>
      <c r="G931" s="437"/>
      <c r="H931" s="438"/>
      <c r="I931" s="437"/>
      <c r="J931" s="438"/>
      <c r="K931" s="940"/>
      <c r="L931" s="438"/>
      <c r="M931" s="940"/>
      <c r="N931" s="438"/>
      <c r="O931" s="437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ht="14.25" customHeight="1">
      <c r="A932" s="1"/>
      <c r="B932" s="1"/>
      <c r="C932" s="1"/>
      <c r="D932" s="39"/>
      <c r="E932" s="39"/>
      <c r="F932" s="438"/>
      <c r="G932" s="437"/>
      <c r="H932" s="438"/>
      <c r="I932" s="437"/>
      <c r="J932" s="438"/>
      <c r="K932" s="940"/>
      <c r="L932" s="438"/>
      <c r="M932" s="940"/>
      <c r="N932" s="438"/>
      <c r="O932" s="437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ht="14.25" customHeight="1">
      <c r="A933" s="1"/>
      <c r="B933" s="1"/>
      <c r="C933" s="1"/>
      <c r="D933" s="39"/>
      <c r="E933" s="39"/>
      <c r="F933" s="438"/>
      <c r="G933" s="437"/>
      <c r="H933" s="438"/>
      <c r="I933" s="437"/>
      <c r="J933" s="438"/>
      <c r="K933" s="940"/>
      <c r="L933" s="438"/>
      <c r="M933" s="940"/>
      <c r="N933" s="438"/>
      <c r="O933" s="437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ht="14.25" customHeight="1">
      <c r="A934" s="1"/>
      <c r="B934" s="1"/>
      <c r="C934" s="1"/>
      <c r="D934" s="39"/>
      <c r="E934" s="39"/>
      <c r="F934" s="438"/>
      <c r="G934" s="437"/>
      <c r="H934" s="438"/>
      <c r="I934" s="437"/>
      <c r="J934" s="438"/>
      <c r="K934" s="940"/>
      <c r="L934" s="438"/>
      <c r="M934" s="940"/>
      <c r="N934" s="438"/>
      <c r="O934" s="437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ht="14.25" customHeight="1">
      <c r="A935" s="1"/>
      <c r="B935" s="1"/>
      <c r="C935" s="1"/>
      <c r="D935" s="39"/>
      <c r="E935" s="39"/>
      <c r="F935" s="438"/>
      <c r="G935" s="437"/>
      <c r="H935" s="438"/>
      <c r="I935" s="437"/>
      <c r="J935" s="438"/>
      <c r="K935" s="940"/>
      <c r="L935" s="438"/>
      <c r="M935" s="940"/>
      <c r="N935" s="438"/>
      <c r="O935" s="437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ht="14.25" customHeight="1">
      <c r="A936" s="1"/>
      <c r="B936" s="1"/>
      <c r="C936" s="1"/>
      <c r="D936" s="39"/>
      <c r="E936" s="39"/>
      <c r="F936" s="438"/>
      <c r="G936" s="437"/>
      <c r="H936" s="438"/>
      <c r="I936" s="437"/>
      <c r="J936" s="438"/>
      <c r="K936" s="940"/>
      <c r="L936" s="438"/>
      <c r="M936" s="940"/>
      <c r="N936" s="438"/>
      <c r="O936" s="437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ht="14.25" customHeight="1">
      <c r="A937" s="1"/>
      <c r="B937" s="1"/>
      <c r="C937" s="1"/>
      <c r="D937" s="39"/>
      <c r="E937" s="39"/>
      <c r="F937" s="438"/>
      <c r="G937" s="437"/>
      <c r="H937" s="438"/>
      <c r="I937" s="437"/>
      <c r="J937" s="438"/>
      <c r="K937" s="940"/>
      <c r="L937" s="438"/>
      <c r="M937" s="940"/>
      <c r="N937" s="438"/>
      <c r="O937" s="4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ht="14.25" customHeight="1">
      <c r="A938" s="1"/>
      <c r="B938" s="1"/>
      <c r="C938" s="1"/>
      <c r="D938" s="39"/>
      <c r="E938" s="39"/>
      <c r="F938" s="438"/>
      <c r="G938" s="437"/>
      <c r="H938" s="438"/>
      <c r="I938" s="437"/>
      <c r="J938" s="438"/>
      <c r="K938" s="940"/>
      <c r="L938" s="438"/>
      <c r="M938" s="940"/>
      <c r="N938" s="438"/>
      <c r="O938" s="437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ht="14.25" customHeight="1">
      <c r="A939" s="1"/>
      <c r="B939" s="1"/>
      <c r="C939" s="1"/>
      <c r="D939" s="39"/>
      <c r="E939" s="39"/>
      <c r="F939" s="438"/>
      <c r="G939" s="437"/>
      <c r="H939" s="438"/>
      <c r="I939" s="437"/>
      <c r="J939" s="438"/>
      <c r="K939" s="940"/>
      <c r="L939" s="438"/>
      <c r="M939" s="940"/>
      <c r="N939" s="438"/>
      <c r="O939" s="437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ht="14.25" customHeight="1">
      <c r="A940" s="1"/>
      <c r="B940" s="1"/>
      <c r="C940" s="1"/>
      <c r="D940" s="39"/>
      <c r="E940" s="39"/>
      <c r="F940" s="438"/>
      <c r="G940" s="437"/>
      <c r="H940" s="438"/>
      <c r="I940" s="437"/>
      <c r="J940" s="438"/>
      <c r="K940" s="940"/>
      <c r="L940" s="438"/>
      <c r="M940" s="940"/>
      <c r="N940" s="438"/>
      <c r="O940" s="437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ht="14.25" customHeight="1">
      <c r="A941" s="1"/>
      <c r="B941" s="1"/>
      <c r="C941" s="1"/>
      <c r="D941" s="39"/>
      <c r="E941" s="39"/>
      <c r="F941" s="438"/>
      <c r="G941" s="437"/>
      <c r="H941" s="438"/>
      <c r="I941" s="437"/>
      <c r="J941" s="438"/>
      <c r="K941" s="940"/>
      <c r="L941" s="438"/>
      <c r="M941" s="940"/>
      <c r="N941" s="438"/>
      <c r="O941" s="437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ht="14.25" customHeight="1">
      <c r="A942" s="1"/>
      <c r="B942" s="1"/>
      <c r="C942" s="1"/>
      <c r="D942" s="39"/>
      <c r="E942" s="39"/>
      <c r="F942" s="438"/>
      <c r="G942" s="437"/>
      <c r="H942" s="438"/>
      <c r="I942" s="437"/>
      <c r="J942" s="438"/>
      <c r="K942" s="940"/>
      <c r="L942" s="438"/>
      <c r="M942" s="940"/>
      <c r="N942" s="438"/>
      <c r="O942" s="437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ht="14.25" customHeight="1">
      <c r="A943" s="1"/>
      <c r="B943" s="1"/>
      <c r="C943" s="1"/>
      <c r="D943" s="39"/>
      <c r="E943" s="39"/>
      <c r="F943" s="438"/>
      <c r="G943" s="437"/>
      <c r="H943" s="438"/>
      <c r="I943" s="437"/>
      <c r="J943" s="438"/>
      <c r="K943" s="940"/>
      <c r="L943" s="438"/>
      <c r="M943" s="940"/>
      <c r="N943" s="438"/>
      <c r="O943" s="437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ht="14.25" customHeight="1">
      <c r="A944" s="1"/>
      <c r="B944" s="1"/>
      <c r="C944" s="1"/>
      <c r="D944" s="39"/>
      <c r="E944" s="39"/>
      <c r="F944" s="438"/>
      <c r="G944" s="437"/>
      <c r="H944" s="438"/>
      <c r="I944" s="437"/>
      <c r="J944" s="438"/>
      <c r="K944" s="940"/>
      <c r="L944" s="438"/>
      <c r="M944" s="940"/>
      <c r="N944" s="438"/>
      <c r="O944" s="437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ht="14.25" customHeight="1">
      <c r="A945" s="1"/>
      <c r="B945" s="1"/>
      <c r="C945" s="1"/>
      <c r="D945" s="39"/>
      <c r="E945" s="39"/>
      <c r="F945" s="438"/>
      <c r="G945" s="437"/>
      <c r="H945" s="438"/>
      <c r="I945" s="437"/>
      <c r="J945" s="438"/>
      <c r="K945" s="940"/>
      <c r="L945" s="438"/>
      <c r="M945" s="940"/>
      <c r="N945" s="438"/>
      <c r="O945" s="437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ht="14.25" customHeight="1">
      <c r="A946" s="1"/>
      <c r="B946" s="1"/>
      <c r="C946" s="1"/>
      <c r="D946" s="39"/>
      <c r="E946" s="39"/>
      <c r="F946" s="438"/>
      <c r="G946" s="437"/>
      <c r="H946" s="438"/>
      <c r="I946" s="437"/>
      <c r="J946" s="438"/>
      <c r="K946" s="940"/>
      <c r="L946" s="438"/>
      <c r="M946" s="940"/>
      <c r="N946" s="438"/>
      <c r="O946" s="437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ht="14.25" customHeight="1">
      <c r="A947" s="1"/>
      <c r="B947" s="1"/>
      <c r="C947" s="1"/>
      <c r="D947" s="39"/>
      <c r="E947" s="39"/>
      <c r="F947" s="438"/>
      <c r="G947" s="437"/>
      <c r="H947" s="438"/>
      <c r="I947" s="437"/>
      <c r="J947" s="438"/>
      <c r="K947" s="940"/>
      <c r="L947" s="438"/>
      <c r="M947" s="940"/>
      <c r="N947" s="438"/>
      <c r="O947" s="43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ht="14.25" customHeight="1">
      <c r="A948" s="1"/>
      <c r="B948" s="1"/>
      <c r="C948" s="1"/>
      <c r="D948" s="39"/>
      <c r="E948" s="39"/>
      <c r="F948" s="438"/>
      <c r="G948" s="437"/>
      <c r="H948" s="438"/>
      <c r="I948" s="437"/>
      <c r="J948" s="438"/>
      <c r="K948" s="940"/>
      <c r="L948" s="438"/>
      <c r="M948" s="940"/>
      <c r="N948" s="438"/>
      <c r="O948" s="437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ht="14.25" customHeight="1">
      <c r="A949" s="1"/>
      <c r="B949" s="1"/>
      <c r="C949" s="1"/>
      <c r="D949" s="39"/>
      <c r="E949" s="39"/>
      <c r="F949" s="438"/>
      <c r="G949" s="437"/>
      <c r="H949" s="438"/>
      <c r="I949" s="437"/>
      <c r="J949" s="438"/>
      <c r="K949" s="940"/>
      <c r="L949" s="438"/>
      <c r="M949" s="940"/>
      <c r="N949" s="438"/>
      <c r="O949" s="437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ht="14.25" customHeight="1">
      <c r="A950" s="1"/>
      <c r="B950" s="1"/>
      <c r="C950" s="1"/>
      <c r="D950" s="39"/>
      <c r="E950" s="39"/>
      <c r="F950" s="438"/>
      <c r="G950" s="437"/>
      <c r="H950" s="438"/>
      <c r="I950" s="437"/>
      <c r="J950" s="438"/>
      <c r="K950" s="940"/>
      <c r="L950" s="438"/>
      <c r="M950" s="940"/>
      <c r="N950" s="438"/>
      <c r="O950" s="437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ht="14.25" customHeight="1">
      <c r="A951" s="1"/>
      <c r="B951" s="1"/>
      <c r="C951" s="1"/>
      <c r="D951" s="39"/>
      <c r="E951" s="39"/>
      <c r="F951" s="438"/>
      <c r="G951" s="437"/>
      <c r="H951" s="438"/>
      <c r="I951" s="437"/>
      <c r="J951" s="438"/>
      <c r="K951" s="940"/>
      <c r="L951" s="438"/>
      <c r="M951" s="940"/>
      <c r="N951" s="438"/>
      <c r="O951" s="437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ht="14.25" customHeight="1">
      <c r="A952" s="1"/>
      <c r="B952" s="1"/>
      <c r="C952" s="1"/>
      <c r="D952" s="39"/>
      <c r="E952" s="39"/>
      <c r="F952" s="438"/>
      <c r="G952" s="437"/>
      <c r="H952" s="438"/>
      <c r="I952" s="437"/>
      <c r="J952" s="438"/>
      <c r="K952" s="940"/>
      <c r="L952" s="438"/>
      <c r="M952" s="940"/>
      <c r="N952" s="438"/>
      <c r="O952" s="437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ht="14.25" customHeight="1">
      <c r="A953" s="1"/>
      <c r="B953" s="1"/>
      <c r="C953" s="1"/>
      <c r="D953" s="39"/>
      <c r="E953" s="39"/>
      <c r="F953" s="438"/>
      <c r="G953" s="437"/>
      <c r="H953" s="438"/>
      <c r="I953" s="437"/>
      <c r="J953" s="438"/>
      <c r="K953" s="940"/>
      <c r="L953" s="438"/>
      <c r="M953" s="940"/>
      <c r="N953" s="438"/>
      <c r="O953" s="437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ht="14.25" customHeight="1">
      <c r="A954" s="1"/>
      <c r="B954" s="1"/>
      <c r="C954" s="1"/>
      <c r="D954" s="39"/>
      <c r="E954" s="39"/>
      <c r="F954" s="438"/>
      <c r="G954" s="437"/>
      <c r="H954" s="438"/>
      <c r="I954" s="437"/>
      <c r="J954" s="438"/>
      <c r="K954" s="940"/>
      <c r="L954" s="438"/>
      <c r="M954" s="940"/>
      <c r="N954" s="438"/>
      <c r="O954" s="437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ht="14.25" customHeight="1">
      <c r="A955" s="1"/>
      <c r="B955" s="1"/>
      <c r="C955" s="1"/>
      <c r="D955" s="39"/>
      <c r="E955" s="39"/>
      <c r="F955" s="438"/>
      <c r="G955" s="437"/>
      <c r="H955" s="438"/>
      <c r="I955" s="437"/>
      <c r="J955" s="438"/>
      <c r="K955" s="940"/>
      <c r="L955" s="438"/>
      <c r="M955" s="940"/>
      <c r="N955" s="438"/>
      <c r="O955" s="437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ht="14.25" customHeight="1">
      <c r="A956" s="1"/>
      <c r="B956" s="1"/>
      <c r="C956" s="1"/>
      <c r="D956" s="39"/>
      <c r="E956" s="39"/>
      <c r="F956" s="438"/>
      <c r="G956" s="437"/>
      <c r="H956" s="438"/>
      <c r="I956" s="437"/>
      <c r="J956" s="438"/>
      <c r="K956" s="940"/>
      <c r="L956" s="438"/>
      <c r="M956" s="940"/>
      <c r="N956" s="438"/>
      <c r="O956" s="437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ht="14.25" customHeight="1">
      <c r="A957" s="1"/>
      <c r="B957" s="1"/>
      <c r="C957" s="1"/>
      <c r="D957" s="39"/>
      <c r="E957" s="39"/>
      <c r="F957" s="438"/>
      <c r="G957" s="437"/>
      <c r="H957" s="438"/>
      <c r="I957" s="437"/>
      <c r="J957" s="438"/>
      <c r="K957" s="940"/>
      <c r="L957" s="438"/>
      <c r="M957" s="940"/>
      <c r="N957" s="438"/>
      <c r="O957" s="43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ht="14.25" customHeight="1">
      <c r="A958" s="1"/>
      <c r="B958" s="1"/>
      <c r="C958" s="1"/>
      <c r="D958" s="39"/>
      <c r="E958" s="39"/>
      <c r="F958" s="438"/>
      <c r="G958" s="437"/>
      <c r="H958" s="438"/>
      <c r="I958" s="437"/>
      <c r="J958" s="438"/>
      <c r="K958" s="940"/>
      <c r="L958" s="438"/>
      <c r="M958" s="940"/>
      <c r="N958" s="438"/>
      <c r="O958" s="437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ht="14.25" customHeight="1">
      <c r="A959" s="1"/>
      <c r="B959" s="1"/>
      <c r="C959" s="1"/>
      <c r="D959" s="39"/>
      <c r="E959" s="39"/>
      <c r="F959" s="438"/>
      <c r="G959" s="437"/>
      <c r="H959" s="438"/>
      <c r="I959" s="437"/>
      <c r="J959" s="438"/>
      <c r="K959" s="940"/>
      <c r="L959" s="438"/>
      <c r="M959" s="940"/>
      <c r="N959" s="438"/>
      <c r="O959" s="437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ht="14.25" customHeight="1">
      <c r="A960" s="1"/>
      <c r="B960" s="1"/>
      <c r="C960" s="1"/>
      <c r="D960" s="39"/>
      <c r="E960" s="39"/>
      <c r="F960" s="438"/>
      <c r="G960" s="437"/>
      <c r="H960" s="438"/>
      <c r="I960" s="437"/>
      <c r="J960" s="438"/>
      <c r="K960" s="940"/>
      <c r="L960" s="438"/>
      <c r="M960" s="940"/>
      <c r="N960" s="438"/>
      <c r="O960" s="437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ht="14.25" customHeight="1">
      <c r="A961" s="1"/>
      <c r="B961" s="1"/>
      <c r="C961" s="1"/>
      <c r="D961" s="39"/>
      <c r="E961" s="39"/>
      <c r="F961" s="438"/>
      <c r="G961" s="437"/>
      <c r="H961" s="438"/>
      <c r="I961" s="437"/>
      <c r="J961" s="438"/>
      <c r="K961" s="940"/>
      <c r="L961" s="438"/>
      <c r="M961" s="940"/>
      <c r="N961" s="438"/>
      <c r="O961" s="437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ht="14.25" customHeight="1">
      <c r="A962" s="1"/>
      <c r="B962" s="1"/>
      <c r="C962" s="1"/>
      <c r="D962" s="39"/>
      <c r="E962" s="39"/>
      <c r="F962" s="438"/>
      <c r="G962" s="437"/>
      <c r="H962" s="438"/>
      <c r="I962" s="437"/>
      <c r="J962" s="438"/>
      <c r="K962" s="940"/>
      <c r="L962" s="438"/>
      <c r="M962" s="940"/>
      <c r="N962" s="438"/>
      <c r="O962" s="437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ht="14.25" customHeight="1">
      <c r="A963" s="1"/>
      <c r="B963" s="1"/>
      <c r="C963" s="1"/>
      <c r="D963" s="39"/>
      <c r="E963" s="39"/>
      <c r="F963" s="438"/>
      <c r="G963" s="437"/>
      <c r="H963" s="438"/>
      <c r="I963" s="437"/>
      <c r="J963" s="438"/>
      <c r="K963" s="940"/>
      <c r="L963" s="438"/>
      <c r="M963" s="940"/>
      <c r="N963" s="438"/>
      <c r="O963" s="437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ht="14.25" customHeight="1">
      <c r="A964" s="1"/>
      <c r="B964" s="1"/>
      <c r="C964" s="1"/>
      <c r="D964" s="39"/>
      <c r="E964" s="39"/>
      <c r="F964" s="438"/>
      <c r="G964" s="437"/>
      <c r="H964" s="438"/>
      <c r="I964" s="437"/>
      <c r="J964" s="438"/>
      <c r="K964" s="940"/>
      <c r="L964" s="438"/>
      <c r="M964" s="940"/>
      <c r="N964" s="438"/>
      <c r="O964" s="437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ht="14.25" customHeight="1">
      <c r="A965" s="1"/>
      <c r="B965" s="1"/>
      <c r="C965" s="1"/>
      <c r="D965" s="39"/>
      <c r="E965" s="39"/>
      <c r="F965" s="438"/>
      <c r="G965" s="437"/>
      <c r="H965" s="438"/>
      <c r="I965" s="437"/>
      <c r="J965" s="438"/>
      <c r="K965" s="940"/>
      <c r="L965" s="438"/>
      <c r="M965" s="940"/>
      <c r="N965" s="438"/>
      <c r="O965" s="437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ht="14.25" customHeight="1">
      <c r="A966" s="1"/>
      <c r="B966" s="1"/>
      <c r="C966" s="1"/>
      <c r="D966" s="39"/>
      <c r="E966" s="39"/>
      <c r="F966" s="438"/>
      <c r="G966" s="437"/>
      <c r="H966" s="438"/>
      <c r="I966" s="437"/>
      <c r="J966" s="438"/>
      <c r="K966" s="940"/>
      <c r="L966" s="438"/>
      <c r="M966" s="940"/>
      <c r="N966" s="438"/>
      <c r="O966" s="437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ht="14.25" customHeight="1">
      <c r="A967" s="1"/>
      <c r="B967" s="1"/>
      <c r="C967" s="1"/>
      <c r="D967" s="39"/>
      <c r="E967" s="39"/>
      <c r="F967" s="438"/>
      <c r="G967" s="437"/>
      <c r="H967" s="438"/>
      <c r="I967" s="437"/>
      <c r="J967" s="438"/>
      <c r="K967" s="940"/>
      <c r="L967" s="438"/>
      <c r="M967" s="940"/>
      <c r="N967" s="438"/>
      <c r="O967" s="43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ht="14.25" customHeight="1">
      <c r="A968" s="1"/>
      <c r="B968" s="1"/>
      <c r="C968" s="1"/>
      <c r="D968" s="39"/>
      <c r="E968" s="39"/>
      <c r="F968" s="438"/>
      <c r="G968" s="437"/>
      <c r="H968" s="438"/>
      <c r="I968" s="437"/>
      <c r="J968" s="438"/>
      <c r="K968" s="940"/>
      <c r="L968" s="438"/>
      <c r="M968" s="940"/>
      <c r="N968" s="438"/>
      <c r="O968" s="437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ht="14.25" customHeight="1">
      <c r="A969" s="1"/>
      <c r="B969" s="1"/>
      <c r="C969" s="1"/>
      <c r="D969" s="39"/>
      <c r="E969" s="39"/>
      <c r="F969" s="438"/>
      <c r="G969" s="437"/>
      <c r="H969" s="438"/>
      <c r="I969" s="437"/>
      <c r="J969" s="438"/>
      <c r="K969" s="940"/>
      <c r="L969" s="438"/>
      <c r="M969" s="940"/>
      <c r="N969" s="438"/>
      <c r="O969" s="437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ht="14.25" customHeight="1">
      <c r="A970" s="1"/>
      <c r="B970" s="1"/>
      <c r="C970" s="1"/>
      <c r="D970" s="39"/>
      <c r="E970" s="39"/>
      <c r="F970" s="438"/>
      <c r="G970" s="437"/>
      <c r="H970" s="438"/>
      <c r="I970" s="437"/>
      <c r="J970" s="438"/>
      <c r="K970" s="940"/>
      <c r="L970" s="438"/>
      <c r="M970" s="940"/>
      <c r="N970" s="438"/>
      <c r="O970" s="437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ht="14.25" customHeight="1">
      <c r="A971" s="1"/>
      <c r="B971" s="1"/>
      <c r="C971" s="1"/>
      <c r="D971" s="39"/>
      <c r="E971" s="39"/>
      <c r="F971" s="438"/>
      <c r="G971" s="437"/>
      <c r="H971" s="438"/>
      <c r="I971" s="437"/>
      <c r="J971" s="438"/>
      <c r="K971" s="940"/>
      <c r="L971" s="438"/>
      <c r="M971" s="940"/>
      <c r="N971" s="438"/>
      <c r="O971" s="437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ht="14.25" customHeight="1">
      <c r="A972" s="1"/>
      <c r="B972" s="1"/>
      <c r="C972" s="1"/>
      <c r="D972" s="39"/>
      <c r="E972" s="39"/>
      <c r="F972" s="438"/>
      <c r="G972" s="437"/>
      <c r="H972" s="438"/>
      <c r="I972" s="437"/>
      <c r="J972" s="438"/>
      <c r="K972" s="940"/>
      <c r="L972" s="438"/>
      <c r="M972" s="940"/>
      <c r="N972" s="438"/>
      <c r="O972" s="437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ht="14.25" customHeight="1">
      <c r="A973" s="1"/>
      <c r="B973" s="1"/>
      <c r="C973" s="1"/>
      <c r="D973" s="39"/>
      <c r="E973" s="39"/>
      <c r="F973" s="438"/>
      <c r="G973" s="437"/>
      <c r="H973" s="438"/>
      <c r="I973" s="437"/>
      <c r="J973" s="438"/>
      <c r="K973" s="940"/>
      <c r="L973" s="438"/>
      <c r="M973" s="940"/>
      <c r="N973" s="438"/>
      <c r="O973" s="437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ht="14.25" customHeight="1">
      <c r="A974" s="1"/>
      <c r="B974" s="1"/>
      <c r="C974" s="1"/>
      <c r="D974" s="39"/>
      <c r="E974" s="39"/>
      <c r="F974" s="438"/>
      <c r="G974" s="437"/>
      <c r="H974" s="438"/>
      <c r="I974" s="437"/>
      <c r="J974" s="438"/>
      <c r="K974" s="940"/>
      <c r="L974" s="438"/>
      <c r="M974" s="940"/>
      <c r="N974" s="438"/>
      <c r="O974" s="437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ht="14.25" customHeight="1">
      <c r="A975" s="1"/>
      <c r="B975" s="1"/>
      <c r="C975" s="1"/>
      <c r="D975" s="39"/>
      <c r="E975" s="39"/>
      <c r="F975" s="438"/>
      <c r="G975" s="437"/>
      <c r="H975" s="438"/>
      <c r="I975" s="437"/>
      <c r="J975" s="438"/>
      <c r="K975" s="940"/>
      <c r="L975" s="438"/>
      <c r="M975" s="940"/>
      <c r="N975" s="438"/>
      <c r="O975" s="437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ht="14.25" customHeight="1">
      <c r="A976" s="1"/>
      <c r="B976" s="1"/>
      <c r="C976" s="1"/>
      <c r="D976" s="39"/>
      <c r="E976" s="39"/>
      <c r="F976" s="438"/>
      <c r="G976" s="437"/>
      <c r="H976" s="438"/>
      <c r="I976" s="437"/>
      <c r="J976" s="438"/>
      <c r="K976" s="940"/>
      <c r="L976" s="438"/>
      <c r="M976" s="940"/>
      <c r="N976" s="438"/>
      <c r="O976" s="437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ht="14.25" customHeight="1">
      <c r="A977" s="1"/>
      <c r="B977" s="1"/>
      <c r="C977" s="1"/>
      <c r="D977" s="39"/>
      <c r="E977" s="39"/>
      <c r="F977" s="438"/>
      <c r="G977" s="437"/>
      <c r="H977" s="438"/>
      <c r="I977" s="437"/>
      <c r="J977" s="438"/>
      <c r="K977" s="940"/>
      <c r="L977" s="438"/>
      <c r="M977" s="940"/>
      <c r="N977" s="438"/>
      <c r="O977" s="43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ht="14.25" customHeight="1">
      <c r="A978" s="1"/>
      <c r="B978" s="1"/>
      <c r="C978" s="1"/>
      <c r="D978" s="39"/>
      <c r="E978" s="39"/>
      <c r="F978" s="438"/>
      <c r="G978" s="437"/>
      <c r="H978" s="438"/>
      <c r="I978" s="437"/>
      <c r="J978" s="438"/>
      <c r="K978" s="940"/>
      <c r="L978" s="438"/>
      <c r="M978" s="940"/>
      <c r="N978" s="438"/>
      <c r="O978" s="437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ht="14.25" customHeight="1">
      <c r="A979" s="1"/>
      <c r="B979" s="1"/>
      <c r="C979" s="1"/>
      <c r="D979" s="39"/>
      <c r="E979" s="39"/>
      <c r="F979" s="438"/>
      <c r="G979" s="437"/>
      <c r="H979" s="438"/>
      <c r="I979" s="437"/>
      <c r="J979" s="438"/>
      <c r="K979" s="940"/>
      <c r="L979" s="438"/>
      <c r="M979" s="940"/>
      <c r="N979" s="438"/>
      <c r="O979" s="437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ht="14.25" customHeight="1">
      <c r="A980" s="1"/>
      <c r="B980" s="1"/>
      <c r="C980" s="1"/>
      <c r="D980" s="39"/>
      <c r="E980" s="39"/>
      <c r="F980" s="438"/>
      <c r="G980" s="437"/>
      <c r="H980" s="438"/>
      <c r="I980" s="437"/>
      <c r="J980" s="438"/>
      <c r="K980" s="940"/>
      <c r="L980" s="438"/>
      <c r="M980" s="940"/>
      <c r="N980" s="438"/>
      <c r="O980" s="437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ht="14.25" customHeight="1">
      <c r="A981" s="1"/>
      <c r="B981" s="1"/>
      <c r="C981" s="1"/>
      <c r="D981" s="39"/>
      <c r="E981" s="39"/>
      <c r="F981" s="438"/>
      <c r="G981" s="437"/>
      <c r="H981" s="438"/>
      <c r="I981" s="437"/>
      <c r="J981" s="438"/>
      <c r="K981" s="940"/>
      <c r="L981" s="438"/>
      <c r="M981" s="940"/>
      <c r="N981" s="438"/>
      <c r="O981" s="437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ht="14.25" customHeight="1">
      <c r="A982" s="1"/>
      <c r="B982" s="1"/>
      <c r="C982" s="1"/>
      <c r="D982" s="39"/>
      <c r="E982" s="39"/>
      <c r="F982" s="438"/>
      <c r="G982" s="437"/>
      <c r="H982" s="438"/>
      <c r="I982" s="437"/>
      <c r="J982" s="438"/>
      <c r="K982" s="940"/>
      <c r="L982" s="438"/>
      <c r="M982" s="940"/>
      <c r="N982" s="438"/>
      <c r="O982" s="437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ht="14.25" customHeight="1">
      <c r="A983" s="1"/>
      <c r="B983" s="1"/>
      <c r="C983" s="1"/>
      <c r="D983" s="39"/>
      <c r="E983" s="39"/>
      <c r="F983" s="438"/>
      <c r="G983" s="437"/>
      <c r="H983" s="438"/>
      <c r="I983" s="437"/>
      <c r="J983" s="438"/>
      <c r="K983" s="940"/>
      <c r="L983" s="438"/>
      <c r="M983" s="940"/>
      <c r="N983" s="438"/>
      <c r="O983" s="437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ht="14.25" customHeight="1">
      <c r="A984" s="1"/>
      <c r="B984" s="1"/>
      <c r="C984" s="1"/>
      <c r="D984" s="39"/>
      <c r="E984" s="39"/>
      <c r="F984" s="438"/>
      <c r="G984" s="437"/>
      <c r="H984" s="438"/>
      <c r="I984" s="437"/>
      <c r="J984" s="438"/>
      <c r="K984" s="940"/>
      <c r="L984" s="438"/>
      <c r="M984" s="940"/>
      <c r="N984" s="438"/>
      <c r="O984" s="437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ht="14.25" customHeight="1">
      <c r="A985" s="1"/>
      <c r="B985" s="1"/>
      <c r="C985" s="1"/>
      <c r="D985" s="39"/>
      <c r="E985" s="39"/>
      <c r="F985" s="438"/>
      <c r="G985" s="437"/>
      <c r="H985" s="438"/>
      <c r="I985" s="437"/>
      <c r="J985" s="438"/>
      <c r="K985" s="940"/>
      <c r="L985" s="438"/>
      <c r="M985" s="940"/>
      <c r="N985" s="438"/>
      <c r="O985" s="437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ht="14.25" customHeight="1">
      <c r="A986" s="1"/>
      <c r="B986" s="1"/>
      <c r="C986" s="1"/>
      <c r="D986" s="39"/>
      <c r="E986" s="39"/>
      <c r="F986" s="438"/>
      <c r="G986" s="437"/>
      <c r="H986" s="438"/>
      <c r="I986" s="437"/>
      <c r="J986" s="438"/>
      <c r="K986" s="940"/>
      <c r="L986" s="438"/>
      <c r="M986" s="940"/>
      <c r="N986" s="438"/>
      <c r="O986" s="437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ht="14.25" customHeight="1">
      <c r="A987" s="1"/>
      <c r="B987" s="1"/>
      <c r="C987" s="1"/>
      <c r="D987" s="39"/>
      <c r="E987" s="39"/>
      <c r="F987" s="438"/>
      <c r="G987" s="437"/>
      <c r="H987" s="438"/>
      <c r="I987" s="437"/>
      <c r="J987" s="438"/>
      <c r="K987" s="940"/>
      <c r="L987" s="438"/>
      <c r="M987" s="940"/>
      <c r="N987" s="438"/>
      <c r="O987" s="43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ht="14.25" customHeight="1">
      <c r="A988" s="1"/>
      <c r="B988" s="1"/>
      <c r="C988" s="1"/>
      <c r="D988" s="39"/>
      <c r="E988" s="39"/>
      <c r="F988" s="438"/>
      <c r="G988" s="437"/>
      <c r="H988" s="438"/>
      <c r="I988" s="437"/>
      <c r="J988" s="438"/>
      <c r="K988" s="940"/>
      <c r="L988" s="438"/>
      <c r="M988" s="940"/>
      <c r="N988" s="438"/>
      <c r="O988" s="437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ht="14.25" customHeight="1">
      <c r="A989" s="1"/>
      <c r="B989" s="1"/>
      <c r="C989" s="1"/>
      <c r="D989" s="39"/>
      <c r="E989" s="39"/>
      <c r="F989" s="438"/>
      <c r="G989" s="437"/>
      <c r="H989" s="438"/>
      <c r="I989" s="437"/>
      <c r="J989" s="438"/>
      <c r="K989" s="940"/>
      <c r="L989" s="438"/>
      <c r="M989" s="940"/>
      <c r="N989" s="438"/>
      <c r="O989" s="437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ht="14.25" customHeight="1">
      <c r="A990" s="1"/>
      <c r="B990" s="1"/>
      <c r="C990" s="1"/>
      <c r="D990" s="39"/>
      <c r="E990" s="39"/>
      <c r="F990" s="438"/>
      <c r="G990" s="437"/>
      <c r="H990" s="438"/>
      <c r="I990" s="437"/>
      <c r="J990" s="438"/>
      <c r="K990" s="940"/>
      <c r="L990" s="438"/>
      <c r="M990" s="940"/>
      <c r="N990" s="438"/>
      <c r="O990" s="437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ht="14.25" customHeight="1">
      <c r="A991" s="1"/>
      <c r="B991" s="1"/>
      <c r="C991" s="1"/>
      <c r="D991" s="39"/>
      <c r="E991" s="39"/>
      <c r="F991" s="438"/>
      <c r="G991" s="437"/>
      <c r="H991" s="438"/>
      <c r="I991" s="437"/>
      <c r="J991" s="438"/>
      <c r="K991" s="940"/>
      <c r="L991" s="438"/>
      <c r="M991" s="940"/>
      <c r="N991" s="438"/>
      <c r="O991" s="437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ht="14.25" customHeight="1">
      <c r="A992" s="1"/>
      <c r="B992" s="1"/>
      <c r="C992" s="1"/>
      <c r="D992" s="39"/>
      <c r="E992" s="39"/>
      <c r="F992" s="438"/>
      <c r="G992" s="437"/>
      <c r="H992" s="438"/>
      <c r="I992" s="437"/>
      <c r="J992" s="438"/>
      <c r="K992" s="940"/>
      <c r="L992" s="438"/>
      <c r="M992" s="940"/>
      <c r="N992" s="438"/>
      <c r="O992" s="437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ht="14.25" customHeight="1">
      <c r="A993" s="1"/>
      <c r="B993" s="1"/>
      <c r="C993" s="1"/>
      <c r="D993" s="39"/>
      <c r="E993" s="39"/>
      <c r="F993" s="438"/>
      <c r="G993" s="437"/>
      <c r="H993" s="438"/>
      <c r="I993" s="437"/>
      <c r="J993" s="438"/>
      <c r="K993" s="940"/>
      <c r="L993" s="438"/>
      <c r="M993" s="940"/>
      <c r="N993" s="438"/>
      <c r="O993" s="437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ht="14.25" customHeight="1">
      <c r="A994" s="1"/>
      <c r="B994" s="1"/>
      <c r="C994" s="1"/>
      <c r="D994" s="39"/>
      <c r="E994" s="39"/>
      <c r="F994" s="438"/>
      <c r="G994" s="437"/>
      <c r="H994" s="438"/>
      <c r="I994" s="437"/>
      <c r="J994" s="438"/>
      <c r="K994" s="940"/>
      <c r="L994" s="438"/>
      <c r="M994" s="940"/>
      <c r="N994" s="438"/>
      <c r="O994" s="437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ht="14.25" customHeight="1">
      <c r="A995" s="1"/>
      <c r="B995" s="1"/>
      <c r="C995" s="1"/>
      <c r="D995" s="39"/>
      <c r="E995" s="39"/>
      <c r="F995" s="438"/>
      <c r="G995" s="437"/>
      <c r="H995" s="438"/>
      <c r="I995" s="437"/>
      <c r="J995" s="438"/>
      <c r="K995" s="940"/>
      <c r="L995" s="438"/>
      <c r="M995" s="940"/>
      <c r="N995" s="438"/>
      <c r="O995" s="437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ht="14.25" customHeight="1">
      <c r="A996" s="1"/>
      <c r="B996" s="1"/>
      <c r="C996" s="1"/>
      <c r="D996" s="39"/>
      <c r="E996" s="39"/>
      <c r="F996" s="438"/>
      <c r="G996" s="437"/>
      <c r="H996" s="438"/>
      <c r="I996" s="437"/>
      <c r="J996" s="438"/>
      <c r="K996" s="940"/>
      <c r="L996" s="438"/>
      <c r="M996" s="940"/>
      <c r="N996" s="438"/>
      <c r="O996" s="437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ht="14.25" customHeight="1">
      <c r="A997" s="1"/>
      <c r="B997" s="1"/>
      <c r="C997" s="1"/>
      <c r="D997" s="39"/>
      <c r="E997" s="39"/>
      <c r="F997" s="438"/>
      <c r="G997" s="437"/>
      <c r="H997" s="438"/>
      <c r="I997" s="437"/>
      <c r="J997" s="438"/>
      <c r="K997" s="940"/>
      <c r="L997" s="438"/>
      <c r="M997" s="940"/>
      <c r="N997" s="438"/>
      <c r="O997" s="43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ht="14.25" customHeight="1">
      <c r="A998" s="1"/>
      <c r="B998" s="1"/>
      <c r="C998" s="1"/>
      <c r="D998" s="39"/>
      <c r="E998" s="39"/>
      <c r="F998" s="438"/>
      <c r="G998" s="437"/>
      <c r="H998" s="438"/>
      <c r="I998" s="437"/>
      <c r="J998" s="438"/>
      <c r="K998" s="940"/>
      <c r="L998" s="438"/>
      <c r="M998" s="940"/>
      <c r="N998" s="438"/>
      <c r="O998" s="437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ht="14.25" customHeight="1">
      <c r="A999" s="1"/>
      <c r="B999" s="1"/>
      <c r="C999" s="1"/>
      <c r="D999" s="39"/>
      <c r="E999" s="39"/>
      <c r="F999" s="438"/>
      <c r="G999" s="437"/>
      <c r="H999" s="438"/>
      <c r="I999" s="437"/>
      <c r="J999" s="438"/>
      <c r="K999" s="940"/>
      <c r="L999" s="438"/>
      <c r="M999" s="940"/>
      <c r="N999" s="438"/>
      <c r="O999" s="437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ht="14.25" customHeight="1">
      <c r="A1000" s="1"/>
      <c r="B1000" s="1"/>
      <c r="C1000" s="1"/>
      <c r="D1000" s="39"/>
      <c r="E1000" s="39"/>
      <c r="F1000" s="438"/>
      <c r="G1000" s="437"/>
      <c r="H1000" s="438"/>
      <c r="I1000" s="437"/>
      <c r="J1000" s="438"/>
      <c r="K1000" s="940"/>
      <c r="L1000" s="438"/>
      <c r="M1000" s="940"/>
      <c r="N1000" s="438"/>
      <c r="O1000" s="437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</sheetData>
  <mergeCells count="5">
    <mergeCell ref="O2:P2"/>
    <mergeCell ref="F4:F5"/>
    <mergeCell ref="D38:D40"/>
    <mergeCell ref="O61:P61"/>
    <mergeCell ref="O126:P126"/>
  </mergeCells>
  <printOptions/>
  <pageMargins bottom="0.75" footer="0.0" header="0.0" left="0.7" right="0.7" top="1.0457"/>
  <pageSetup orientation="landscape" pageOrder="overThenDown"/>
  <headerFooter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8">
    <pageSetUpPr/>
  </sheetPr>
  <sheetViews>
    <sheetView workbookViewId="0">
      <pane ySplit="6.0" topLeftCell="A7" activePane="bottomLeft" state="frozen"/>
      <selection activeCell="B8" sqref="B8" pane="bottomLeft"/>
    </sheetView>
  </sheetViews>
  <sheetFormatPr customHeight="1" defaultColWidth="12.63" defaultRowHeight="15.0" outlineLevelCol="1"/>
  <cols>
    <col customWidth="1" min="1" max="1" width="2.88"/>
    <col customWidth="1" min="2" max="2" width="36.38"/>
    <col customWidth="1" min="3" max="3" width="17.75"/>
    <col customWidth="1" min="4" max="4" width="1.38"/>
    <col customWidth="1" min="5" max="5" width="14.38"/>
    <col customWidth="1" min="6" max="7" width="2.38"/>
    <col customWidth="1" min="8" max="8" width="14.38"/>
    <col customWidth="1" min="9" max="9" width="4.13"/>
    <col customWidth="1" min="10" max="10" width="13.88"/>
    <col customWidth="1" min="11" max="26" width="9.0"/>
  </cols>
  <sheetData>
    <row r="1" ht="67.5" customHeight="1">
      <c r="A1" s="1"/>
      <c r="B1" s="2" t="str">
        <f>'A Cover'!G8</f>
        <v>Example University</v>
      </c>
      <c r="C1" s="1060"/>
      <c r="D1" s="1060"/>
      <c r="E1" s="1061"/>
      <c r="F1" s="1060"/>
      <c r="G1" s="1"/>
      <c r="H1" s="1"/>
      <c r="I1" s="436"/>
      <c r="J1" s="43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7.25" customHeight="1">
      <c r="A2" s="1"/>
      <c r="B2" s="364" t="s">
        <v>557</v>
      </c>
      <c r="C2" s="426"/>
      <c r="D2" s="426"/>
      <c r="E2" s="29" t="s">
        <v>0</v>
      </c>
      <c r="F2" s="34" t="s">
        <v>9</v>
      </c>
      <c r="G2" s="1"/>
      <c r="H2" s="438"/>
      <c r="I2" s="224">
        <f>'A Cover'!G12</f>
        <v>46307</v>
      </c>
      <c r="J2" s="2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0" customHeight="1">
      <c r="A3" s="1"/>
      <c r="B3" s="1"/>
      <c r="C3" s="426"/>
      <c r="D3" s="426"/>
      <c r="E3" s="1"/>
      <c r="F3" s="1"/>
      <c r="G3" s="1"/>
      <c r="H3" s="43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1062" t="s">
        <v>558</v>
      </c>
      <c r="C4" s="1"/>
      <c r="D4" s="1"/>
      <c r="E4" s="1063"/>
      <c r="F4" s="1064"/>
      <c r="G4" s="1064" t="s">
        <v>559</v>
      </c>
      <c r="H4" s="1065" t="str">
        <f>'F Population'!U6</f>
        <v>2027 - 28</v>
      </c>
      <c r="I4" s="1066"/>
      <c r="J4" s="106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7.5" customHeight="1">
      <c r="A5" s="1"/>
      <c r="B5" s="1068" t="s">
        <v>560</v>
      </c>
      <c r="C5" s="27"/>
      <c r="D5" s="1"/>
      <c r="E5" s="1"/>
      <c r="F5" s="1"/>
      <c r="G5" s="39"/>
      <c r="H5" s="39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37"/>
      <c r="C6" s="38"/>
      <c r="D6" s="1069"/>
      <c r="E6" s="1071" t="s">
        <v>179</v>
      </c>
      <c r="F6" s="612"/>
      <c r="G6" s="1072"/>
      <c r="H6" s="1071" t="s">
        <v>186</v>
      </c>
      <c r="I6" s="1073"/>
      <c r="J6" s="1071" t="s">
        <v>126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151" t="s">
        <v>561</v>
      </c>
      <c r="C7" s="1"/>
      <c r="D7" s="1"/>
      <c r="E7" s="1"/>
      <c r="F7" s="1"/>
      <c r="G7" s="1"/>
      <c r="H7" s="438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6.0" customHeight="1">
      <c r="A8" s="1"/>
      <c r="B8" s="151"/>
      <c r="C8" s="1"/>
      <c r="D8" s="1"/>
      <c r="E8" s="1"/>
      <c r="F8" s="1"/>
      <c r="G8" s="1"/>
      <c r="H8" s="15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4.25" customHeight="1">
      <c r="A9" s="1"/>
      <c r="B9" s="1" t="s">
        <v>562</v>
      </c>
      <c r="C9" s="1074" t="s">
        <v>563</v>
      </c>
      <c r="D9" s="1"/>
      <c r="E9" s="280">
        <f>'I Student rev'!R59</f>
        <v>2185350.357</v>
      </c>
      <c r="F9" s="280"/>
      <c r="G9" s="85"/>
      <c r="H9" s="85">
        <f>'I Student rev'!R63</f>
        <v>1084635.379</v>
      </c>
      <c r="I9" s="1"/>
      <c r="J9" s="280">
        <f>SUM(E9:H9)</f>
        <v>3269985.736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3.75" customHeight="1">
      <c r="A10" s="1"/>
      <c r="B10" s="1"/>
      <c r="C10" s="1"/>
      <c r="D10" s="1"/>
      <c r="E10" s="280"/>
      <c r="F10" s="280"/>
      <c r="G10" s="85"/>
      <c r="H10" s="85"/>
      <c r="I10" s="1"/>
      <c r="J10" s="280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4.25" customHeight="1">
      <c r="A11" s="1"/>
      <c r="B11" s="1" t="s">
        <v>565</v>
      </c>
      <c r="C11" s="1074" t="s">
        <v>566</v>
      </c>
      <c r="D11" s="1"/>
      <c r="E11" s="1"/>
      <c r="F11" s="1"/>
      <c r="G11" s="1"/>
      <c r="H11" s="438"/>
      <c r="I11" s="1"/>
      <c r="J11" s="280">
        <f>'I Student rev'!R61</f>
        <v>183354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6.0" customHeight="1">
      <c r="A12" s="1"/>
      <c r="B12" s="1"/>
      <c r="C12" s="1078"/>
      <c r="D12" s="1078"/>
      <c r="E12" s="295"/>
      <c r="F12" s="85"/>
      <c r="G12" s="295"/>
      <c r="H12" s="295"/>
      <c r="I12" s="1"/>
      <c r="J12" s="280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75" customHeight="1">
      <c r="A13" s="1"/>
      <c r="B13" s="1" t="s">
        <v>567</v>
      </c>
      <c r="C13" s="1074" t="s">
        <v>568</v>
      </c>
      <c r="D13" s="1078"/>
      <c r="E13" s="295">
        <f>'M Non student'!H23-'E Budg CY'!H40</f>
        <v>187741.48</v>
      </c>
      <c r="F13" s="85"/>
      <c r="G13" s="295"/>
      <c r="H13" s="295"/>
      <c r="I13" s="1"/>
      <c r="J13" s="280">
        <f>SUM(E13:H13)</f>
        <v>187741.48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4.5" customHeight="1">
      <c r="A14" s="1"/>
      <c r="B14" s="1"/>
      <c r="C14" s="1078"/>
      <c r="D14" s="1078"/>
      <c r="E14" s="295"/>
      <c r="F14" s="85"/>
      <c r="G14" s="295"/>
      <c r="H14" s="295"/>
      <c r="I14" s="1"/>
      <c r="J14" s="28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4.25" customHeight="1">
      <c r="A15" s="1"/>
      <c r="B15" s="1" t="s">
        <v>570</v>
      </c>
      <c r="C15" s="1078"/>
      <c r="D15" s="1078"/>
      <c r="E15" s="295">
        <f>'P Fcast 5yr'!I19-'E Budg CY'!H44</f>
        <v>-700210.7112</v>
      </c>
      <c r="F15" s="85"/>
      <c r="G15" s="295"/>
      <c r="H15" s="295"/>
      <c r="I15" s="1"/>
      <c r="J15" s="280">
        <f>SUM(E15:H15)</f>
        <v>-700210.7112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7.5" customHeight="1">
      <c r="A16" s="1"/>
      <c r="B16" s="1"/>
      <c r="C16" s="1078"/>
      <c r="D16" s="1078"/>
      <c r="E16" s="1080"/>
      <c r="F16" s="85"/>
      <c r="G16" s="1"/>
      <c r="H16" s="405"/>
      <c r="I16" s="1"/>
      <c r="J16" s="7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5.25" customHeight="1">
      <c r="A17" s="1"/>
      <c r="B17" s="1"/>
      <c r="C17" s="1"/>
      <c r="D17" s="1"/>
      <c r="E17" s="1"/>
      <c r="F17" s="1"/>
      <c r="G17" s="1"/>
      <c r="H17" s="8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1"/>
      <c r="B18" s="151" t="s">
        <v>572</v>
      </c>
      <c r="C18" s="1"/>
      <c r="D18" s="1"/>
      <c r="E18" s="85">
        <f>SUM(E9:E15)</f>
        <v>1672881.125</v>
      </c>
      <c r="F18" s="85"/>
      <c r="G18" s="85"/>
      <c r="H18" s="85">
        <f>SUM(H9:H15)</f>
        <v>1084635.379</v>
      </c>
      <c r="I18" s="1"/>
      <c r="J18" s="85">
        <f>SUM(J9:J15)</f>
        <v>2940870.505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4.5" customHeight="1">
      <c r="A19" s="1"/>
      <c r="B19" s="1"/>
      <c r="C19" s="1"/>
      <c r="D19" s="1"/>
      <c r="E19" s="294"/>
      <c r="F19" s="1"/>
      <c r="G19" s="1"/>
      <c r="H19" s="405"/>
      <c r="I19" s="1"/>
      <c r="J19" s="2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9.5" customHeight="1">
      <c r="A20" s="1"/>
      <c r="B20" s="942" t="s">
        <v>575</v>
      </c>
      <c r="C20" s="1"/>
      <c r="D20" s="1"/>
      <c r="E20" s="1"/>
      <c r="F20" s="1"/>
      <c r="G20" s="1"/>
      <c r="H20" s="8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4.5" customHeight="1">
      <c r="A21" s="1"/>
      <c r="B21" s="942"/>
      <c r="C21" s="1"/>
      <c r="D21" s="1"/>
      <c r="E21" s="1"/>
      <c r="F21" s="1"/>
      <c r="G21" s="1"/>
      <c r="H21" s="8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0" customHeight="1">
      <c r="A22" s="1"/>
      <c r="B22" s="942" t="s">
        <v>576</v>
      </c>
      <c r="C22" s="510"/>
      <c r="D22" s="510"/>
      <c r="E22" s="1"/>
      <c r="F22" s="1"/>
      <c r="G22" s="1"/>
      <c r="H22" s="1083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4.5" customHeight="1">
      <c r="A23" s="1"/>
      <c r="B23" s="1"/>
      <c r="C23" s="1"/>
      <c r="D23" s="1"/>
      <c r="E23" s="418"/>
      <c r="F23" s="418"/>
      <c r="G23" s="418"/>
      <c r="H23" s="92"/>
      <c r="I23" s="418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139" t="s">
        <v>577</v>
      </c>
      <c r="C24" s="1"/>
      <c r="D24" s="1"/>
      <c r="E24" s="83">
        <f>28000000*0.04</f>
        <v>1120000</v>
      </c>
      <c r="F24" s="92"/>
      <c r="G24" s="418"/>
      <c r="H24" s="954"/>
      <c r="I24" s="418"/>
      <c r="J24" s="280">
        <f>SUM(B24:H24)</f>
        <v>1120000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5.25" customHeight="1">
      <c r="A25" s="1"/>
      <c r="B25" s="1"/>
      <c r="C25" s="1"/>
      <c r="D25" s="1"/>
      <c r="E25" s="92"/>
      <c r="F25" s="92"/>
      <c r="G25" s="418"/>
      <c r="H25" s="1086"/>
      <c r="I25" s="418"/>
      <c r="J25" s="280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139" t="s">
        <v>579</v>
      </c>
      <c r="C26" s="1"/>
      <c r="D26" s="1"/>
      <c r="E26" s="83">
        <f>E24*0.14</f>
        <v>156800</v>
      </c>
      <c r="F26" s="92"/>
      <c r="G26" s="418"/>
      <c r="H26" s="954"/>
      <c r="I26" s="418"/>
      <c r="J26" s="280">
        <f>SUM(E26:H26)</f>
        <v>156800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5.25" customHeight="1">
      <c r="A27" s="1"/>
      <c r="B27" s="1"/>
      <c r="C27" s="1"/>
      <c r="D27" s="1"/>
      <c r="E27" s="92"/>
      <c r="F27" s="92"/>
      <c r="G27" s="418"/>
      <c r="H27" s="1086"/>
      <c r="I27" s="418"/>
      <c r="J27" s="280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139" t="s">
        <v>582</v>
      </c>
      <c r="C28" s="1"/>
      <c r="D28" s="1"/>
      <c r="E28" s="83">
        <v>400000.0</v>
      </c>
      <c r="F28" s="92"/>
      <c r="G28" s="418"/>
      <c r="H28" s="954"/>
      <c r="I28" s="418"/>
      <c r="J28" s="280">
        <f>SUM(E28:H28)</f>
        <v>400000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5.25" customHeight="1">
      <c r="A29" s="1"/>
      <c r="B29" s="1"/>
      <c r="C29" s="1"/>
      <c r="D29" s="1"/>
      <c r="E29" s="92"/>
      <c r="F29" s="92"/>
      <c r="G29" s="418"/>
      <c r="H29" s="1086"/>
      <c r="I29" s="418"/>
      <c r="J29" s="280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139"/>
      <c r="C30" s="1"/>
      <c r="D30" s="1"/>
      <c r="E30" s="83"/>
      <c r="F30" s="92"/>
      <c r="G30" s="418"/>
      <c r="H30" s="954"/>
      <c r="I30" s="418"/>
      <c r="J30" s="280">
        <f>SUM(E30:H30)</f>
        <v>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5.25" customHeight="1">
      <c r="A31" s="1"/>
      <c r="B31" s="1"/>
      <c r="C31" s="1"/>
      <c r="D31" s="1"/>
      <c r="E31" s="92"/>
      <c r="F31" s="92"/>
      <c r="G31" s="418"/>
      <c r="H31" s="1086"/>
      <c r="I31" s="418"/>
      <c r="J31" s="280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139"/>
      <c r="C32" s="1"/>
      <c r="D32" s="1"/>
      <c r="E32" s="83"/>
      <c r="F32" s="92"/>
      <c r="G32" s="418"/>
      <c r="H32" s="954"/>
      <c r="I32" s="418"/>
      <c r="J32" s="280">
        <f>SUM(E32:H32)</f>
        <v>0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5.25" customHeight="1">
      <c r="A33" s="1"/>
      <c r="B33" s="1"/>
      <c r="C33" s="1"/>
      <c r="D33" s="1"/>
      <c r="E33" s="92"/>
      <c r="F33" s="92"/>
      <c r="G33" s="418"/>
      <c r="H33" s="1086"/>
      <c r="I33" s="418"/>
      <c r="J33" s="280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"/>
      <c r="B34" s="139"/>
      <c r="C34" s="1"/>
      <c r="D34" s="1"/>
      <c r="E34" s="83"/>
      <c r="F34" s="92"/>
      <c r="G34" s="418"/>
      <c r="H34" s="954"/>
      <c r="I34" s="418"/>
      <c r="J34" s="280">
        <f>SUM(E34:H34)</f>
        <v>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5.25" customHeight="1">
      <c r="A35" s="1"/>
      <c r="B35" s="1"/>
      <c r="C35" s="1"/>
      <c r="D35" s="1"/>
      <c r="E35" s="92"/>
      <c r="F35" s="92"/>
      <c r="G35" s="418"/>
      <c r="H35" s="1086"/>
      <c r="I35" s="418"/>
      <c r="J35" s="28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4.25" customHeight="1">
      <c r="A36" s="1"/>
      <c r="B36" s="139"/>
      <c r="C36" s="1"/>
      <c r="D36" s="1"/>
      <c r="E36" s="83"/>
      <c r="F36" s="92"/>
      <c r="G36" s="418"/>
      <c r="H36" s="954"/>
      <c r="I36" s="418"/>
      <c r="J36" s="280">
        <f>SUM(E36:H36)</f>
        <v>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5.25" customHeight="1">
      <c r="A37" s="1"/>
      <c r="B37" s="1"/>
      <c r="C37" s="1"/>
      <c r="D37" s="1"/>
      <c r="E37" s="92"/>
      <c r="F37" s="92"/>
      <c r="G37" s="418"/>
      <c r="H37" s="1086"/>
      <c r="I37" s="418"/>
      <c r="J37" s="280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4.25" customHeight="1">
      <c r="A38" s="1"/>
      <c r="B38" s="1" t="s">
        <v>585</v>
      </c>
      <c r="C38" s="1"/>
      <c r="D38" s="1"/>
      <c r="E38" s="83">
        <v>750000.0</v>
      </c>
      <c r="F38" s="92"/>
      <c r="G38" s="418"/>
      <c r="H38" s="954"/>
      <c r="I38" s="418"/>
      <c r="J38" s="280">
        <f>SUM(E38:H38)</f>
        <v>750000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1.25" customHeight="1">
      <c r="A39" s="1"/>
      <c r="B39" s="1"/>
      <c r="C39" s="1"/>
      <c r="D39" s="1"/>
      <c r="E39" s="405"/>
      <c r="F39" s="85"/>
      <c r="G39" s="1"/>
      <c r="H39" s="294"/>
      <c r="I39" s="1"/>
      <c r="J39" s="405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21.0" customHeight="1">
      <c r="A40" s="1"/>
      <c r="B40" s="151" t="s">
        <v>588</v>
      </c>
      <c r="C40" s="1"/>
      <c r="D40" s="1"/>
      <c r="E40" s="85">
        <f>SUM(E24:E38)</f>
        <v>2426800</v>
      </c>
      <c r="F40" s="85"/>
      <c r="G40" s="1"/>
      <c r="H40" s="85">
        <f>SUM(H24:H38)</f>
        <v>0</v>
      </c>
      <c r="I40" s="1"/>
      <c r="J40" s="85">
        <f>SUM(J24:J38)</f>
        <v>2426800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5.25" customHeight="1">
      <c r="A41" s="1"/>
      <c r="B41" s="1"/>
      <c r="C41" s="1"/>
      <c r="D41" s="1"/>
      <c r="E41" s="405"/>
      <c r="F41" s="85"/>
      <c r="G41" s="1"/>
      <c r="H41" s="405"/>
      <c r="I41" s="1"/>
      <c r="J41" s="405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4.25" customHeight="1">
      <c r="A42" s="1"/>
      <c r="B42" s="942" t="s">
        <v>589</v>
      </c>
      <c r="C42" s="510"/>
      <c r="D42" s="510"/>
      <c r="E42" s="85"/>
      <c r="F42" s="85"/>
      <c r="G42" s="1"/>
      <c r="H42" s="8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9.0" customHeight="1">
      <c r="A43" s="1"/>
      <c r="B43" s="1"/>
      <c r="C43" s="1"/>
      <c r="D43" s="1"/>
      <c r="E43" s="92"/>
      <c r="F43" s="92"/>
      <c r="G43" s="418"/>
      <c r="H43" s="92"/>
      <c r="I43" s="41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4.25" customHeight="1">
      <c r="A44" s="1"/>
      <c r="B44" s="1099" t="s">
        <v>591</v>
      </c>
      <c r="C44" s="1100"/>
      <c r="D44" s="1"/>
      <c r="E44" s="83">
        <v>500000.0</v>
      </c>
      <c r="F44" s="92"/>
      <c r="G44" s="418"/>
      <c r="H44" s="954"/>
      <c r="I44" s="418"/>
      <c r="J44" s="280">
        <f>SUM(E44:H44)</f>
        <v>500000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5.25" customHeight="1">
      <c r="A45" s="1"/>
      <c r="B45" s="92"/>
      <c r="C45" s="1"/>
      <c r="D45" s="1"/>
      <c r="E45" s="92"/>
      <c r="F45" s="92"/>
      <c r="G45" s="418"/>
      <c r="H45" s="1086"/>
      <c r="I45" s="418"/>
      <c r="J45" s="280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4.25" customHeight="1">
      <c r="A46" s="1"/>
      <c r="B46" s="1099" t="s">
        <v>592</v>
      </c>
      <c r="C46" s="1100"/>
      <c r="D46" s="1"/>
      <c r="E46" s="83">
        <v>750000.0</v>
      </c>
      <c r="F46" s="92"/>
      <c r="G46" s="418"/>
      <c r="H46" s="954"/>
      <c r="I46" s="418"/>
      <c r="J46" s="280">
        <f>SUM(E46:H46)</f>
        <v>750000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5.25" customHeight="1">
      <c r="A47" s="1"/>
      <c r="B47" s="92"/>
      <c r="C47" s="1"/>
      <c r="D47" s="1"/>
      <c r="E47" s="92"/>
      <c r="F47" s="92"/>
      <c r="G47" s="418"/>
      <c r="H47" s="92"/>
      <c r="I47" s="418"/>
      <c r="J47" s="280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4.25" customHeight="1">
      <c r="A48" s="1"/>
      <c r="B48" s="1099"/>
      <c r="C48" s="1100"/>
      <c r="D48" s="1"/>
      <c r="E48" s="83"/>
      <c r="F48" s="92"/>
      <c r="G48" s="418"/>
      <c r="H48" s="83"/>
      <c r="I48" s="418"/>
      <c r="J48" s="280">
        <f>SUM(E48:H48)</f>
        <v>0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5.25" customHeight="1">
      <c r="A49" s="1"/>
      <c r="B49" s="92"/>
      <c r="C49" s="1"/>
      <c r="D49" s="1"/>
      <c r="E49" s="92"/>
      <c r="F49" s="92"/>
      <c r="G49" s="418"/>
      <c r="H49" s="92"/>
      <c r="I49" s="418"/>
      <c r="J49" s="280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4.25" customHeight="1">
      <c r="A50" s="1"/>
      <c r="B50" s="1099"/>
      <c r="C50" s="1100"/>
      <c r="D50" s="1"/>
      <c r="E50" s="954"/>
      <c r="F50" s="92"/>
      <c r="G50" s="418"/>
      <c r="H50" s="83"/>
      <c r="I50" s="418"/>
      <c r="J50" s="280">
        <f>SUM(E50:H50)</f>
        <v>0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5.25" customHeight="1">
      <c r="A51" s="1"/>
      <c r="B51" s="92"/>
      <c r="C51" s="1"/>
      <c r="D51" s="1"/>
      <c r="E51" s="418"/>
      <c r="F51" s="92"/>
      <c r="G51" s="418"/>
      <c r="H51" s="92"/>
      <c r="I51" s="418"/>
      <c r="J51" s="280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"/>
      <c r="B52" s="1099"/>
      <c r="C52" s="1100"/>
      <c r="D52" s="1"/>
      <c r="E52" s="83"/>
      <c r="F52" s="92"/>
      <c r="G52" s="418"/>
      <c r="H52" s="954"/>
      <c r="I52" s="418"/>
      <c r="J52" s="280">
        <f>SUM(E52:H52)</f>
        <v>0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5.25" customHeight="1">
      <c r="A53" s="1"/>
      <c r="B53" s="92"/>
      <c r="C53" s="1"/>
      <c r="D53" s="1"/>
      <c r="E53" s="92"/>
      <c r="F53" s="92"/>
      <c r="G53" s="418"/>
      <c r="H53" s="1086"/>
      <c r="I53" s="418"/>
      <c r="J53" s="280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"/>
      <c r="B54" s="1099"/>
      <c r="C54" s="1100"/>
      <c r="D54" s="1"/>
      <c r="E54" s="83"/>
      <c r="F54" s="92"/>
      <c r="G54" s="418"/>
      <c r="H54" s="954"/>
      <c r="I54" s="418"/>
      <c r="J54" s="280">
        <f>SUM(E54:H54)</f>
        <v>0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5.25" customHeight="1">
      <c r="A55" s="1"/>
      <c r="B55" s="92"/>
      <c r="C55" s="1"/>
      <c r="D55" s="1"/>
      <c r="E55" s="92"/>
      <c r="F55" s="92"/>
      <c r="G55" s="418"/>
      <c r="H55" s="92"/>
      <c r="I55" s="418"/>
      <c r="J55" s="280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"/>
      <c r="B56" s="1099"/>
      <c r="C56" s="1100"/>
      <c r="D56" s="1"/>
      <c r="E56" s="83"/>
      <c r="F56" s="92"/>
      <c r="G56" s="418"/>
      <c r="H56" s="954"/>
      <c r="I56" s="418"/>
      <c r="J56" s="280">
        <f>SUM(E56:H56)</f>
        <v>0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5.25" customHeight="1">
      <c r="A57" s="1"/>
      <c r="B57" s="92"/>
      <c r="C57" s="1"/>
      <c r="D57" s="1"/>
      <c r="E57" s="92"/>
      <c r="F57" s="92"/>
      <c r="G57" s="418"/>
      <c r="H57" s="1086"/>
      <c r="I57" s="418"/>
      <c r="J57" s="280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099"/>
      <c r="C58" s="1100"/>
      <c r="D58" s="1"/>
      <c r="E58" s="83"/>
      <c r="F58" s="92"/>
      <c r="G58" s="418"/>
      <c r="H58" s="954"/>
      <c r="I58" s="418"/>
      <c r="J58" s="280">
        <f>SUM(E58:H58)</f>
        <v>0</v>
      </c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5.25" customHeight="1">
      <c r="A59" s="1"/>
      <c r="B59" s="92"/>
      <c r="C59" s="1"/>
      <c r="D59" s="1"/>
      <c r="E59" s="92"/>
      <c r="F59" s="92"/>
      <c r="G59" s="418"/>
      <c r="H59" s="92"/>
      <c r="I59" s="418"/>
      <c r="J59" s="280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1099"/>
      <c r="C60" s="1100"/>
      <c r="D60" s="1"/>
      <c r="E60" s="83"/>
      <c r="F60" s="92"/>
      <c r="G60" s="418"/>
      <c r="H60" s="954"/>
      <c r="I60" s="418"/>
      <c r="J60" s="280">
        <f>SUM(E60:H60)</f>
        <v>0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5.25" customHeight="1">
      <c r="A61" s="1"/>
      <c r="B61" s="92"/>
      <c r="C61" s="1"/>
      <c r="D61" s="1"/>
      <c r="E61" s="92"/>
      <c r="F61" s="92"/>
      <c r="G61" s="418"/>
      <c r="H61" s="1086"/>
      <c r="I61" s="418"/>
      <c r="J61" s="280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3.5" customHeight="1">
      <c r="A62" s="1"/>
      <c r="B62" s="1099"/>
      <c r="C62" s="1100"/>
      <c r="D62" s="1"/>
      <c r="E62" s="83"/>
      <c r="F62" s="92"/>
      <c r="G62" s="418"/>
      <c r="H62" s="954"/>
      <c r="I62" s="418"/>
      <c r="J62" s="280">
        <f>SUM(E62:H62)</f>
        <v>0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5.25" customHeight="1">
      <c r="A63" s="1"/>
      <c r="B63" s="92"/>
      <c r="C63" s="1"/>
      <c r="D63" s="1"/>
      <c r="E63" s="92"/>
      <c r="F63" s="92"/>
      <c r="G63" s="418"/>
      <c r="H63" s="92"/>
      <c r="I63" s="418"/>
      <c r="J63" s="280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3.5" customHeight="1">
      <c r="A64" s="1"/>
      <c r="B64" s="1099"/>
      <c r="C64" s="1100"/>
      <c r="D64" s="1"/>
      <c r="E64" s="83"/>
      <c r="F64" s="92"/>
      <c r="G64" s="418"/>
      <c r="H64" s="954"/>
      <c r="I64" s="418"/>
      <c r="J64" s="280">
        <f>SUM(E64:H64)</f>
        <v>0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4.5" customHeight="1">
      <c r="A65" s="1"/>
      <c r="B65" s="444"/>
      <c r="C65" s="1106"/>
      <c r="D65" s="1106"/>
      <c r="E65" s="1107"/>
      <c r="F65" s="1107"/>
      <c r="G65" s="1106"/>
      <c r="H65" s="1108"/>
      <c r="I65" s="1106"/>
      <c r="J65" s="1109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9.0" customHeight="1">
      <c r="A66" s="1"/>
      <c r="B66" s="1"/>
      <c r="C66" s="1"/>
      <c r="D66" s="1"/>
      <c r="E66" s="1110"/>
      <c r="F66" s="85"/>
      <c r="G66" s="1"/>
      <c r="H66" s="85"/>
      <c r="I66" s="1"/>
      <c r="J66" s="85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022"/>
      <c r="B67" s="151" t="s">
        <v>600</v>
      </c>
      <c r="C67" s="151"/>
      <c r="D67" s="151"/>
      <c r="E67" s="85">
        <f>SUM(E44:E65)</f>
        <v>1250000</v>
      </c>
      <c r="F67" s="1"/>
      <c r="G67" s="85"/>
      <c r="H67" s="85">
        <f>SUM(H44:H65)</f>
        <v>0</v>
      </c>
      <c r="I67" s="1"/>
      <c r="J67" s="85">
        <f>SUM(J44:J65)</f>
        <v>1250000</v>
      </c>
      <c r="K67" s="1022"/>
      <c r="L67" s="1022"/>
      <c r="M67" s="1022"/>
      <c r="N67" s="1022"/>
      <c r="O67" s="1022"/>
      <c r="P67" s="1022"/>
      <c r="Q67" s="1022"/>
      <c r="R67" s="1022"/>
      <c r="S67" s="1022"/>
      <c r="T67" s="1022"/>
      <c r="U67" s="1022"/>
      <c r="V67" s="1022"/>
      <c r="W67" s="1022"/>
      <c r="X67" s="1022"/>
      <c r="Y67" s="1022"/>
      <c r="Z67" s="1022"/>
    </row>
    <row r="68" ht="4.5" customHeight="1">
      <c r="A68" s="1022"/>
      <c r="B68" s="151"/>
      <c r="C68" s="151"/>
      <c r="D68" s="151"/>
      <c r="E68" s="1"/>
      <c r="F68" s="1"/>
      <c r="G68" s="1"/>
      <c r="H68" s="1"/>
      <c r="I68" s="1"/>
      <c r="J68" s="1"/>
      <c r="K68" s="1022"/>
      <c r="L68" s="1022"/>
      <c r="M68" s="1022"/>
      <c r="N68" s="1022"/>
      <c r="O68" s="1022"/>
      <c r="P68" s="1022"/>
      <c r="Q68" s="1022"/>
      <c r="R68" s="1022"/>
      <c r="S68" s="1022"/>
      <c r="T68" s="1022"/>
      <c r="U68" s="1022"/>
      <c r="V68" s="1022"/>
      <c r="W68" s="1022"/>
      <c r="X68" s="1022"/>
      <c r="Y68" s="1022"/>
      <c r="Z68" s="1022"/>
    </row>
    <row r="69" ht="19.5" customHeight="1">
      <c r="A69" s="1"/>
      <c r="B69" s="1"/>
      <c r="C69" s="1"/>
      <c r="D69" s="1"/>
      <c r="E69" s="85"/>
      <c r="F69" s="85"/>
      <c r="G69" s="203" t="s">
        <v>601</v>
      </c>
      <c r="H69" s="1022"/>
      <c r="I69" s="1022"/>
      <c r="J69" s="85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4.25" customHeight="1">
      <c r="A70" s="1022"/>
      <c r="B70" s="151" t="s">
        <v>602</v>
      </c>
      <c r="C70" s="1074" t="s">
        <v>603</v>
      </c>
      <c r="D70" s="1111"/>
      <c r="E70" s="85">
        <f>J70-H70</f>
        <v>-240000</v>
      </c>
      <c r="F70" s="1022"/>
      <c r="G70" s="1022"/>
      <c r="H70" s="954"/>
      <c r="I70" s="1022"/>
      <c r="J70" s="280">
        <f>'K Strategic'!J33-'K Strategic'!F33</f>
        <v>-240000</v>
      </c>
      <c r="K70" s="1022"/>
      <c r="L70" s="1022"/>
      <c r="M70" s="1022"/>
      <c r="N70" s="1022"/>
      <c r="O70" s="1022"/>
      <c r="P70" s="1022"/>
      <c r="Q70" s="1022"/>
      <c r="R70" s="1022"/>
      <c r="S70" s="1022"/>
      <c r="T70" s="1022"/>
      <c r="U70" s="1022"/>
      <c r="V70" s="1022"/>
      <c r="W70" s="1022"/>
      <c r="X70" s="1022"/>
      <c r="Y70" s="1022"/>
      <c r="Z70" s="1022"/>
    </row>
    <row r="71" ht="5.25" customHeight="1">
      <c r="A71" s="1022"/>
      <c r="B71" s="151"/>
      <c r="C71" s="1111"/>
      <c r="D71" s="1111"/>
      <c r="E71" s="92"/>
      <c r="F71" s="1022"/>
      <c r="G71" s="1022"/>
      <c r="H71" s="92"/>
      <c r="I71" s="1022"/>
      <c r="J71" s="280"/>
      <c r="K71" s="1022"/>
      <c r="L71" s="1022"/>
      <c r="M71" s="1022"/>
      <c r="N71" s="1022"/>
      <c r="O71" s="1022"/>
      <c r="P71" s="1022"/>
      <c r="Q71" s="1022"/>
      <c r="R71" s="1022"/>
      <c r="S71" s="1022"/>
      <c r="T71" s="1022"/>
      <c r="U71" s="1022"/>
      <c r="V71" s="1022"/>
      <c r="W71" s="1022"/>
      <c r="X71" s="1022"/>
      <c r="Y71" s="1022"/>
      <c r="Z71" s="1022"/>
    </row>
    <row r="72" ht="13.5" customHeight="1">
      <c r="A72" s="1022"/>
      <c r="B72" s="151" t="s">
        <v>605</v>
      </c>
      <c r="C72" s="1074" t="s">
        <v>606</v>
      </c>
      <c r="D72" s="1111"/>
      <c r="E72" s="92"/>
      <c r="F72" s="1022"/>
      <c r="G72" s="1022"/>
      <c r="H72" s="92"/>
      <c r="I72" s="1022"/>
      <c r="J72" s="280">
        <f>'H Non trad'!H47-'H Non trad'!D47</f>
        <v>136659</v>
      </c>
      <c r="K72" s="1022"/>
      <c r="L72" s="1022"/>
      <c r="M72" s="1022"/>
      <c r="N72" s="1022"/>
      <c r="O72" s="1022"/>
      <c r="P72" s="1022"/>
      <c r="Q72" s="1022"/>
      <c r="R72" s="1022"/>
      <c r="S72" s="1022"/>
      <c r="T72" s="1022"/>
      <c r="U72" s="1022"/>
      <c r="V72" s="1022"/>
      <c r="W72" s="1022"/>
      <c r="X72" s="1022"/>
      <c r="Y72" s="1022"/>
      <c r="Z72" s="1022"/>
    </row>
    <row r="73" ht="5.25" customHeight="1">
      <c r="A73" s="1022"/>
      <c r="B73" s="151"/>
      <c r="C73" s="1111"/>
      <c r="D73" s="1111"/>
      <c r="E73" s="1109"/>
      <c r="F73" s="1022"/>
      <c r="G73" s="1022"/>
      <c r="H73" s="1109"/>
      <c r="I73" s="1022"/>
      <c r="J73" s="1109"/>
      <c r="K73" s="1022"/>
      <c r="L73" s="1022"/>
      <c r="M73" s="1022"/>
      <c r="N73" s="1022"/>
      <c r="O73" s="1022"/>
      <c r="P73" s="1022"/>
      <c r="Q73" s="1022"/>
      <c r="R73" s="1022"/>
      <c r="S73" s="1022"/>
      <c r="T73" s="1022"/>
      <c r="U73" s="1022"/>
      <c r="V73" s="1022"/>
      <c r="W73" s="1022"/>
      <c r="X73" s="1022"/>
      <c r="Y73" s="1022"/>
      <c r="Z73" s="1022"/>
    </row>
    <row r="74" ht="20.25" customHeight="1">
      <c r="A74" s="1022"/>
      <c r="B74" s="151" t="s">
        <v>608</v>
      </c>
      <c r="C74" s="151"/>
      <c r="D74" s="151"/>
      <c r="E74" s="85">
        <f>E40+E67+E70</f>
        <v>3436800</v>
      </c>
      <c r="F74" s="1"/>
      <c r="G74" s="85"/>
      <c r="H74" s="85">
        <f>H40+H67+H70</f>
        <v>0</v>
      </c>
      <c r="I74" s="1"/>
      <c r="J74" s="85">
        <f>J40+J67+J70+J72</f>
        <v>3573459</v>
      </c>
      <c r="K74" s="1022"/>
      <c r="L74" s="1022"/>
      <c r="M74" s="1022"/>
      <c r="N74" s="1022"/>
      <c r="O74" s="1022"/>
      <c r="P74" s="1022"/>
      <c r="Q74" s="1022"/>
      <c r="R74" s="1022"/>
      <c r="S74" s="1022"/>
      <c r="T74" s="1022"/>
      <c r="U74" s="1022"/>
      <c r="V74" s="1022"/>
      <c r="W74" s="1022"/>
      <c r="X74" s="1022"/>
      <c r="Y74" s="1022"/>
      <c r="Z74" s="1022"/>
    </row>
    <row r="75" ht="4.5" customHeight="1">
      <c r="A75" s="1022"/>
      <c r="B75" s="151"/>
      <c r="C75" s="151"/>
      <c r="D75" s="151"/>
      <c r="E75" s="1112"/>
      <c r="F75" s="1107"/>
      <c r="G75" s="1106"/>
      <c r="H75" s="1108"/>
      <c r="I75" s="1106"/>
      <c r="J75" s="1109"/>
      <c r="K75" s="1022"/>
      <c r="L75" s="1022"/>
      <c r="M75" s="1022"/>
      <c r="N75" s="1022"/>
      <c r="O75" s="1022"/>
      <c r="P75" s="1022"/>
      <c r="Q75" s="1022"/>
      <c r="R75" s="1022"/>
      <c r="S75" s="1022"/>
      <c r="T75" s="1022"/>
      <c r="U75" s="1022"/>
      <c r="V75" s="1022"/>
      <c r="W75" s="1022"/>
      <c r="X75" s="1022"/>
      <c r="Y75" s="1022"/>
      <c r="Z75" s="1022"/>
    </row>
    <row r="76" ht="7.5" customHeight="1">
      <c r="A76" s="1022"/>
      <c r="B76" s="151"/>
      <c r="C76" s="151"/>
      <c r="D76" s="151"/>
      <c r="E76" s="85"/>
      <c r="F76" s="1"/>
      <c r="G76" s="85"/>
      <c r="H76" s="85"/>
      <c r="I76" s="1"/>
      <c r="J76" s="85"/>
      <c r="K76" s="1022"/>
      <c r="L76" s="1022"/>
      <c r="M76" s="1022"/>
      <c r="N76" s="1022"/>
      <c r="O76" s="1022"/>
      <c r="P76" s="1022"/>
      <c r="Q76" s="1022"/>
      <c r="R76" s="1022"/>
      <c r="S76" s="1022"/>
      <c r="T76" s="1022"/>
      <c r="U76" s="1022"/>
      <c r="V76" s="1022"/>
      <c r="W76" s="1022"/>
      <c r="X76" s="1022"/>
      <c r="Y76" s="1022"/>
      <c r="Z76" s="1022"/>
    </row>
    <row r="77" ht="17.25" customHeight="1">
      <c r="A77" s="1022"/>
      <c r="B77" s="151" t="s">
        <v>610</v>
      </c>
      <c r="C77" s="1074" t="s">
        <v>611</v>
      </c>
      <c r="D77" s="151"/>
      <c r="E77" s="1022"/>
      <c r="F77" s="1022"/>
      <c r="G77" s="203" t="s">
        <v>601</v>
      </c>
      <c r="H77" s="1022"/>
      <c r="I77" s="1022"/>
      <c r="J77" s="1022"/>
      <c r="K77" s="1022"/>
      <c r="L77" s="1022"/>
      <c r="M77" s="1022"/>
      <c r="N77" s="1022"/>
      <c r="O77" s="1022"/>
      <c r="P77" s="1022"/>
      <c r="Q77" s="1022"/>
      <c r="R77" s="1022"/>
      <c r="S77" s="1022"/>
      <c r="T77" s="1022"/>
      <c r="U77" s="1022"/>
      <c r="V77" s="1022"/>
      <c r="W77" s="1022"/>
      <c r="X77" s="1022"/>
      <c r="Y77" s="1022"/>
      <c r="Z77" s="1022"/>
    </row>
    <row r="78" ht="4.5" customHeight="1">
      <c r="A78" s="1022"/>
      <c r="B78" s="151"/>
      <c r="C78" s="151"/>
      <c r="D78" s="151"/>
      <c r="E78" s="1022"/>
      <c r="F78" s="1022"/>
      <c r="G78" s="1022"/>
      <c r="H78" s="1022"/>
      <c r="I78" s="1022"/>
      <c r="J78" s="1022"/>
      <c r="K78" s="1022"/>
      <c r="L78" s="1022"/>
      <c r="M78" s="1022"/>
      <c r="N78" s="1022"/>
      <c r="O78" s="1022"/>
      <c r="P78" s="1022"/>
      <c r="Q78" s="1022"/>
      <c r="R78" s="1022"/>
      <c r="S78" s="1022"/>
      <c r="T78" s="1022"/>
      <c r="U78" s="1022"/>
      <c r="V78" s="1022"/>
      <c r="W78" s="1022"/>
      <c r="X78" s="1022"/>
      <c r="Y78" s="1022"/>
      <c r="Z78" s="1022"/>
    </row>
    <row r="79" ht="14.25" customHeight="1">
      <c r="A79" s="1022"/>
      <c r="B79" s="942" t="s">
        <v>612</v>
      </c>
      <c r="C79" s="618"/>
      <c r="D79" s="151"/>
      <c r="E79" s="85">
        <f>J79-H79</f>
        <v>-142549.2192</v>
      </c>
      <c r="F79" s="1022"/>
      <c r="G79" s="1022"/>
      <c r="H79" s="954"/>
      <c r="I79" s="1022"/>
      <c r="J79" s="295">
        <f>'L Capital'!P192-'E Budg CY'!H80</f>
        <v>-142549.2192</v>
      </c>
      <c r="K79" s="1022"/>
      <c r="L79" s="1022"/>
      <c r="M79" s="1022"/>
      <c r="N79" s="1022"/>
      <c r="O79" s="1022"/>
      <c r="P79" s="1022"/>
      <c r="Q79" s="1022"/>
      <c r="R79" s="1022"/>
      <c r="S79" s="1022"/>
      <c r="T79" s="1022"/>
      <c r="U79" s="1022"/>
      <c r="V79" s="1022"/>
      <c r="W79" s="1022"/>
      <c r="X79" s="1022"/>
      <c r="Y79" s="1022"/>
      <c r="Z79" s="1022"/>
    </row>
    <row r="80" ht="5.25" customHeight="1">
      <c r="A80" s="1022"/>
      <c r="B80" s="1022"/>
      <c r="C80" s="151"/>
      <c r="D80" s="151"/>
      <c r="E80" s="85"/>
      <c r="F80" s="1"/>
      <c r="G80" s="1"/>
      <c r="H80" s="1"/>
      <c r="I80" s="1"/>
      <c r="J80" s="85"/>
      <c r="K80" s="1022"/>
      <c r="L80" s="1022"/>
      <c r="M80" s="1022"/>
      <c r="N80" s="1022"/>
      <c r="O80" s="1022"/>
      <c r="P80" s="1022"/>
      <c r="Q80" s="1022"/>
      <c r="R80" s="1022"/>
      <c r="S80" s="1022"/>
      <c r="T80" s="1022"/>
      <c r="U80" s="1022"/>
      <c r="V80" s="1022"/>
      <c r="W80" s="1022"/>
      <c r="X80" s="1022"/>
      <c r="Y80" s="1022"/>
      <c r="Z80" s="1022"/>
    </row>
    <row r="81" ht="14.25" customHeight="1">
      <c r="A81" s="1022"/>
      <c r="B81" s="942" t="s">
        <v>615</v>
      </c>
      <c r="C81" s="1022"/>
      <c r="D81" s="151"/>
      <c r="E81" s="85">
        <f>J81-H81</f>
        <v>0</v>
      </c>
      <c r="F81" s="1"/>
      <c r="G81" s="85"/>
      <c r="H81" s="954"/>
      <c r="I81" s="1"/>
      <c r="J81" s="85">
        <f>'L Capital'!P50*'L Capital'!P52</f>
        <v>0</v>
      </c>
      <c r="K81" s="1022"/>
      <c r="L81" s="1022"/>
      <c r="M81" s="1022"/>
      <c r="N81" s="1022"/>
      <c r="O81" s="1022"/>
      <c r="P81" s="1022"/>
      <c r="Q81" s="1022"/>
      <c r="R81" s="1022"/>
      <c r="S81" s="1022"/>
      <c r="T81" s="1022"/>
      <c r="U81" s="1022"/>
      <c r="V81" s="1022"/>
      <c r="W81" s="1022"/>
      <c r="X81" s="1022"/>
      <c r="Y81" s="1022"/>
      <c r="Z81" s="1022"/>
    </row>
    <row r="82" ht="4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942" t="s">
        <v>617</v>
      </c>
      <c r="C83" s="1"/>
      <c r="D83" s="1"/>
      <c r="E83" s="85">
        <f>J83-H83</f>
        <v>206389.9431</v>
      </c>
      <c r="F83" s="1"/>
      <c r="G83" s="85"/>
      <c r="H83" s="954"/>
      <c r="I83" s="1"/>
      <c r="J83" s="85">
        <f>'L Capital'!P183-'E Budg CY'!F66</f>
        <v>206389.9431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4.5" customHeight="1">
      <c r="A84" s="1"/>
      <c r="B84" s="1"/>
      <c r="C84" s="1"/>
      <c r="D84" s="1"/>
      <c r="E84" s="1112"/>
      <c r="F84" s="1107"/>
      <c r="G84" s="1106"/>
      <c r="H84" s="1108"/>
      <c r="I84" s="1106"/>
      <c r="J84" s="1109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4.5" customHeight="1">
      <c r="A85" s="1"/>
      <c r="B85" s="1"/>
      <c r="C85" s="1"/>
      <c r="D85" s="1"/>
      <c r="E85" s="1107"/>
      <c r="F85" s="1107"/>
      <c r="G85" s="1106"/>
      <c r="H85" s="1107"/>
      <c r="I85" s="1106"/>
      <c r="J85" s="1106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022"/>
      <c r="B86" s="151" t="s">
        <v>622</v>
      </c>
      <c r="C86" s="151"/>
      <c r="D86" s="151"/>
      <c r="E86" s="1123">
        <f>SUM(E74:E83)</f>
        <v>3500640.724</v>
      </c>
      <c r="F86" s="1124"/>
      <c r="G86" s="1124"/>
      <c r="H86" s="1123">
        <f>SUM(H74:H83)</f>
        <v>0</v>
      </c>
      <c r="I86" s="1124"/>
      <c r="J86" s="1123">
        <f>E86+H86</f>
        <v>3500640.724</v>
      </c>
      <c r="K86" s="1022"/>
      <c r="L86" s="1022"/>
      <c r="M86" s="1022"/>
      <c r="N86" s="1022"/>
      <c r="O86" s="1022"/>
      <c r="P86" s="1022"/>
      <c r="Q86" s="1022"/>
      <c r="R86" s="1022"/>
      <c r="S86" s="1022"/>
      <c r="T86" s="1022"/>
      <c r="U86" s="1022"/>
      <c r="V86" s="1022"/>
      <c r="W86" s="1022"/>
      <c r="X86" s="1022"/>
      <c r="Y86" s="1022"/>
      <c r="Z86" s="1022"/>
    </row>
    <row r="87" ht="4.5" customHeight="1">
      <c r="A87" s="1"/>
      <c r="B87" s="1"/>
      <c r="C87" s="1"/>
      <c r="D87" s="1"/>
      <c r="E87" s="1112"/>
      <c r="F87" s="1107"/>
      <c r="G87" s="1106"/>
      <c r="H87" s="1108"/>
      <c r="I87" s="1106"/>
      <c r="J87" s="1109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6.75" customHeight="1">
      <c r="A88" s="1"/>
      <c r="B88" s="1"/>
      <c r="C88" s="1"/>
      <c r="D88" s="1"/>
      <c r="E88" s="1127"/>
      <c r="F88" s="1107"/>
      <c r="G88" s="1106"/>
      <c r="H88" s="1107"/>
      <c r="I88" s="1106"/>
      <c r="J88" s="1128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022"/>
      <c r="B89" s="151" t="s">
        <v>625</v>
      </c>
      <c r="C89" s="151"/>
      <c r="D89" s="151"/>
      <c r="E89" s="85">
        <f>E18-E86</f>
        <v>-1827759.598</v>
      </c>
      <c r="F89" s="1"/>
      <c r="G89" s="1"/>
      <c r="H89" s="85">
        <f>H18-H86</f>
        <v>1084635.379</v>
      </c>
      <c r="I89" s="1"/>
      <c r="J89" s="85">
        <f>J18-J86</f>
        <v>-559770.219</v>
      </c>
      <c r="K89" s="1022"/>
      <c r="L89" s="1022"/>
      <c r="M89" s="1022"/>
      <c r="N89" s="1022"/>
      <c r="O89" s="1022"/>
      <c r="P89" s="1022"/>
      <c r="Q89" s="1022"/>
      <c r="R89" s="1022"/>
      <c r="S89" s="1022"/>
      <c r="T89" s="1022"/>
      <c r="U89" s="1022"/>
      <c r="V89" s="1022"/>
      <c r="W89" s="1022"/>
      <c r="X89" s="1022"/>
      <c r="Y89" s="1022"/>
      <c r="Z89" s="1022"/>
    </row>
    <row r="90" ht="7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51" t="s">
        <v>626</v>
      </c>
      <c r="C91" s="1"/>
      <c r="D91" s="1"/>
      <c r="E91" s="1133"/>
      <c r="F91" s="1"/>
      <c r="G91" s="1"/>
      <c r="H91" s="85"/>
      <c r="I91" s="1"/>
      <c r="J91" s="1133">
        <f>'E Budg CY'!H85</f>
        <v>4203896.817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6.0" customHeight="1">
      <c r="A92" s="1"/>
      <c r="B92" s="151"/>
      <c r="C92" s="1"/>
      <c r="D92" s="1"/>
      <c r="E92" s="1112"/>
      <c r="F92" s="1107"/>
      <c r="G92" s="1106"/>
      <c r="H92" s="1108"/>
      <c r="I92" s="1106"/>
      <c r="J92" s="1109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4.5" customHeight="1">
      <c r="A93" s="1"/>
      <c r="B93" s="151"/>
      <c r="C93" s="1"/>
      <c r="D93" s="1"/>
      <c r="E93" s="1127"/>
      <c r="F93" s="1107"/>
      <c r="G93" s="1106"/>
      <c r="H93" s="1107"/>
      <c r="I93" s="1106"/>
      <c r="J93" s="1128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51" t="s">
        <v>630</v>
      </c>
      <c r="C94" s="1"/>
      <c r="D94" s="1"/>
      <c r="E94" s="155"/>
      <c r="F94" s="151"/>
      <c r="G94" s="151"/>
      <c r="H94" s="155"/>
      <c r="I94" s="151"/>
      <c r="J94" s="155">
        <f>J89+J91</f>
        <v>3644126.598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.75" customHeight="1">
      <c r="A95" s="1"/>
      <c r="B95" s="1134"/>
      <c r="C95" s="21"/>
      <c r="D95" s="386"/>
      <c r="E95" s="1139"/>
      <c r="F95" s="1"/>
      <c r="G95" s="1"/>
      <c r="H95" s="1139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0" customHeight="1">
      <c r="A96" s="1"/>
      <c r="B96" s="1"/>
      <c r="C96" s="1"/>
      <c r="D96" s="1"/>
      <c r="E96" s="496" t="s">
        <v>179</v>
      </c>
      <c r="F96" s="612"/>
      <c r="G96" s="1072"/>
      <c r="H96" s="498" t="s">
        <v>186</v>
      </c>
      <c r="I96" s="1073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51" t="s">
        <v>643</v>
      </c>
      <c r="C97" s="1140"/>
      <c r="D97" s="386"/>
      <c r="E97" s="1"/>
      <c r="F97" s="1"/>
      <c r="G97" s="1"/>
      <c r="H97" s="1"/>
      <c r="I97" s="1"/>
      <c r="J97" s="1149">
        <f>'M Non student'!H33+'M Non student'!H38</f>
        <v>4460000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.75" customHeight="1">
      <c r="A98" s="1"/>
      <c r="B98" s="1150"/>
      <c r="C98" s="1140"/>
      <c r="D98" s="386"/>
      <c r="E98" s="1"/>
      <c r="F98" s="1"/>
      <c r="G98" s="1"/>
      <c r="H98" s="1"/>
      <c r="I98" s="1"/>
      <c r="J98" s="2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8.0" customHeight="1">
      <c r="A99" s="1"/>
      <c r="B99" s="151" t="s">
        <v>648</v>
      </c>
      <c r="C99" s="1140"/>
      <c r="D99" s="386"/>
      <c r="E99" s="1"/>
      <c r="F99" s="1"/>
      <c r="G99" s="1"/>
      <c r="H99" s="1"/>
      <c r="I99" s="1"/>
      <c r="J99" s="1149">
        <f>J94+J97</f>
        <v>8104126.598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21.75" customHeight="1">
      <c r="A100" s="1"/>
      <c r="B100" s="151" t="s">
        <v>651</v>
      </c>
      <c r="C100" s="1140"/>
      <c r="D100" s="386"/>
      <c r="E100" s="1"/>
      <c r="F100" s="1"/>
      <c r="G100" s="1"/>
      <c r="H100" s="1"/>
      <c r="I100" s="1"/>
      <c r="J100" s="1149">
        <f>'R Bal sheets'!J36-'R Bal sheets'!H36</f>
        <v>3896774.598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21.75" customHeight="1">
      <c r="A101" s="1"/>
      <c r="B101" s="942" t="s">
        <v>653</v>
      </c>
      <c r="C101" s="1140"/>
      <c r="D101" s="386"/>
      <c r="E101" s="1"/>
      <c r="F101" s="1"/>
      <c r="G101" s="1"/>
      <c r="H101" s="1"/>
      <c r="I101" s="1"/>
      <c r="J101" s="1149">
        <f>'R Bal sheets'!J38-'R Bal sheets'!H38</f>
        <v>8000000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4.5" customHeight="1">
      <c r="A102" s="1"/>
      <c r="B102" s="1150"/>
      <c r="C102" s="1140"/>
      <c r="D102" s="386"/>
      <c r="E102" s="1"/>
      <c r="F102" s="1"/>
      <c r="G102" s="1"/>
      <c r="H102" s="1"/>
      <c r="I102" s="1"/>
      <c r="J102" s="29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4.5" customHeight="1">
      <c r="A103" s="1"/>
      <c r="B103" s="1150"/>
      <c r="C103" s="1140"/>
      <c r="D103" s="38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8.0" customHeight="1">
      <c r="A104" s="1"/>
      <c r="B104" s="1150" t="s">
        <v>655</v>
      </c>
      <c r="C104" s="1140"/>
      <c r="D104" s="386"/>
      <c r="E104" s="1"/>
      <c r="F104" s="1"/>
      <c r="G104" s="1"/>
      <c r="H104" s="1"/>
      <c r="I104" s="1"/>
      <c r="J104" s="1158">
        <f>SUM(J99:J101)</f>
        <v>20000901.2</v>
      </c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9.75" customHeight="1">
      <c r="A105" s="1"/>
      <c r="B105" s="1150"/>
      <c r="C105" s="1140"/>
      <c r="D105" s="38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1"/>
      <c r="D106" s="1"/>
      <c r="E106" s="1"/>
      <c r="F106" s="1"/>
      <c r="G106" s="1"/>
      <c r="H106" s="438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5.25" customHeight="1">
      <c r="A107" s="1"/>
      <c r="B107" s="1"/>
      <c r="C107" s="1"/>
      <c r="D107" s="1"/>
      <c r="E107" s="1"/>
      <c r="F107" s="1"/>
      <c r="G107" s="1"/>
      <c r="H107" s="438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1"/>
      <c r="D108" s="1"/>
      <c r="E108" s="1"/>
      <c r="F108" s="1"/>
      <c r="G108" s="1"/>
      <c r="H108" s="438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6.75" customHeight="1">
      <c r="A109" s="1"/>
      <c r="B109" s="1"/>
      <c r="C109" s="1"/>
      <c r="D109" s="1"/>
      <c r="E109" s="1"/>
      <c r="F109" s="1"/>
      <c r="G109" s="1"/>
      <c r="H109" s="438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1"/>
      <c r="E110" s="1"/>
      <c r="F110" s="1"/>
      <c r="G110" s="1"/>
      <c r="H110" s="438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1"/>
      <c r="E111" s="1"/>
      <c r="F111" s="1"/>
      <c r="G111" s="1"/>
      <c r="H111" s="438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1"/>
      <c r="D112" s="1"/>
      <c r="E112" s="1"/>
      <c r="F112" s="1"/>
      <c r="G112" s="1"/>
      <c r="H112" s="438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1"/>
      <c r="D113" s="1"/>
      <c r="E113" s="1"/>
      <c r="F113" s="1"/>
      <c r="G113" s="1"/>
      <c r="H113" s="438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1"/>
      <c r="D114" s="1"/>
      <c r="E114" s="1"/>
      <c r="F114" s="1"/>
      <c r="G114" s="1"/>
      <c r="H114" s="438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1"/>
      <c r="E115" s="1"/>
      <c r="F115" s="1"/>
      <c r="G115" s="1"/>
      <c r="H115" s="438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1"/>
      <c r="D116" s="1"/>
      <c r="E116" s="1"/>
      <c r="F116" s="1"/>
      <c r="G116" s="1"/>
      <c r="H116" s="438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1"/>
      <c r="E117" s="1"/>
      <c r="F117" s="1"/>
      <c r="G117" s="1"/>
      <c r="H117" s="438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1"/>
      <c r="E118" s="1"/>
      <c r="F118" s="1"/>
      <c r="G118" s="1"/>
      <c r="H118" s="438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1"/>
      <c r="F119" s="1"/>
      <c r="G119" s="1"/>
      <c r="H119" s="438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1"/>
      <c r="F120" s="1"/>
      <c r="G120" s="1"/>
      <c r="H120" s="438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1"/>
      <c r="F121" s="1"/>
      <c r="G121" s="1"/>
      <c r="H121" s="438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1"/>
      <c r="F122" s="1"/>
      <c r="G122" s="1"/>
      <c r="H122" s="438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1"/>
      <c r="F123" s="1"/>
      <c r="G123" s="1"/>
      <c r="H123" s="438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1"/>
      <c r="F124" s="1"/>
      <c r="G124" s="1"/>
      <c r="H124" s="438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1"/>
      <c r="F125" s="1"/>
      <c r="G125" s="1"/>
      <c r="H125" s="438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1"/>
      <c r="F126" s="1"/>
      <c r="G126" s="1"/>
      <c r="H126" s="438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1"/>
      <c r="F127" s="1"/>
      <c r="G127" s="1"/>
      <c r="H127" s="438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1"/>
      <c r="F128" s="1"/>
      <c r="G128" s="1"/>
      <c r="H128" s="438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1"/>
      <c r="F129" s="1"/>
      <c r="G129" s="1"/>
      <c r="H129" s="438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1"/>
      <c r="F130" s="1"/>
      <c r="G130" s="1"/>
      <c r="H130" s="438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1"/>
      <c r="F131" s="1"/>
      <c r="G131" s="1"/>
      <c r="H131" s="438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1"/>
      <c r="F132" s="1"/>
      <c r="G132" s="1"/>
      <c r="H132" s="438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1"/>
      <c r="F133" s="1"/>
      <c r="G133" s="1"/>
      <c r="H133" s="438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1"/>
      <c r="F134" s="1"/>
      <c r="G134" s="1"/>
      <c r="H134" s="438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1"/>
      <c r="F135" s="1"/>
      <c r="G135" s="1"/>
      <c r="H135" s="438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1"/>
      <c r="F136" s="1"/>
      <c r="G136" s="1"/>
      <c r="H136" s="438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1"/>
      <c r="F137" s="1"/>
      <c r="G137" s="1"/>
      <c r="H137" s="438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1"/>
      <c r="F138" s="1"/>
      <c r="G138" s="1"/>
      <c r="H138" s="438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1"/>
      <c r="F139" s="1"/>
      <c r="G139" s="1"/>
      <c r="H139" s="438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1"/>
      <c r="F140" s="1"/>
      <c r="G140" s="1"/>
      <c r="H140" s="438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1"/>
      <c r="F141" s="1"/>
      <c r="G141" s="1"/>
      <c r="H141" s="438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1"/>
      <c r="F142" s="1"/>
      <c r="G142" s="1"/>
      <c r="H142" s="438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1"/>
      <c r="F143" s="1"/>
      <c r="G143" s="1"/>
      <c r="H143" s="438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1"/>
      <c r="F144" s="1"/>
      <c r="G144" s="1"/>
      <c r="H144" s="438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1"/>
      <c r="F145" s="1"/>
      <c r="G145" s="1"/>
      <c r="H145" s="438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1"/>
      <c r="F146" s="1"/>
      <c r="G146" s="1"/>
      <c r="H146" s="438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1"/>
      <c r="F147" s="1"/>
      <c r="G147" s="1"/>
      <c r="H147" s="438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1"/>
      <c r="F148" s="1"/>
      <c r="G148" s="1"/>
      <c r="H148" s="438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1"/>
      <c r="F149" s="1"/>
      <c r="G149" s="1"/>
      <c r="H149" s="438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1"/>
      <c r="F150" s="1"/>
      <c r="G150" s="1"/>
      <c r="H150" s="438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1"/>
      <c r="F151" s="1"/>
      <c r="G151" s="1"/>
      <c r="H151" s="438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1"/>
      <c r="F152" s="1"/>
      <c r="G152" s="1"/>
      <c r="H152" s="438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1"/>
      <c r="F153" s="1"/>
      <c r="G153" s="1"/>
      <c r="H153" s="438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1"/>
      <c r="F154" s="1"/>
      <c r="G154" s="1"/>
      <c r="H154" s="438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1"/>
      <c r="F155" s="1"/>
      <c r="G155" s="1"/>
      <c r="H155" s="438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1"/>
      <c r="F156" s="1"/>
      <c r="G156" s="1"/>
      <c r="H156" s="438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1"/>
      <c r="F157" s="1"/>
      <c r="G157" s="1"/>
      <c r="H157" s="438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1"/>
      <c r="F158" s="1"/>
      <c r="G158" s="1"/>
      <c r="H158" s="438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1"/>
      <c r="F159" s="1"/>
      <c r="G159" s="1"/>
      <c r="H159" s="438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1"/>
      <c r="F160" s="1"/>
      <c r="G160" s="1"/>
      <c r="H160" s="438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1"/>
      <c r="F161" s="1"/>
      <c r="G161" s="1"/>
      <c r="H161" s="438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1"/>
      <c r="F162" s="1"/>
      <c r="G162" s="1"/>
      <c r="H162" s="438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1"/>
      <c r="F163" s="1"/>
      <c r="G163" s="1"/>
      <c r="H163" s="438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1"/>
      <c r="F164" s="1"/>
      <c r="G164" s="1"/>
      <c r="H164" s="438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1"/>
      <c r="F165" s="1"/>
      <c r="G165" s="1"/>
      <c r="H165" s="438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1"/>
      <c r="F166" s="1"/>
      <c r="G166" s="1"/>
      <c r="H166" s="438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1"/>
      <c r="F167" s="1"/>
      <c r="G167" s="1"/>
      <c r="H167" s="438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1"/>
      <c r="F168" s="1"/>
      <c r="G168" s="1"/>
      <c r="H168" s="438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1"/>
      <c r="F169" s="1"/>
      <c r="G169" s="1"/>
      <c r="H169" s="438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1"/>
      <c r="F170" s="1"/>
      <c r="G170" s="1"/>
      <c r="H170" s="438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1"/>
      <c r="F171" s="1"/>
      <c r="G171" s="1"/>
      <c r="H171" s="438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1"/>
      <c r="F172" s="1"/>
      <c r="G172" s="1"/>
      <c r="H172" s="438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1"/>
      <c r="F173" s="1"/>
      <c r="G173" s="1"/>
      <c r="H173" s="438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1"/>
      <c r="F174" s="1"/>
      <c r="G174" s="1"/>
      <c r="H174" s="438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1"/>
      <c r="F175" s="1"/>
      <c r="G175" s="1"/>
      <c r="H175" s="438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1"/>
      <c r="F176" s="1"/>
      <c r="G176" s="1"/>
      <c r="H176" s="438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1"/>
      <c r="F177" s="1"/>
      <c r="G177" s="1"/>
      <c r="H177" s="438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1"/>
      <c r="F178" s="1"/>
      <c r="G178" s="1"/>
      <c r="H178" s="438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1"/>
      <c r="F179" s="1"/>
      <c r="G179" s="1"/>
      <c r="H179" s="438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1"/>
      <c r="F180" s="1"/>
      <c r="G180" s="1"/>
      <c r="H180" s="438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1"/>
      <c r="F181" s="1"/>
      <c r="G181" s="1"/>
      <c r="H181" s="438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1"/>
      <c r="F182" s="1"/>
      <c r="G182" s="1"/>
      <c r="H182" s="438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1"/>
      <c r="F183" s="1"/>
      <c r="G183" s="1"/>
      <c r="H183" s="438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1"/>
      <c r="F184" s="1"/>
      <c r="G184" s="1"/>
      <c r="H184" s="438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1"/>
      <c r="F185" s="1"/>
      <c r="G185" s="1"/>
      <c r="H185" s="438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1"/>
      <c r="F186" s="1"/>
      <c r="G186" s="1"/>
      <c r="H186" s="438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1"/>
      <c r="F187" s="1"/>
      <c r="G187" s="1"/>
      <c r="H187" s="438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1"/>
      <c r="F188" s="1"/>
      <c r="G188" s="1"/>
      <c r="H188" s="438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1"/>
      <c r="F189" s="1"/>
      <c r="G189" s="1"/>
      <c r="H189" s="438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1"/>
      <c r="F190" s="1"/>
      <c r="G190" s="1"/>
      <c r="H190" s="438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1"/>
      <c r="F191" s="1"/>
      <c r="G191" s="1"/>
      <c r="H191" s="438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1"/>
      <c r="F192" s="1"/>
      <c r="G192" s="1"/>
      <c r="H192" s="438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1"/>
      <c r="F193" s="1"/>
      <c r="G193" s="1"/>
      <c r="H193" s="438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1"/>
      <c r="F194" s="1"/>
      <c r="G194" s="1"/>
      <c r="H194" s="438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1"/>
      <c r="F195" s="1"/>
      <c r="G195" s="1"/>
      <c r="H195" s="438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1"/>
      <c r="F196" s="1"/>
      <c r="G196" s="1"/>
      <c r="H196" s="438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1"/>
      <c r="F197" s="1"/>
      <c r="G197" s="1"/>
      <c r="H197" s="438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1"/>
      <c r="F198" s="1"/>
      <c r="G198" s="1"/>
      <c r="H198" s="438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1"/>
      <c r="F199" s="1"/>
      <c r="G199" s="1"/>
      <c r="H199" s="438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1"/>
      <c r="F200" s="1"/>
      <c r="G200" s="1"/>
      <c r="H200" s="438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1"/>
      <c r="F201" s="1"/>
      <c r="G201" s="1"/>
      <c r="H201" s="438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1"/>
      <c r="F202" s="1"/>
      <c r="G202" s="1"/>
      <c r="H202" s="438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1"/>
      <c r="F203" s="1"/>
      <c r="G203" s="1"/>
      <c r="H203" s="438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1"/>
      <c r="F204" s="1"/>
      <c r="G204" s="1"/>
      <c r="H204" s="438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1"/>
      <c r="F205" s="1"/>
      <c r="G205" s="1"/>
      <c r="H205" s="438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1"/>
      <c r="F206" s="1"/>
      <c r="G206" s="1"/>
      <c r="H206" s="438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1"/>
      <c r="F207" s="1"/>
      <c r="G207" s="1"/>
      <c r="H207" s="438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1"/>
      <c r="F208" s="1"/>
      <c r="G208" s="1"/>
      <c r="H208" s="438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1"/>
      <c r="F209" s="1"/>
      <c r="G209" s="1"/>
      <c r="H209" s="438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1"/>
      <c r="F210" s="1"/>
      <c r="G210" s="1"/>
      <c r="H210" s="438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1"/>
      <c r="F211" s="1"/>
      <c r="G211" s="1"/>
      <c r="H211" s="438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1"/>
      <c r="F212" s="1"/>
      <c r="G212" s="1"/>
      <c r="H212" s="438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1"/>
      <c r="F213" s="1"/>
      <c r="G213" s="1"/>
      <c r="H213" s="438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1"/>
      <c r="F214" s="1"/>
      <c r="G214" s="1"/>
      <c r="H214" s="438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1"/>
      <c r="F215" s="1"/>
      <c r="G215" s="1"/>
      <c r="H215" s="438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1"/>
      <c r="F216" s="1"/>
      <c r="G216" s="1"/>
      <c r="H216" s="438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1"/>
      <c r="F217" s="1"/>
      <c r="G217" s="1"/>
      <c r="H217" s="438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1"/>
      <c r="F218" s="1"/>
      <c r="G218" s="1"/>
      <c r="H218" s="438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1"/>
      <c r="F219" s="1"/>
      <c r="G219" s="1"/>
      <c r="H219" s="438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1"/>
      <c r="F220" s="1"/>
      <c r="G220" s="1"/>
      <c r="H220" s="438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1"/>
      <c r="F221" s="1"/>
      <c r="G221" s="1"/>
      <c r="H221" s="438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1"/>
      <c r="F222" s="1"/>
      <c r="G222" s="1"/>
      <c r="H222" s="438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1"/>
      <c r="F223" s="1"/>
      <c r="G223" s="1"/>
      <c r="H223" s="438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1"/>
      <c r="F224" s="1"/>
      <c r="G224" s="1"/>
      <c r="H224" s="438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1"/>
      <c r="F225" s="1"/>
      <c r="G225" s="1"/>
      <c r="H225" s="438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1"/>
      <c r="F226" s="1"/>
      <c r="G226" s="1"/>
      <c r="H226" s="438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1"/>
      <c r="F227" s="1"/>
      <c r="G227" s="1"/>
      <c r="H227" s="438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1"/>
      <c r="F228" s="1"/>
      <c r="G228" s="1"/>
      <c r="H228" s="438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1"/>
      <c r="F229" s="1"/>
      <c r="G229" s="1"/>
      <c r="H229" s="438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1"/>
      <c r="F230" s="1"/>
      <c r="G230" s="1"/>
      <c r="H230" s="438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1"/>
      <c r="F231" s="1"/>
      <c r="G231" s="1"/>
      <c r="H231" s="438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1"/>
      <c r="F232" s="1"/>
      <c r="G232" s="1"/>
      <c r="H232" s="438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1"/>
      <c r="F233" s="1"/>
      <c r="G233" s="1"/>
      <c r="H233" s="438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1"/>
      <c r="F234" s="1"/>
      <c r="G234" s="1"/>
      <c r="H234" s="438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1"/>
      <c r="F235" s="1"/>
      <c r="G235" s="1"/>
      <c r="H235" s="438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1"/>
      <c r="F236" s="1"/>
      <c r="G236" s="1"/>
      <c r="H236" s="438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1"/>
      <c r="F237" s="1"/>
      <c r="G237" s="1"/>
      <c r="H237" s="438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1"/>
      <c r="F238" s="1"/>
      <c r="G238" s="1"/>
      <c r="H238" s="438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1"/>
      <c r="F239" s="1"/>
      <c r="G239" s="1"/>
      <c r="H239" s="438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1"/>
      <c r="F240" s="1"/>
      <c r="G240" s="1"/>
      <c r="H240" s="438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1"/>
      <c r="F241" s="1"/>
      <c r="G241" s="1"/>
      <c r="H241" s="438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1"/>
      <c r="F242" s="1"/>
      <c r="G242" s="1"/>
      <c r="H242" s="438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1"/>
      <c r="F243" s="1"/>
      <c r="G243" s="1"/>
      <c r="H243" s="438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1"/>
      <c r="F244" s="1"/>
      <c r="G244" s="1"/>
      <c r="H244" s="438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1"/>
      <c r="F245" s="1"/>
      <c r="G245" s="1"/>
      <c r="H245" s="438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1"/>
      <c r="F246" s="1"/>
      <c r="G246" s="1"/>
      <c r="H246" s="438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1"/>
      <c r="F247" s="1"/>
      <c r="G247" s="1"/>
      <c r="H247" s="438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1"/>
      <c r="F248" s="1"/>
      <c r="G248" s="1"/>
      <c r="H248" s="438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1"/>
      <c r="F249" s="1"/>
      <c r="G249" s="1"/>
      <c r="H249" s="438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1"/>
      <c r="F250" s="1"/>
      <c r="G250" s="1"/>
      <c r="H250" s="438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1"/>
      <c r="F251" s="1"/>
      <c r="G251" s="1"/>
      <c r="H251" s="438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1"/>
      <c r="F252" s="1"/>
      <c r="G252" s="1"/>
      <c r="H252" s="438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1"/>
      <c r="F253" s="1"/>
      <c r="G253" s="1"/>
      <c r="H253" s="438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1"/>
      <c r="F254" s="1"/>
      <c r="G254" s="1"/>
      <c r="H254" s="438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1"/>
      <c r="F255" s="1"/>
      <c r="G255" s="1"/>
      <c r="H255" s="438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1"/>
      <c r="F256" s="1"/>
      <c r="G256" s="1"/>
      <c r="H256" s="438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1"/>
      <c r="F257" s="1"/>
      <c r="G257" s="1"/>
      <c r="H257" s="438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1"/>
      <c r="F258" s="1"/>
      <c r="G258" s="1"/>
      <c r="H258" s="438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1"/>
      <c r="F259" s="1"/>
      <c r="G259" s="1"/>
      <c r="H259" s="438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1"/>
      <c r="F260" s="1"/>
      <c r="G260" s="1"/>
      <c r="H260" s="438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1"/>
      <c r="F261" s="1"/>
      <c r="G261" s="1"/>
      <c r="H261" s="438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1"/>
      <c r="F262" s="1"/>
      <c r="G262" s="1"/>
      <c r="H262" s="438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1"/>
      <c r="F263" s="1"/>
      <c r="G263" s="1"/>
      <c r="H263" s="438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1"/>
      <c r="F264" s="1"/>
      <c r="G264" s="1"/>
      <c r="H264" s="438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1"/>
      <c r="F265" s="1"/>
      <c r="G265" s="1"/>
      <c r="H265" s="438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1"/>
      <c r="F266" s="1"/>
      <c r="G266" s="1"/>
      <c r="H266" s="438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1"/>
      <c r="F267" s="1"/>
      <c r="G267" s="1"/>
      <c r="H267" s="438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1"/>
      <c r="F268" s="1"/>
      <c r="G268" s="1"/>
      <c r="H268" s="438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1"/>
      <c r="F269" s="1"/>
      <c r="G269" s="1"/>
      <c r="H269" s="438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1"/>
      <c r="F270" s="1"/>
      <c r="G270" s="1"/>
      <c r="H270" s="438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1"/>
      <c r="F271" s="1"/>
      <c r="G271" s="1"/>
      <c r="H271" s="438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1"/>
      <c r="F272" s="1"/>
      <c r="G272" s="1"/>
      <c r="H272" s="438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1"/>
      <c r="F273" s="1"/>
      <c r="G273" s="1"/>
      <c r="H273" s="438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1"/>
      <c r="F274" s="1"/>
      <c r="G274" s="1"/>
      <c r="H274" s="438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1"/>
      <c r="F275" s="1"/>
      <c r="G275" s="1"/>
      <c r="H275" s="438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1"/>
      <c r="F276" s="1"/>
      <c r="G276" s="1"/>
      <c r="H276" s="438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1"/>
      <c r="F277" s="1"/>
      <c r="G277" s="1"/>
      <c r="H277" s="438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1"/>
      <c r="F278" s="1"/>
      <c r="G278" s="1"/>
      <c r="H278" s="438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1"/>
      <c r="F279" s="1"/>
      <c r="G279" s="1"/>
      <c r="H279" s="438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1"/>
      <c r="F280" s="1"/>
      <c r="G280" s="1"/>
      <c r="H280" s="438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1"/>
      <c r="F281" s="1"/>
      <c r="G281" s="1"/>
      <c r="H281" s="438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1"/>
      <c r="F282" s="1"/>
      <c r="G282" s="1"/>
      <c r="H282" s="438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1"/>
      <c r="F283" s="1"/>
      <c r="G283" s="1"/>
      <c r="H283" s="438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1"/>
      <c r="F284" s="1"/>
      <c r="G284" s="1"/>
      <c r="H284" s="438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1"/>
      <c r="F285" s="1"/>
      <c r="G285" s="1"/>
      <c r="H285" s="438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1"/>
      <c r="F286" s="1"/>
      <c r="G286" s="1"/>
      <c r="H286" s="438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1"/>
      <c r="F287" s="1"/>
      <c r="G287" s="1"/>
      <c r="H287" s="438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1"/>
      <c r="F288" s="1"/>
      <c r="G288" s="1"/>
      <c r="H288" s="438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1"/>
      <c r="F289" s="1"/>
      <c r="G289" s="1"/>
      <c r="H289" s="438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1"/>
      <c r="F290" s="1"/>
      <c r="G290" s="1"/>
      <c r="H290" s="438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1"/>
      <c r="F291" s="1"/>
      <c r="G291" s="1"/>
      <c r="H291" s="438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1"/>
      <c r="F292" s="1"/>
      <c r="G292" s="1"/>
      <c r="H292" s="438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1"/>
      <c r="F293" s="1"/>
      <c r="G293" s="1"/>
      <c r="H293" s="438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1"/>
      <c r="F294" s="1"/>
      <c r="G294" s="1"/>
      <c r="H294" s="438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1"/>
      <c r="F295" s="1"/>
      <c r="G295" s="1"/>
      <c r="H295" s="438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1"/>
      <c r="F296" s="1"/>
      <c r="G296" s="1"/>
      <c r="H296" s="438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1"/>
      <c r="F297" s="1"/>
      <c r="G297" s="1"/>
      <c r="H297" s="438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1"/>
      <c r="F298" s="1"/>
      <c r="G298" s="1"/>
      <c r="H298" s="438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1"/>
      <c r="F299" s="1"/>
      <c r="G299" s="1"/>
      <c r="H299" s="438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1"/>
      <c r="F300" s="1"/>
      <c r="G300" s="1"/>
      <c r="H300" s="438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1"/>
      <c r="F301" s="1"/>
      <c r="G301" s="1"/>
      <c r="H301" s="438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1"/>
      <c r="F302" s="1"/>
      <c r="G302" s="1"/>
      <c r="H302" s="438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1"/>
      <c r="F303" s="1"/>
      <c r="G303" s="1"/>
      <c r="H303" s="438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1"/>
      <c r="F304" s="1"/>
      <c r="G304" s="1"/>
      <c r="H304" s="438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1"/>
      <c r="F305" s="1"/>
      <c r="G305" s="1"/>
      <c r="H305" s="438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1"/>
      <c r="F306" s="1"/>
      <c r="G306" s="1"/>
      <c r="H306" s="438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1"/>
      <c r="F307" s="1"/>
      <c r="G307" s="1"/>
      <c r="H307" s="438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1"/>
      <c r="F308" s="1"/>
      <c r="G308" s="1"/>
      <c r="H308" s="438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1"/>
      <c r="F309" s="1"/>
      <c r="G309" s="1"/>
      <c r="H309" s="438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1"/>
      <c r="F310" s="1"/>
      <c r="G310" s="1"/>
      <c r="H310" s="438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1"/>
      <c r="F311" s="1"/>
      <c r="G311" s="1"/>
      <c r="H311" s="438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1"/>
      <c r="F312" s="1"/>
      <c r="G312" s="1"/>
      <c r="H312" s="438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1"/>
      <c r="F313" s="1"/>
      <c r="G313" s="1"/>
      <c r="H313" s="438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1"/>
      <c r="F314" s="1"/>
      <c r="G314" s="1"/>
      <c r="H314" s="438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1"/>
      <c r="F315" s="1"/>
      <c r="G315" s="1"/>
      <c r="H315" s="438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1"/>
      <c r="F316" s="1"/>
      <c r="G316" s="1"/>
      <c r="H316" s="438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1"/>
      <c r="F317" s="1"/>
      <c r="G317" s="1"/>
      <c r="H317" s="438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1"/>
      <c r="F318" s="1"/>
      <c r="G318" s="1"/>
      <c r="H318" s="438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1"/>
      <c r="F319" s="1"/>
      <c r="G319" s="1"/>
      <c r="H319" s="438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1"/>
      <c r="F320" s="1"/>
      <c r="G320" s="1"/>
      <c r="H320" s="438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1"/>
      <c r="F321" s="1"/>
      <c r="G321" s="1"/>
      <c r="H321" s="438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1"/>
      <c r="F322" s="1"/>
      <c r="G322" s="1"/>
      <c r="H322" s="438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1"/>
      <c r="F323" s="1"/>
      <c r="G323" s="1"/>
      <c r="H323" s="438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1"/>
      <c r="F324" s="1"/>
      <c r="G324" s="1"/>
      <c r="H324" s="438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1"/>
      <c r="F325" s="1"/>
      <c r="G325" s="1"/>
      <c r="H325" s="438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1"/>
      <c r="F326" s="1"/>
      <c r="G326" s="1"/>
      <c r="H326" s="438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1"/>
      <c r="F327" s="1"/>
      <c r="G327" s="1"/>
      <c r="H327" s="438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1"/>
      <c r="F328" s="1"/>
      <c r="G328" s="1"/>
      <c r="H328" s="438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1"/>
      <c r="F329" s="1"/>
      <c r="G329" s="1"/>
      <c r="H329" s="438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1"/>
      <c r="F330" s="1"/>
      <c r="G330" s="1"/>
      <c r="H330" s="438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1"/>
      <c r="F331" s="1"/>
      <c r="G331" s="1"/>
      <c r="H331" s="438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1"/>
      <c r="F332" s="1"/>
      <c r="G332" s="1"/>
      <c r="H332" s="438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1"/>
      <c r="F333" s="1"/>
      <c r="G333" s="1"/>
      <c r="H333" s="438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1"/>
      <c r="F334" s="1"/>
      <c r="G334" s="1"/>
      <c r="H334" s="438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1"/>
      <c r="F335" s="1"/>
      <c r="G335" s="1"/>
      <c r="H335" s="438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1"/>
      <c r="F336" s="1"/>
      <c r="G336" s="1"/>
      <c r="H336" s="438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1"/>
      <c r="F337" s="1"/>
      <c r="G337" s="1"/>
      <c r="H337" s="438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1"/>
      <c r="F338" s="1"/>
      <c r="G338" s="1"/>
      <c r="H338" s="438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1"/>
      <c r="F339" s="1"/>
      <c r="G339" s="1"/>
      <c r="H339" s="438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1"/>
      <c r="F340" s="1"/>
      <c r="G340" s="1"/>
      <c r="H340" s="438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1"/>
      <c r="F341" s="1"/>
      <c r="G341" s="1"/>
      <c r="H341" s="438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1"/>
      <c r="F342" s="1"/>
      <c r="G342" s="1"/>
      <c r="H342" s="438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1"/>
      <c r="F343" s="1"/>
      <c r="G343" s="1"/>
      <c r="H343" s="438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1"/>
      <c r="F344" s="1"/>
      <c r="G344" s="1"/>
      <c r="H344" s="438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1"/>
      <c r="F345" s="1"/>
      <c r="G345" s="1"/>
      <c r="H345" s="438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1"/>
      <c r="F346" s="1"/>
      <c r="G346" s="1"/>
      <c r="H346" s="438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1"/>
      <c r="F347" s="1"/>
      <c r="G347" s="1"/>
      <c r="H347" s="438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1"/>
      <c r="F348" s="1"/>
      <c r="G348" s="1"/>
      <c r="H348" s="438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1"/>
      <c r="F349" s="1"/>
      <c r="G349" s="1"/>
      <c r="H349" s="438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1"/>
      <c r="F350" s="1"/>
      <c r="G350" s="1"/>
      <c r="H350" s="438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1"/>
      <c r="F351" s="1"/>
      <c r="G351" s="1"/>
      <c r="H351" s="438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1"/>
      <c r="F352" s="1"/>
      <c r="G352" s="1"/>
      <c r="H352" s="438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1"/>
      <c r="F353" s="1"/>
      <c r="G353" s="1"/>
      <c r="H353" s="438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1"/>
      <c r="F354" s="1"/>
      <c r="G354" s="1"/>
      <c r="H354" s="438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1"/>
      <c r="F355" s="1"/>
      <c r="G355" s="1"/>
      <c r="H355" s="438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1"/>
      <c r="F356" s="1"/>
      <c r="G356" s="1"/>
      <c r="H356" s="438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1"/>
      <c r="F357" s="1"/>
      <c r="G357" s="1"/>
      <c r="H357" s="438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1"/>
      <c r="F358" s="1"/>
      <c r="G358" s="1"/>
      <c r="H358" s="438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1"/>
      <c r="F359" s="1"/>
      <c r="G359" s="1"/>
      <c r="H359" s="438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1"/>
      <c r="F360" s="1"/>
      <c r="G360" s="1"/>
      <c r="H360" s="438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1"/>
      <c r="F361" s="1"/>
      <c r="G361" s="1"/>
      <c r="H361" s="438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1"/>
      <c r="F362" s="1"/>
      <c r="G362" s="1"/>
      <c r="H362" s="438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1"/>
      <c r="F363" s="1"/>
      <c r="G363" s="1"/>
      <c r="H363" s="438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1"/>
      <c r="F364" s="1"/>
      <c r="G364" s="1"/>
      <c r="H364" s="438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1"/>
      <c r="F365" s="1"/>
      <c r="G365" s="1"/>
      <c r="H365" s="438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1"/>
      <c r="F366" s="1"/>
      <c r="G366" s="1"/>
      <c r="H366" s="438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1"/>
      <c r="F367" s="1"/>
      <c r="G367" s="1"/>
      <c r="H367" s="438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1"/>
      <c r="F368" s="1"/>
      <c r="G368" s="1"/>
      <c r="H368" s="438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1"/>
      <c r="F369" s="1"/>
      <c r="G369" s="1"/>
      <c r="H369" s="438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1"/>
      <c r="F370" s="1"/>
      <c r="G370" s="1"/>
      <c r="H370" s="438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1"/>
      <c r="F371" s="1"/>
      <c r="G371" s="1"/>
      <c r="H371" s="438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1"/>
      <c r="F372" s="1"/>
      <c r="G372" s="1"/>
      <c r="H372" s="438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1"/>
      <c r="F373" s="1"/>
      <c r="G373" s="1"/>
      <c r="H373" s="438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1"/>
      <c r="F374" s="1"/>
      <c r="G374" s="1"/>
      <c r="H374" s="438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1"/>
      <c r="F375" s="1"/>
      <c r="G375" s="1"/>
      <c r="H375" s="438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1"/>
      <c r="F376" s="1"/>
      <c r="G376" s="1"/>
      <c r="H376" s="438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1"/>
      <c r="F377" s="1"/>
      <c r="G377" s="1"/>
      <c r="H377" s="438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1"/>
      <c r="F378" s="1"/>
      <c r="G378" s="1"/>
      <c r="H378" s="438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1"/>
      <c r="F379" s="1"/>
      <c r="G379" s="1"/>
      <c r="H379" s="438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1"/>
      <c r="F380" s="1"/>
      <c r="G380" s="1"/>
      <c r="H380" s="438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1"/>
      <c r="F381" s="1"/>
      <c r="G381" s="1"/>
      <c r="H381" s="438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1"/>
      <c r="F382" s="1"/>
      <c r="G382" s="1"/>
      <c r="H382" s="438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1"/>
      <c r="F383" s="1"/>
      <c r="G383" s="1"/>
      <c r="H383" s="438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1"/>
      <c r="F384" s="1"/>
      <c r="G384" s="1"/>
      <c r="H384" s="438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1"/>
      <c r="F385" s="1"/>
      <c r="G385" s="1"/>
      <c r="H385" s="438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1"/>
      <c r="F386" s="1"/>
      <c r="G386" s="1"/>
      <c r="H386" s="438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1"/>
      <c r="F387" s="1"/>
      <c r="G387" s="1"/>
      <c r="H387" s="438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1"/>
      <c r="F388" s="1"/>
      <c r="G388" s="1"/>
      <c r="H388" s="438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1"/>
      <c r="F389" s="1"/>
      <c r="G389" s="1"/>
      <c r="H389" s="438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1"/>
      <c r="F390" s="1"/>
      <c r="G390" s="1"/>
      <c r="H390" s="438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1"/>
      <c r="F391" s="1"/>
      <c r="G391" s="1"/>
      <c r="H391" s="438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1"/>
      <c r="F392" s="1"/>
      <c r="G392" s="1"/>
      <c r="H392" s="438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1"/>
      <c r="F393" s="1"/>
      <c r="G393" s="1"/>
      <c r="H393" s="438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1"/>
      <c r="F394" s="1"/>
      <c r="G394" s="1"/>
      <c r="H394" s="438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1"/>
      <c r="F395" s="1"/>
      <c r="G395" s="1"/>
      <c r="H395" s="438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1"/>
      <c r="F396" s="1"/>
      <c r="G396" s="1"/>
      <c r="H396" s="438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1"/>
      <c r="F397" s="1"/>
      <c r="G397" s="1"/>
      <c r="H397" s="438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1"/>
      <c r="F398" s="1"/>
      <c r="G398" s="1"/>
      <c r="H398" s="438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1"/>
      <c r="F399" s="1"/>
      <c r="G399" s="1"/>
      <c r="H399" s="438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1"/>
      <c r="F400" s="1"/>
      <c r="G400" s="1"/>
      <c r="H400" s="438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1"/>
      <c r="F401" s="1"/>
      <c r="G401" s="1"/>
      <c r="H401" s="438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1"/>
      <c r="F402" s="1"/>
      <c r="G402" s="1"/>
      <c r="H402" s="438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1"/>
      <c r="F403" s="1"/>
      <c r="G403" s="1"/>
      <c r="H403" s="438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1"/>
      <c r="F404" s="1"/>
      <c r="G404" s="1"/>
      <c r="H404" s="438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1"/>
      <c r="F405" s="1"/>
      <c r="G405" s="1"/>
      <c r="H405" s="438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1"/>
      <c r="F406" s="1"/>
      <c r="G406" s="1"/>
      <c r="H406" s="438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1"/>
      <c r="F407" s="1"/>
      <c r="G407" s="1"/>
      <c r="H407" s="438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1"/>
      <c r="F408" s="1"/>
      <c r="G408" s="1"/>
      <c r="H408" s="438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1"/>
      <c r="F409" s="1"/>
      <c r="G409" s="1"/>
      <c r="H409" s="438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1"/>
      <c r="F410" s="1"/>
      <c r="G410" s="1"/>
      <c r="H410" s="438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1"/>
      <c r="F411" s="1"/>
      <c r="G411" s="1"/>
      <c r="H411" s="438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1"/>
      <c r="F412" s="1"/>
      <c r="G412" s="1"/>
      <c r="H412" s="438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1"/>
      <c r="F413" s="1"/>
      <c r="G413" s="1"/>
      <c r="H413" s="438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1"/>
      <c r="F414" s="1"/>
      <c r="G414" s="1"/>
      <c r="H414" s="438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1"/>
      <c r="F415" s="1"/>
      <c r="G415" s="1"/>
      <c r="H415" s="438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1"/>
      <c r="F416" s="1"/>
      <c r="G416" s="1"/>
      <c r="H416" s="438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1"/>
      <c r="F417" s="1"/>
      <c r="G417" s="1"/>
      <c r="H417" s="438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1"/>
      <c r="F418" s="1"/>
      <c r="G418" s="1"/>
      <c r="H418" s="438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1"/>
      <c r="F419" s="1"/>
      <c r="G419" s="1"/>
      <c r="H419" s="438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1"/>
      <c r="F420" s="1"/>
      <c r="G420" s="1"/>
      <c r="H420" s="438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1"/>
      <c r="F421" s="1"/>
      <c r="G421" s="1"/>
      <c r="H421" s="438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1"/>
      <c r="F422" s="1"/>
      <c r="G422" s="1"/>
      <c r="H422" s="438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1"/>
      <c r="F423" s="1"/>
      <c r="G423" s="1"/>
      <c r="H423" s="438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1"/>
      <c r="F424" s="1"/>
      <c r="G424" s="1"/>
      <c r="H424" s="438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1"/>
      <c r="F425" s="1"/>
      <c r="G425" s="1"/>
      <c r="H425" s="438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1"/>
      <c r="F426" s="1"/>
      <c r="G426" s="1"/>
      <c r="H426" s="438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1"/>
      <c r="F427" s="1"/>
      <c r="G427" s="1"/>
      <c r="H427" s="438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1"/>
      <c r="F428" s="1"/>
      <c r="G428" s="1"/>
      <c r="H428" s="438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1"/>
      <c r="F429" s="1"/>
      <c r="G429" s="1"/>
      <c r="H429" s="438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1"/>
      <c r="F430" s="1"/>
      <c r="G430" s="1"/>
      <c r="H430" s="438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1"/>
      <c r="F431" s="1"/>
      <c r="G431" s="1"/>
      <c r="H431" s="438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1"/>
      <c r="F432" s="1"/>
      <c r="G432" s="1"/>
      <c r="H432" s="438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1"/>
      <c r="F433" s="1"/>
      <c r="G433" s="1"/>
      <c r="H433" s="438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1"/>
      <c r="F434" s="1"/>
      <c r="G434" s="1"/>
      <c r="H434" s="438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1"/>
      <c r="F435" s="1"/>
      <c r="G435" s="1"/>
      <c r="H435" s="438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1"/>
      <c r="F436" s="1"/>
      <c r="G436" s="1"/>
      <c r="H436" s="438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1"/>
      <c r="F437" s="1"/>
      <c r="G437" s="1"/>
      <c r="H437" s="438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1"/>
      <c r="F438" s="1"/>
      <c r="G438" s="1"/>
      <c r="H438" s="438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1"/>
      <c r="F439" s="1"/>
      <c r="G439" s="1"/>
      <c r="H439" s="438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1"/>
      <c r="F440" s="1"/>
      <c r="G440" s="1"/>
      <c r="H440" s="438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1"/>
      <c r="F441" s="1"/>
      <c r="G441" s="1"/>
      <c r="H441" s="438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1"/>
      <c r="F442" s="1"/>
      <c r="G442" s="1"/>
      <c r="H442" s="438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1"/>
      <c r="F443" s="1"/>
      <c r="G443" s="1"/>
      <c r="H443" s="438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1"/>
      <c r="F444" s="1"/>
      <c r="G444" s="1"/>
      <c r="H444" s="438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1"/>
      <c r="F445" s="1"/>
      <c r="G445" s="1"/>
      <c r="H445" s="438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1"/>
      <c r="F446" s="1"/>
      <c r="G446" s="1"/>
      <c r="H446" s="438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1"/>
      <c r="F447" s="1"/>
      <c r="G447" s="1"/>
      <c r="H447" s="438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1"/>
      <c r="F448" s="1"/>
      <c r="G448" s="1"/>
      <c r="H448" s="438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1"/>
      <c r="F449" s="1"/>
      <c r="G449" s="1"/>
      <c r="H449" s="438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1"/>
      <c r="F450" s="1"/>
      <c r="G450" s="1"/>
      <c r="H450" s="438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1"/>
      <c r="F451" s="1"/>
      <c r="G451" s="1"/>
      <c r="H451" s="438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1"/>
      <c r="F452" s="1"/>
      <c r="G452" s="1"/>
      <c r="H452" s="438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1"/>
      <c r="F453" s="1"/>
      <c r="G453" s="1"/>
      <c r="H453" s="438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1"/>
      <c r="F454" s="1"/>
      <c r="G454" s="1"/>
      <c r="H454" s="438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1"/>
      <c r="F455" s="1"/>
      <c r="G455" s="1"/>
      <c r="H455" s="438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1"/>
      <c r="F456" s="1"/>
      <c r="G456" s="1"/>
      <c r="H456" s="438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1"/>
      <c r="F457" s="1"/>
      <c r="G457" s="1"/>
      <c r="H457" s="438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1"/>
      <c r="F458" s="1"/>
      <c r="G458" s="1"/>
      <c r="H458" s="438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1"/>
      <c r="F459" s="1"/>
      <c r="G459" s="1"/>
      <c r="H459" s="438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1"/>
      <c r="F460" s="1"/>
      <c r="G460" s="1"/>
      <c r="H460" s="438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1"/>
      <c r="F461" s="1"/>
      <c r="G461" s="1"/>
      <c r="H461" s="438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1"/>
      <c r="F462" s="1"/>
      <c r="G462" s="1"/>
      <c r="H462" s="438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1"/>
      <c r="F463" s="1"/>
      <c r="G463" s="1"/>
      <c r="H463" s="438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1"/>
      <c r="F464" s="1"/>
      <c r="G464" s="1"/>
      <c r="H464" s="438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1"/>
      <c r="F465" s="1"/>
      <c r="G465" s="1"/>
      <c r="H465" s="438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1"/>
      <c r="F466" s="1"/>
      <c r="G466" s="1"/>
      <c r="H466" s="438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1"/>
      <c r="F467" s="1"/>
      <c r="G467" s="1"/>
      <c r="H467" s="438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1"/>
      <c r="F468" s="1"/>
      <c r="G468" s="1"/>
      <c r="H468" s="438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1"/>
      <c r="F469" s="1"/>
      <c r="G469" s="1"/>
      <c r="H469" s="438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1"/>
      <c r="F470" s="1"/>
      <c r="G470" s="1"/>
      <c r="H470" s="438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1"/>
      <c r="F471" s="1"/>
      <c r="G471" s="1"/>
      <c r="H471" s="438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1"/>
      <c r="F472" s="1"/>
      <c r="G472" s="1"/>
      <c r="H472" s="438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1"/>
      <c r="F473" s="1"/>
      <c r="G473" s="1"/>
      <c r="H473" s="438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1"/>
      <c r="F474" s="1"/>
      <c r="G474" s="1"/>
      <c r="H474" s="438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1"/>
      <c r="F475" s="1"/>
      <c r="G475" s="1"/>
      <c r="H475" s="438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1"/>
      <c r="F476" s="1"/>
      <c r="G476" s="1"/>
      <c r="H476" s="438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1"/>
      <c r="F477" s="1"/>
      <c r="G477" s="1"/>
      <c r="H477" s="438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1"/>
      <c r="F478" s="1"/>
      <c r="G478" s="1"/>
      <c r="H478" s="438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1"/>
      <c r="F479" s="1"/>
      <c r="G479" s="1"/>
      <c r="H479" s="438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1"/>
      <c r="F480" s="1"/>
      <c r="G480" s="1"/>
      <c r="H480" s="438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1"/>
      <c r="F481" s="1"/>
      <c r="G481" s="1"/>
      <c r="H481" s="438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1"/>
      <c r="F482" s="1"/>
      <c r="G482" s="1"/>
      <c r="H482" s="438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1"/>
      <c r="F483" s="1"/>
      <c r="G483" s="1"/>
      <c r="H483" s="438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1"/>
      <c r="F484" s="1"/>
      <c r="G484" s="1"/>
      <c r="H484" s="438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1"/>
      <c r="F485" s="1"/>
      <c r="G485" s="1"/>
      <c r="H485" s="438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1"/>
      <c r="F486" s="1"/>
      <c r="G486" s="1"/>
      <c r="H486" s="438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1"/>
      <c r="F487" s="1"/>
      <c r="G487" s="1"/>
      <c r="H487" s="438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1"/>
      <c r="F488" s="1"/>
      <c r="G488" s="1"/>
      <c r="H488" s="438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1"/>
      <c r="F489" s="1"/>
      <c r="G489" s="1"/>
      <c r="H489" s="438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1"/>
      <c r="F490" s="1"/>
      <c r="G490" s="1"/>
      <c r="H490" s="438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1"/>
      <c r="F491" s="1"/>
      <c r="G491" s="1"/>
      <c r="H491" s="438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1"/>
      <c r="F492" s="1"/>
      <c r="G492" s="1"/>
      <c r="H492" s="438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1"/>
      <c r="F493" s="1"/>
      <c r="G493" s="1"/>
      <c r="H493" s="438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1"/>
      <c r="F494" s="1"/>
      <c r="G494" s="1"/>
      <c r="H494" s="438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1"/>
      <c r="F495" s="1"/>
      <c r="G495" s="1"/>
      <c r="H495" s="438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1"/>
      <c r="F496" s="1"/>
      <c r="G496" s="1"/>
      <c r="H496" s="438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1"/>
      <c r="F497" s="1"/>
      <c r="G497" s="1"/>
      <c r="H497" s="438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1"/>
      <c r="F498" s="1"/>
      <c r="G498" s="1"/>
      <c r="H498" s="438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1"/>
      <c r="F499" s="1"/>
      <c r="G499" s="1"/>
      <c r="H499" s="438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1"/>
      <c r="F500" s="1"/>
      <c r="G500" s="1"/>
      <c r="H500" s="438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1"/>
      <c r="F501" s="1"/>
      <c r="G501" s="1"/>
      <c r="H501" s="438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1"/>
      <c r="F502" s="1"/>
      <c r="G502" s="1"/>
      <c r="H502" s="438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1"/>
      <c r="F503" s="1"/>
      <c r="G503" s="1"/>
      <c r="H503" s="438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1"/>
      <c r="F504" s="1"/>
      <c r="G504" s="1"/>
      <c r="H504" s="438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1"/>
      <c r="F505" s="1"/>
      <c r="G505" s="1"/>
      <c r="H505" s="438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1"/>
      <c r="F506" s="1"/>
      <c r="G506" s="1"/>
      <c r="H506" s="438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1"/>
      <c r="F507" s="1"/>
      <c r="G507" s="1"/>
      <c r="H507" s="438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1"/>
      <c r="F508" s="1"/>
      <c r="G508" s="1"/>
      <c r="H508" s="438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1"/>
      <c r="F509" s="1"/>
      <c r="G509" s="1"/>
      <c r="H509" s="438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1"/>
      <c r="F510" s="1"/>
      <c r="G510" s="1"/>
      <c r="H510" s="438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1"/>
      <c r="F511" s="1"/>
      <c r="G511" s="1"/>
      <c r="H511" s="438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1"/>
      <c r="F512" s="1"/>
      <c r="G512" s="1"/>
      <c r="H512" s="438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1"/>
      <c r="F513" s="1"/>
      <c r="G513" s="1"/>
      <c r="H513" s="438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1"/>
      <c r="F514" s="1"/>
      <c r="G514" s="1"/>
      <c r="H514" s="438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1"/>
      <c r="F515" s="1"/>
      <c r="G515" s="1"/>
      <c r="H515" s="438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1"/>
      <c r="F516" s="1"/>
      <c r="G516" s="1"/>
      <c r="H516" s="438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1"/>
      <c r="F517" s="1"/>
      <c r="G517" s="1"/>
      <c r="H517" s="438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1"/>
      <c r="F518" s="1"/>
      <c r="G518" s="1"/>
      <c r="H518" s="438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1"/>
      <c r="F519" s="1"/>
      <c r="G519" s="1"/>
      <c r="H519" s="438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1"/>
      <c r="F520" s="1"/>
      <c r="G520" s="1"/>
      <c r="H520" s="438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1"/>
      <c r="F521" s="1"/>
      <c r="G521" s="1"/>
      <c r="H521" s="438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1"/>
      <c r="F522" s="1"/>
      <c r="G522" s="1"/>
      <c r="H522" s="438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1"/>
      <c r="F523" s="1"/>
      <c r="G523" s="1"/>
      <c r="H523" s="438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1"/>
      <c r="F524" s="1"/>
      <c r="G524" s="1"/>
      <c r="H524" s="438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1"/>
      <c r="F525" s="1"/>
      <c r="G525" s="1"/>
      <c r="H525" s="438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1"/>
      <c r="F526" s="1"/>
      <c r="G526" s="1"/>
      <c r="H526" s="438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1"/>
      <c r="F527" s="1"/>
      <c r="G527" s="1"/>
      <c r="H527" s="438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1"/>
      <c r="F528" s="1"/>
      <c r="G528" s="1"/>
      <c r="H528" s="438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1"/>
      <c r="F529" s="1"/>
      <c r="G529" s="1"/>
      <c r="H529" s="438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1"/>
      <c r="F530" s="1"/>
      <c r="G530" s="1"/>
      <c r="H530" s="438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1"/>
      <c r="F531" s="1"/>
      <c r="G531" s="1"/>
      <c r="H531" s="438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1"/>
      <c r="F532" s="1"/>
      <c r="G532" s="1"/>
      <c r="H532" s="438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1"/>
      <c r="F533" s="1"/>
      <c r="G533" s="1"/>
      <c r="H533" s="438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1"/>
      <c r="F534" s="1"/>
      <c r="G534" s="1"/>
      <c r="H534" s="438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1"/>
      <c r="F535" s="1"/>
      <c r="G535" s="1"/>
      <c r="H535" s="438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1"/>
      <c r="F536" s="1"/>
      <c r="G536" s="1"/>
      <c r="H536" s="438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1"/>
      <c r="F537" s="1"/>
      <c r="G537" s="1"/>
      <c r="H537" s="438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1"/>
      <c r="F538" s="1"/>
      <c r="G538" s="1"/>
      <c r="H538" s="438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1"/>
      <c r="F539" s="1"/>
      <c r="G539" s="1"/>
      <c r="H539" s="438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1"/>
      <c r="F540" s="1"/>
      <c r="G540" s="1"/>
      <c r="H540" s="438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1"/>
      <c r="F541" s="1"/>
      <c r="G541" s="1"/>
      <c r="H541" s="438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1"/>
      <c r="F542" s="1"/>
      <c r="G542" s="1"/>
      <c r="H542" s="438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1"/>
      <c r="F543" s="1"/>
      <c r="G543" s="1"/>
      <c r="H543" s="438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1"/>
      <c r="F544" s="1"/>
      <c r="G544" s="1"/>
      <c r="H544" s="438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1"/>
      <c r="F545" s="1"/>
      <c r="G545" s="1"/>
      <c r="H545" s="438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1"/>
      <c r="F546" s="1"/>
      <c r="G546" s="1"/>
      <c r="H546" s="438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1"/>
      <c r="F547" s="1"/>
      <c r="G547" s="1"/>
      <c r="H547" s="438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1"/>
      <c r="F548" s="1"/>
      <c r="G548" s="1"/>
      <c r="H548" s="438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1"/>
      <c r="F549" s="1"/>
      <c r="G549" s="1"/>
      <c r="H549" s="438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1"/>
      <c r="F550" s="1"/>
      <c r="G550" s="1"/>
      <c r="H550" s="438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1"/>
      <c r="F551" s="1"/>
      <c r="G551" s="1"/>
      <c r="H551" s="438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1"/>
      <c r="F552" s="1"/>
      <c r="G552" s="1"/>
      <c r="H552" s="438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1"/>
      <c r="F553" s="1"/>
      <c r="G553" s="1"/>
      <c r="H553" s="438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1"/>
      <c r="F554" s="1"/>
      <c r="G554" s="1"/>
      <c r="H554" s="438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1"/>
      <c r="F555" s="1"/>
      <c r="G555" s="1"/>
      <c r="H555" s="438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1"/>
      <c r="F556" s="1"/>
      <c r="G556" s="1"/>
      <c r="H556" s="438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1"/>
      <c r="F557" s="1"/>
      <c r="G557" s="1"/>
      <c r="H557" s="438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1"/>
      <c r="F558" s="1"/>
      <c r="G558" s="1"/>
      <c r="H558" s="438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1"/>
      <c r="F559" s="1"/>
      <c r="G559" s="1"/>
      <c r="H559" s="438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1"/>
      <c r="F560" s="1"/>
      <c r="G560" s="1"/>
      <c r="H560" s="438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1"/>
      <c r="F561" s="1"/>
      <c r="G561" s="1"/>
      <c r="H561" s="438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1"/>
      <c r="F562" s="1"/>
      <c r="G562" s="1"/>
      <c r="H562" s="438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1"/>
      <c r="F563" s="1"/>
      <c r="G563" s="1"/>
      <c r="H563" s="438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1"/>
      <c r="F564" s="1"/>
      <c r="G564" s="1"/>
      <c r="H564" s="438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1"/>
      <c r="F565" s="1"/>
      <c r="G565" s="1"/>
      <c r="H565" s="438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1"/>
      <c r="F566" s="1"/>
      <c r="G566" s="1"/>
      <c r="H566" s="438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1"/>
      <c r="F567" s="1"/>
      <c r="G567" s="1"/>
      <c r="H567" s="438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1"/>
      <c r="F568" s="1"/>
      <c r="G568" s="1"/>
      <c r="H568" s="438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1"/>
      <c r="F569" s="1"/>
      <c r="G569" s="1"/>
      <c r="H569" s="438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1"/>
      <c r="F570" s="1"/>
      <c r="G570" s="1"/>
      <c r="H570" s="438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1"/>
      <c r="F571" s="1"/>
      <c r="G571" s="1"/>
      <c r="H571" s="438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1"/>
      <c r="F572" s="1"/>
      <c r="G572" s="1"/>
      <c r="H572" s="438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1"/>
      <c r="F573" s="1"/>
      <c r="G573" s="1"/>
      <c r="H573" s="438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1"/>
      <c r="F574" s="1"/>
      <c r="G574" s="1"/>
      <c r="H574" s="438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1"/>
      <c r="F575" s="1"/>
      <c r="G575" s="1"/>
      <c r="H575" s="438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1"/>
      <c r="F576" s="1"/>
      <c r="G576" s="1"/>
      <c r="H576" s="438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1"/>
      <c r="F577" s="1"/>
      <c r="G577" s="1"/>
      <c r="H577" s="438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1"/>
      <c r="F578" s="1"/>
      <c r="G578" s="1"/>
      <c r="H578" s="438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1"/>
      <c r="F579" s="1"/>
      <c r="G579" s="1"/>
      <c r="H579" s="438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1"/>
      <c r="F580" s="1"/>
      <c r="G580" s="1"/>
      <c r="H580" s="438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1"/>
      <c r="F581" s="1"/>
      <c r="G581" s="1"/>
      <c r="H581" s="438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1"/>
      <c r="F582" s="1"/>
      <c r="G582" s="1"/>
      <c r="H582" s="438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1"/>
      <c r="F583" s="1"/>
      <c r="G583" s="1"/>
      <c r="H583" s="438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1"/>
      <c r="F584" s="1"/>
      <c r="G584" s="1"/>
      <c r="H584" s="438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1"/>
      <c r="F585" s="1"/>
      <c r="G585" s="1"/>
      <c r="H585" s="438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1"/>
      <c r="F586" s="1"/>
      <c r="G586" s="1"/>
      <c r="H586" s="438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1"/>
      <c r="F587" s="1"/>
      <c r="G587" s="1"/>
      <c r="H587" s="438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1"/>
      <c r="F588" s="1"/>
      <c r="G588" s="1"/>
      <c r="H588" s="438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1"/>
      <c r="F589" s="1"/>
      <c r="G589" s="1"/>
      <c r="H589" s="438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1"/>
      <c r="F590" s="1"/>
      <c r="G590" s="1"/>
      <c r="H590" s="438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1"/>
      <c r="F591" s="1"/>
      <c r="G591" s="1"/>
      <c r="H591" s="438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1"/>
      <c r="F592" s="1"/>
      <c r="G592" s="1"/>
      <c r="H592" s="438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1"/>
      <c r="F593" s="1"/>
      <c r="G593" s="1"/>
      <c r="H593" s="438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1"/>
      <c r="F594" s="1"/>
      <c r="G594" s="1"/>
      <c r="H594" s="438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1"/>
      <c r="F595" s="1"/>
      <c r="G595" s="1"/>
      <c r="H595" s="438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1"/>
      <c r="F596" s="1"/>
      <c r="G596" s="1"/>
      <c r="H596" s="438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1"/>
      <c r="F597" s="1"/>
      <c r="G597" s="1"/>
      <c r="H597" s="438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1"/>
      <c r="F598" s="1"/>
      <c r="G598" s="1"/>
      <c r="H598" s="438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1"/>
      <c r="F599" s="1"/>
      <c r="G599" s="1"/>
      <c r="H599" s="438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1"/>
      <c r="F600" s="1"/>
      <c r="G600" s="1"/>
      <c r="H600" s="438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1"/>
      <c r="F601" s="1"/>
      <c r="G601" s="1"/>
      <c r="H601" s="438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1"/>
      <c r="F602" s="1"/>
      <c r="G602" s="1"/>
      <c r="H602" s="438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1"/>
      <c r="F603" s="1"/>
      <c r="G603" s="1"/>
      <c r="H603" s="438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1"/>
      <c r="F604" s="1"/>
      <c r="G604" s="1"/>
      <c r="H604" s="438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1"/>
      <c r="F605" s="1"/>
      <c r="G605" s="1"/>
      <c r="H605" s="438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1"/>
      <c r="F606" s="1"/>
      <c r="G606" s="1"/>
      <c r="H606" s="438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1"/>
      <c r="F607" s="1"/>
      <c r="G607" s="1"/>
      <c r="H607" s="438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1"/>
      <c r="F608" s="1"/>
      <c r="G608" s="1"/>
      <c r="H608" s="438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1"/>
      <c r="F609" s="1"/>
      <c r="G609" s="1"/>
      <c r="H609" s="438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1"/>
      <c r="F610" s="1"/>
      <c r="G610" s="1"/>
      <c r="H610" s="438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1"/>
      <c r="F611" s="1"/>
      <c r="G611" s="1"/>
      <c r="H611" s="438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1"/>
      <c r="F612" s="1"/>
      <c r="G612" s="1"/>
      <c r="H612" s="438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1"/>
      <c r="F613" s="1"/>
      <c r="G613" s="1"/>
      <c r="H613" s="438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1"/>
      <c r="F614" s="1"/>
      <c r="G614" s="1"/>
      <c r="H614" s="438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1"/>
      <c r="F615" s="1"/>
      <c r="G615" s="1"/>
      <c r="H615" s="438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1"/>
      <c r="F616" s="1"/>
      <c r="G616" s="1"/>
      <c r="H616" s="438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1"/>
      <c r="F617" s="1"/>
      <c r="G617" s="1"/>
      <c r="H617" s="438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1"/>
      <c r="F618" s="1"/>
      <c r="G618" s="1"/>
      <c r="H618" s="438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1"/>
      <c r="F619" s="1"/>
      <c r="G619" s="1"/>
      <c r="H619" s="438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1"/>
      <c r="F620" s="1"/>
      <c r="G620" s="1"/>
      <c r="H620" s="438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1"/>
      <c r="F621" s="1"/>
      <c r="G621" s="1"/>
      <c r="H621" s="438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1"/>
      <c r="F622" s="1"/>
      <c r="G622" s="1"/>
      <c r="H622" s="438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1"/>
      <c r="F623" s="1"/>
      <c r="G623" s="1"/>
      <c r="H623" s="438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1"/>
      <c r="F624" s="1"/>
      <c r="G624" s="1"/>
      <c r="H624" s="438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1"/>
      <c r="F625" s="1"/>
      <c r="G625" s="1"/>
      <c r="H625" s="438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1"/>
      <c r="F626" s="1"/>
      <c r="G626" s="1"/>
      <c r="H626" s="438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1"/>
      <c r="F627" s="1"/>
      <c r="G627" s="1"/>
      <c r="H627" s="438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1"/>
      <c r="F628" s="1"/>
      <c r="G628" s="1"/>
      <c r="H628" s="438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1"/>
      <c r="F629" s="1"/>
      <c r="G629" s="1"/>
      <c r="H629" s="438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1"/>
      <c r="F630" s="1"/>
      <c r="G630" s="1"/>
      <c r="H630" s="438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1"/>
      <c r="F631" s="1"/>
      <c r="G631" s="1"/>
      <c r="H631" s="438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1"/>
      <c r="F632" s="1"/>
      <c r="G632" s="1"/>
      <c r="H632" s="438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1"/>
      <c r="F633" s="1"/>
      <c r="G633" s="1"/>
      <c r="H633" s="438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1"/>
      <c r="F634" s="1"/>
      <c r="G634" s="1"/>
      <c r="H634" s="438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1"/>
      <c r="F635" s="1"/>
      <c r="G635" s="1"/>
      <c r="H635" s="438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1"/>
      <c r="F636" s="1"/>
      <c r="G636" s="1"/>
      <c r="H636" s="438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1"/>
      <c r="F637" s="1"/>
      <c r="G637" s="1"/>
      <c r="H637" s="438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1"/>
      <c r="F638" s="1"/>
      <c r="G638" s="1"/>
      <c r="H638" s="438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1"/>
      <c r="F639" s="1"/>
      <c r="G639" s="1"/>
      <c r="H639" s="438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1"/>
      <c r="F640" s="1"/>
      <c r="G640" s="1"/>
      <c r="H640" s="438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1"/>
      <c r="F641" s="1"/>
      <c r="G641" s="1"/>
      <c r="H641" s="438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1"/>
      <c r="F642" s="1"/>
      <c r="G642" s="1"/>
      <c r="H642" s="438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1"/>
      <c r="F643" s="1"/>
      <c r="G643" s="1"/>
      <c r="H643" s="438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1"/>
      <c r="F644" s="1"/>
      <c r="G644" s="1"/>
      <c r="H644" s="438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1"/>
      <c r="F645" s="1"/>
      <c r="G645" s="1"/>
      <c r="H645" s="438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1"/>
      <c r="F646" s="1"/>
      <c r="G646" s="1"/>
      <c r="H646" s="438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1"/>
      <c r="F647" s="1"/>
      <c r="G647" s="1"/>
      <c r="H647" s="438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1"/>
      <c r="F648" s="1"/>
      <c r="G648" s="1"/>
      <c r="H648" s="438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1"/>
      <c r="F649" s="1"/>
      <c r="G649" s="1"/>
      <c r="H649" s="438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1"/>
      <c r="F650" s="1"/>
      <c r="G650" s="1"/>
      <c r="H650" s="438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1"/>
      <c r="F651" s="1"/>
      <c r="G651" s="1"/>
      <c r="H651" s="438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1"/>
      <c r="F652" s="1"/>
      <c r="G652" s="1"/>
      <c r="H652" s="438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1"/>
      <c r="F653" s="1"/>
      <c r="G653" s="1"/>
      <c r="H653" s="438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1"/>
      <c r="F654" s="1"/>
      <c r="G654" s="1"/>
      <c r="H654" s="438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1"/>
      <c r="F655" s="1"/>
      <c r="G655" s="1"/>
      <c r="H655" s="438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1"/>
      <c r="F656" s="1"/>
      <c r="G656" s="1"/>
      <c r="H656" s="438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1"/>
      <c r="F657" s="1"/>
      <c r="G657" s="1"/>
      <c r="H657" s="438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1"/>
      <c r="F658" s="1"/>
      <c r="G658" s="1"/>
      <c r="H658" s="438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1"/>
      <c r="F659" s="1"/>
      <c r="G659" s="1"/>
      <c r="H659" s="438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1"/>
      <c r="F660" s="1"/>
      <c r="G660" s="1"/>
      <c r="H660" s="438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1"/>
      <c r="F661" s="1"/>
      <c r="G661" s="1"/>
      <c r="H661" s="438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1"/>
      <c r="F662" s="1"/>
      <c r="G662" s="1"/>
      <c r="H662" s="438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1"/>
      <c r="F663" s="1"/>
      <c r="G663" s="1"/>
      <c r="H663" s="438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1"/>
      <c r="F664" s="1"/>
      <c r="G664" s="1"/>
      <c r="H664" s="438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1"/>
      <c r="F665" s="1"/>
      <c r="G665" s="1"/>
      <c r="H665" s="438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1"/>
      <c r="F666" s="1"/>
      <c r="G666" s="1"/>
      <c r="H666" s="438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1"/>
      <c r="F667" s="1"/>
      <c r="G667" s="1"/>
      <c r="H667" s="438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1"/>
      <c r="F668" s="1"/>
      <c r="G668" s="1"/>
      <c r="H668" s="438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1"/>
      <c r="F669" s="1"/>
      <c r="G669" s="1"/>
      <c r="H669" s="438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1"/>
      <c r="F670" s="1"/>
      <c r="G670" s="1"/>
      <c r="H670" s="438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1"/>
      <c r="F671" s="1"/>
      <c r="G671" s="1"/>
      <c r="H671" s="438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1"/>
      <c r="F672" s="1"/>
      <c r="G672" s="1"/>
      <c r="H672" s="438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1"/>
      <c r="F673" s="1"/>
      <c r="G673" s="1"/>
      <c r="H673" s="438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1"/>
      <c r="F674" s="1"/>
      <c r="G674" s="1"/>
      <c r="H674" s="438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1"/>
      <c r="F675" s="1"/>
      <c r="G675" s="1"/>
      <c r="H675" s="438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1"/>
      <c r="F676" s="1"/>
      <c r="G676" s="1"/>
      <c r="H676" s="438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1"/>
      <c r="F677" s="1"/>
      <c r="G677" s="1"/>
      <c r="H677" s="438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1"/>
      <c r="F678" s="1"/>
      <c r="G678" s="1"/>
      <c r="H678" s="438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1"/>
      <c r="F679" s="1"/>
      <c r="G679" s="1"/>
      <c r="H679" s="438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1"/>
      <c r="F680" s="1"/>
      <c r="G680" s="1"/>
      <c r="H680" s="438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1"/>
      <c r="F681" s="1"/>
      <c r="G681" s="1"/>
      <c r="H681" s="438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1"/>
      <c r="F682" s="1"/>
      <c r="G682" s="1"/>
      <c r="H682" s="438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1"/>
      <c r="F683" s="1"/>
      <c r="G683" s="1"/>
      <c r="H683" s="438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1"/>
      <c r="F684" s="1"/>
      <c r="G684" s="1"/>
      <c r="H684" s="438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1"/>
      <c r="F685" s="1"/>
      <c r="G685" s="1"/>
      <c r="H685" s="438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1"/>
      <c r="F686" s="1"/>
      <c r="G686" s="1"/>
      <c r="H686" s="438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1"/>
      <c r="F687" s="1"/>
      <c r="G687" s="1"/>
      <c r="H687" s="438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1"/>
      <c r="F688" s="1"/>
      <c r="G688" s="1"/>
      <c r="H688" s="438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1"/>
      <c r="F689" s="1"/>
      <c r="G689" s="1"/>
      <c r="H689" s="438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1"/>
      <c r="F690" s="1"/>
      <c r="G690" s="1"/>
      <c r="H690" s="438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1"/>
      <c r="F691" s="1"/>
      <c r="G691" s="1"/>
      <c r="H691" s="438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1"/>
      <c r="F692" s="1"/>
      <c r="G692" s="1"/>
      <c r="H692" s="438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1"/>
      <c r="F693" s="1"/>
      <c r="G693" s="1"/>
      <c r="H693" s="438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1"/>
      <c r="F694" s="1"/>
      <c r="G694" s="1"/>
      <c r="H694" s="438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1"/>
      <c r="F695" s="1"/>
      <c r="G695" s="1"/>
      <c r="H695" s="438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1"/>
      <c r="F696" s="1"/>
      <c r="G696" s="1"/>
      <c r="H696" s="438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1"/>
      <c r="F697" s="1"/>
      <c r="G697" s="1"/>
      <c r="H697" s="438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1"/>
      <c r="F698" s="1"/>
      <c r="G698" s="1"/>
      <c r="H698" s="438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1"/>
      <c r="F699" s="1"/>
      <c r="G699" s="1"/>
      <c r="H699" s="438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1"/>
      <c r="F700" s="1"/>
      <c r="G700" s="1"/>
      <c r="H700" s="438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1"/>
      <c r="F701" s="1"/>
      <c r="G701" s="1"/>
      <c r="H701" s="438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1"/>
      <c r="F702" s="1"/>
      <c r="G702" s="1"/>
      <c r="H702" s="438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1"/>
      <c r="F703" s="1"/>
      <c r="G703" s="1"/>
      <c r="H703" s="438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1"/>
      <c r="F704" s="1"/>
      <c r="G704" s="1"/>
      <c r="H704" s="438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1"/>
      <c r="F705" s="1"/>
      <c r="G705" s="1"/>
      <c r="H705" s="438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1"/>
      <c r="F706" s="1"/>
      <c r="G706" s="1"/>
      <c r="H706" s="438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1"/>
      <c r="F707" s="1"/>
      <c r="G707" s="1"/>
      <c r="H707" s="438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1"/>
      <c r="F708" s="1"/>
      <c r="G708" s="1"/>
      <c r="H708" s="438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1"/>
      <c r="F709" s="1"/>
      <c r="G709" s="1"/>
      <c r="H709" s="438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1"/>
      <c r="F710" s="1"/>
      <c r="G710" s="1"/>
      <c r="H710" s="438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1"/>
      <c r="F711" s="1"/>
      <c r="G711" s="1"/>
      <c r="H711" s="438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1"/>
      <c r="F712" s="1"/>
      <c r="G712" s="1"/>
      <c r="H712" s="438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1"/>
      <c r="F713" s="1"/>
      <c r="G713" s="1"/>
      <c r="H713" s="438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1"/>
      <c r="F714" s="1"/>
      <c r="G714" s="1"/>
      <c r="H714" s="438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1"/>
      <c r="F715" s="1"/>
      <c r="G715" s="1"/>
      <c r="H715" s="438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1"/>
      <c r="F716" s="1"/>
      <c r="G716" s="1"/>
      <c r="H716" s="438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1"/>
      <c r="F717" s="1"/>
      <c r="G717" s="1"/>
      <c r="H717" s="438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1"/>
      <c r="F718" s="1"/>
      <c r="G718" s="1"/>
      <c r="H718" s="438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1"/>
      <c r="F719" s="1"/>
      <c r="G719" s="1"/>
      <c r="H719" s="438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1"/>
      <c r="F720" s="1"/>
      <c r="G720" s="1"/>
      <c r="H720" s="438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1"/>
      <c r="F721" s="1"/>
      <c r="G721" s="1"/>
      <c r="H721" s="438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1"/>
      <c r="F722" s="1"/>
      <c r="G722" s="1"/>
      <c r="H722" s="438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1"/>
      <c r="F723" s="1"/>
      <c r="G723" s="1"/>
      <c r="H723" s="438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1"/>
      <c r="F724" s="1"/>
      <c r="G724" s="1"/>
      <c r="H724" s="438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1"/>
      <c r="F725" s="1"/>
      <c r="G725" s="1"/>
      <c r="H725" s="438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1"/>
      <c r="F726" s="1"/>
      <c r="G726" s="1"/>
      <c r="H726" s="438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1"/>
      <c r="F727" s="1"/>
      <c r="G727" s="1"/>
      <c r="H727" s="438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1"/>
      <c r="F728" s="1"/>
      <c r="G728" s="1"/>
      <c r="H728" s="438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1"/>
      <c r="F729" s="1"/>
      <c r="G729" s="1"/>
      <c r="H729" s="438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1"/>
      <c r="F730" s="1"/>
      <c r="G730" s="1"/>
      <c r="H730" s="438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1"/>
      <c r="F731" s="1"/>
      <c r="G731" s="1"/>
      <c r="H731" s="438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1"/>
      <c r="F732" s="1"/>
      <c r="G732" s="1"/>
      <c r="H732" s="438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1"/>
      <c r="F733" s="1"/>
      <c r="G733" s="1"/>
      <c r="H733" s="438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1"/>
      <c r="F734" s="1"/>
      <c r="G734" s="1"/>
      <c r="H734" s="438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1"/>
      <c r="F735" s="1"/>
      <c r="G735" s="1"/>
      <c r="H735" s="438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1"/>
      <c r="F736" s="1"/>
      <c r="G736" s="1"/>
      <c r="H736" s="438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1"/>
      <c r="F737" s="1"/>
      <c r="G737" s="1"/>
      <c r="H737" s="438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1"/>
      <c r="F738" s="1"/>
      <c r="G738" s="1"/>
      <c r="H738" s="438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1"/>
      <c r="F739" s="1"/>
      <c r="G739" s="1"/>
      <c r="H739" s="438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1"/>
      <c r="F740" s="1"/>
      <c r="G740" s="1"/>
      <c r="H740" s="438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1"/>
      <c r="F741" s="1"/>
      <c r="G741" s="1"/>
      <c r="H741" s="438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1"/>
      <c r="F742" s="1"/>
      <c r="G742" s="1"/>
      <c r="H742" s="438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1"/>
      <c r="F743" s="1"/>
      <c r="G743" s="1"/>
      <c r="H743" s="438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1"/>
      <c r="F744" s="1"/>
      <c r="G744" s="1"/>
      <c r="H744" s="438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1"/>
      <c r="F745" s="1"/>
      <c r="G745" s="1"/>
      <c r="H745" s="438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1"/>
      <c r="F746" s="1"/>
      <c r="G746" s="1"/>
      <c r="H746" s="438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1"/>
      <c r="F747" s="1"/>
      <c r="G747" s="1"/>
      <c r="H747" s="438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1"/>
      <c r="F748" s="1"/>
      <c r="G748" s="1"/>
      <c r="H748" s="438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1"/>
      <c r="F749" s="1"/>
      <c r="G749" s="1"/>
      <c r="H749" s="438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1"/>
      <c r="F750" s="1"/>
      <c r="G750" s="1"/>
      <c r="H750" s="438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1"/>
      <c r="F751" s="1"/>
      <c r="G751" s="1"/>
      <c r="H751" s="438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1"/>
      <c r="F752" s="1"/>
      <c r="G752" s="1"/>
      <c r="H752" s="438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1"/>
      <c r="F753" s="1"/>
      <c r="G753" s="1"/>
      <c r="H753" s="438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1"/>
      <c r="F754" s="1"/>
      <c r="G754" s="1"/>
      <c r="H754" s="438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1"/>
      <c r="F755" s="1"/>
      <c r="G755" s="1"/>
      <c r="H755" s="438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1"/>
      <c r="F756" s="1"/>
      <c r="G756" s="1"/>
      <c r="H756" s="438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1"/>
      <c r="F757" s="1"/>
      <c r="G757" s="1"/>
      <c r="H757" s="438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1"/>
      <c r="F758" s="1"/>
      <c r="G758" s="1"/>
      <c r="H758" s="438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1"/>
      <c r="F759" s="1"/>
      <c r="G759" s="1"/>
      <c r="H759" s="438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1"/>
      <c r="F760" s="1"/>
      <c r="G760" s="1"/>
      <c r="H760" s="438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1"/>
      <c r="F761" s="1"/>
      <c r="G761" s="1"/>
      <c r="H761" s="438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1"/>
      <c r="F762" s="1"/>
      <c r="G762" s="1"/>
      <c r="H762" s="438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1"/>
      <c r="F763" s="1"/>
      <c r="G763" s="1"/>
      <c r="H763" s="438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1"/>
      <c r="F764" s="1"/>
      <c r="G764" s="1"/>
      <c r="H764" s="438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1"/>
      <c r="F765" s="1"/>
      <c r="G765" s="1"/>
      <c r="H765" s="438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1"/>
      <c r="F766" s="1"/>
      <c r="G766" s="1"/>
      <c r="H766" s="438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1"/>
      <c r="F767" s="1"/>
      <c r="G767" s="1"/>
      <c r="H767" s="438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1"/>
      <c r="F768" s="1"/>
      <c r="G768" s="1"/>
      <c r="H768" s="438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1"/>
      <c r="F769" s="1"/>
      <c r="G769" s="1"/>
      <c r="H769" s="438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1"/>
      <c r="F770" s="1"/>
      <c r="G770" s="1"/>
      <c r="H770" s="438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1"/>
      <c r="F771" s="1"/>
      <c r="G771" s="1"/>
      <c r="H771" s="438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1"/>
      <c r="F772" s="1"/>
      <c r="G772" s="1"/>
      <c r="H772" s="438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1"/>
      <c r="F773" s="1"/>
      <c r="G773" s="1"/>
      <c r="H773" s="438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1"/>
      <c r="F774" s="1"/>
      <c r="G774" s="1"/>
      <c r="H774" s="438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1"/>
      <c r="F775" s="1"/>
      <c r="G775" s="1"/>
      <c r="H775" s="438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1"/>
      <c r="F776" s="1"/>
      <c r="G776" s="1"/>
      <c r="H776" s="438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1"/>
      <c r="F777" s="1"/>
      <c r="G777" s="1"/>
      <c r="H777" s="438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1"/>
      <c r="F778" s="1"/>
      <c r="G778" s="1"/>
      <c r="H778" s="438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1"/>
      <c r="F779" s="1"/>
      <c r="G779" s="1"/>
      <c r="H779" s="438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1"/>
      <c r="F780" s="1"/>
      <c r="G780" s="1"/>
      <c r="H780" s="438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1"/>
      <c r="F781" s="1"/>
      <c r="G781" s="1"/>
      <c r="H781" s="438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1"/>
      <c r="F782" s="1"/>
      <c r="G782" s="1"/>
      <c r="H782" s="438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1"/>
      <c r="F783" s="1"/>
      <c r="G783" s="1"/>
      <c r="H783" s="438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1"/>
      <c r="F784" s="1"/>
      <c r="G784" s="1"/>
      <c r="H784" s="438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1"/>
      <c r="F785" s="1"/>
      <c r="G785" s="1"/>
      <c r="H785" s="438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1"/>
      <c r="F786" s="1"/>
      <c r="G786" s="1"/>
      <c r="H786" s="438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1"/>
      <c r="F787" s="1"/>
      <c r="G787" s="1"/>
      <c r="H787" s="438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1"/>
      <c r="F788" s="1"/>
      <c r="G788" s="1"/>
      <c r="H788" s="438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1"/>
      <c r="F789" s="1"/>
      <c r="G789" s="1"/>
      <c r="H789" s="438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1"/>
      <c r="F790" s="1"/>
      <c r="G790" s="1"/>
      <c r="H790" s="438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1"/>
      <c r="F791" s="1"/>
      <c r="G791" s="1"/>
      <c r="H791" s="438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1"/>
      <c r="F792" s="1"/>
      <c r="G792" s="1"/>
      <c r="H792" s="438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1"/>
      <c r="F793" s="1"/>
      <c r="G793" s="1"/>
      <c r="H793" s="438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1"/>
      <c r="F794" s="1"/>
      <c r="G794" s="1"/>
      <c r="H794" s="438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1"/>
      <c r="F795" s="1"/>
      <c r="G795" s="1"/>
      <c r="H795" s="438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1"/>
      <c r="F796" s="1"/>
      <c r="G796" s="1"/>
      <c r="H796" s="438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1"/>
      <c r="F797" s="1"/>
      <c r="G797" s="1"/>
      <c r="H797" s="438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1"/>
      <c r="F798" s="1"/>
      <c r="G798" s="1"/>
      <c r="H798" s="438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1"/>
      <c r="F799" s="1"/>
      <c r="G799" s="1"/>
      <c r="H799" s="438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1"/>
      <c r="F800" s="1"/>
      <c r="G800" s="1"/>
      <c r="H800" s="438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1"/>
      <c r="F801" s="1"/>
      <c r="G801" s="1"/>
      <c r="H801" s="438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1"/>
      <c r="F802" s="1"/>
      <c r="G802" s="1"/>
      <c r="H802" s="438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1"/>
      <c r="F803" s="1"/>
      <c r="G803" s="1"/>
      <c r="H803" s="438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1"/>
      <c r="F804" s="1"/>
      <c r="G804" s="1"/>
      <c r="H804" s="438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1"/>
      <c r="F805" s="1"/>
      <c r="G805" s="1"/>
      <c r="H805" s="438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1"/>
      <c r="F806" s="1"/>
      <c r="G806" s="1"/>
      <c r="H806" s="438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1"/>
      <c r="F807" s="1"/>
      <c r="G807" s="1"/>
      <c r="H807" s="438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1"/>
      <c r="F808" s="1"/>
      <c r="G808" s="1"/>
      <c r="H808" s="438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1"/>
      <c r="F809" s="1"/>
      <c r="G809" s="1"/>
      <c r="H809" s="438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1"/>
      <c r="F810" s="1"/>
      <c r="G810" s="1"/>
      <c r="H810" s="438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1"/>
      <c r="F811" s="1"/>
      <c r="G811" s="1"/>
      <c r="H811" s="438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1"/>
      <c r="F812" s="1"/>
      <c r="G812" s="1"/>
      <c r="H812" s="438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1"/>
      <c r="F813" s="1"/>
      <c r="G813" s="1"/>
      <c r="H813" s="438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1"/>
      <c r="F814" s="1"/>
      <c r="G814" s="1"/>
      <c r="H814" s="438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1"/>
      <c r="F815" s="1"/>
      <c r="G815" s="1"/>
      <c r="H815" s="438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1"/>
      <c r="F816" s="1"/>
      <c r="G816" s="1"/>
      <c r="H816" s="438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1"/>
      <c r="F817" s="1"/>
      <c r="G817" s="1"/>
      <c r="H817" s="438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1"/>
      <c r="F818" s="1"/>
      <c r="G818" s="1"/>
      <c r="H818" s="438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1"/>
      <c r="F819" s="1"/>
      <c r="G819" s="1"/>
      <c r="H819" s="438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1"/>
      <c r="F820" s="1"/>
      <c r="G820" s="1"/>
      <c r="H820" s="438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1"/>
      <c r="F821" s="1"/>
      <c r="G821" s="1"/>
      <c r="H821" s="438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1"/>
      <c r="F822" s="1"/>
      <c r="G822" s="1"/>
      <c r="H822" s="438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1"/>
      <c r="F823" s="1"/>
      <c r="G823" s="1"/>
      <c r="H823" s="438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1"/>
      <c r="F824" s="1"/>
      <c r="G824" s="1"/>
      <c r="H824" s="438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1"/>
      <c r="F825" s="1"/>
      <c r="G825" s="1"/>
      <c r="H825" s="438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1"/>
      <c r="F826" s="1"/>
      <c r="G826" s="1"/>
      <c r="H826" s="438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1"/>
      <c r="F827" s="1"/>
      <c r="G827" s="1"/>
      <c r="H827" s="438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1"/>
      <c r="F828" s="1"/>
      <c r="G828" s="1"/>
      <c r="H828" s="438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1"/>
      <c r="F829" s="1"/>
      <c r="G829" s="1"/>
      <c r="H829" s="438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1"/>
      <c r="F830" s="1"/>
      <c r="G830" s="1"/>
      <c r="H830" s="438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1"/>
      <c r="F831" s="1"/>
      <c r="G831" s="1"/>
      <c r="H831" s="438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1"/>
      <c r="F832" s="1"/>
      <c r="G832" s="1"/>
      <c r="H832" s="438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1"/>
      <c r="F833" s="1"/>
      <c r="G833" s="1"/>
      <c r="H833" s="438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1"/>
      <c r="F834" s="1"/>
      <c r="G834" s="1"/>
      <c r="H834" s="438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1"/>
      <c r="F835" s="1"/>
      <c r="G835" s="1"/>
      <c r="H835" s="438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1"/>
      <c r="F836" s="1"/>
      <c r="G836" s="1"/>
      <c r="H836" s="438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1"/>
      <c r="F837" s="1"/>
      <c r="G837" s="1"/>
      <c r="H837" s="438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1"/>
      <c r="F838" s="1"/>
      <c r="G838" s="1"/>
      <c r="H838" s="438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1"/>
      <c r="F839" s="1"/>
      <c r="G839" s="1"/>
      <c r="H839" s="438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1"/>
      <c r="F840" s="1"/>
      <c r="G840" s="1"/>
      <c r="H840" s="438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1"/>
      <c r="F841" s="1"/>
      <c r="G841" s="1"/>
      <c r="H841" s="438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1"/>
      <c r="F842" s="1"/>
      <c r="G842" s="1"/>
      <c r="H842" s="438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1"/>
      <c r="F843" s="1"/>
      <c r="G843" s="1"/>
      <c r="H843" s="438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1"/>
      <c r="F844" s="1"/>
      <c r="G844" s="1"/>
      <c r="H844" s="438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1"/>
      <c r="F845" s="1"/>
      <c r="G845" s="1"/>
      <c r="H845" s="438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1"/>
      <c r="F846" s="1"/>
      <c r="G846" s="1"/>
      <c r="H846" s="438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1"/>
      <c r="F847" s="1"/>
      <c r="G847" s="1"/>
      <c r="H847" s="438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1"/>
      <c r="F848" s="1"/>
      <c r="G848" s="1"/>
      <c r="H848" s="438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1"/>
      <c r="F849" s="1"/>
      <c r="G849" s="1"/>
      <c r="H849" s="438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1"/>
      <c r="F850" s="1"/>
      <c r="G850" s="1"/>
      <c r="H850" s="438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1"/>
      <c r="F851" s="1"/>
      <c r="G851" s="1"/>
      <c r="H851" s="438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1"/>
      <c r="F852" s="1"/>
      <c r="G852" s="1"/>
      <c r="H852" s="438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1"/>
      <c r="F853" s="1"/>
      <c r="G853" s="1"/>
      <c r="H853" s="438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1"/>
      <c r="F854" s="1"/>
      <c r="G854" s="1"/>
      <c r="H854" s="438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1"/>
      <c r="F855" s="1"/>
      <c r="G855" s="1"/>
      <c r="H855" s="438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1"/>
      <c r="F856" s="1"/>
      <c r="G856" s="1"/>
      <c r="H856" s="438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1"/>
      <c r="F857" s="1"/>
      <c r="G857" s="1"/>
      <c r="H857" s="438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1"/>
      <c r="F858" s="1"/>
      <c r="G858" s="1"/>
      <c r="H858" s="438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1"/>
      <c r="F859" s="1"/>
      <c r="G859" s="1"/>
      <c r="H859" s="438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1"/>
      <c r="F860" s="1"/>
      <c r="G860" s="1"/>
      <c r="H860" s="438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1"/>
      <c r="F861" s="1"/>
      <c r="G861" s="1"/>
      <c r="H861" s="438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1"/>
      <c r="F862" s="1"/>
      <c r="G862" s="1"/>
      <c r="H862" s="438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1"/>
      <c r="F863" s="1"/>
      <c r="G863" s="1"/>
      <c r="H863" s="438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1"/>
      <c r="F864" s="1"/>
      <c r="G864" s="1"/>
      <c r="H864" s="438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1"/>
      <c r="F865" s="1"/>
      <c r="G865" s="1"/>
      <c r="H865" s="438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1"/>
      <c r="F866" s="1"/>
      <c r="G866" s="1"/>
      <c r="H866" s="438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1"/>
      <c r="F867" s="1"/>
      <c r="G867" s="1"/>
      <c r="H867" s="438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1"/>
      <c r="F868" s="1"/>
      <c r="G868" s="1"/>
      <c r="H868" s="438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1"/>
      <c r="F869" s="1"/>
      <c r="G869" s="1"/>
      <c r="H869" s="438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1"/>
      <c r="F870" s="1"/>
      <c r="G870" s="1"/>
      <c r="H870" s="438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1"/>
      <c r="F871" s="1"/>
      <c r="G871" s="1"/>
      <c r="H871" s="438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1"/>
      <c r="F872" s="1"/>
      <c r="G872" s="1"/>
      <c r="H872" s="438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1"/>
      <c r="F873" s="1"/>
      <c r="G873" s="1"/>
      <c r="H873" s="438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1"/>
      <c r="F874" s="1"/>
      <c r="G874" s="1"/>
      <c r="H874" s="438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1"/>
      <c r="F875" s="1"/>
      <c r="G875" s="1"/>
      <c r="H875" s="438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1"/>
      <c r="F876" s="1"/>
      <c r="G876" s="1"/>
      <c r="H876" s="438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1"/>
      <c r="F877" s="1"/>
      <c r="G877" s="1"/>
      <c r="H877" s="438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1"/>
      <c r="F878" s="1"/>
      <c r="G878" s="1"/>
      <c r="H878" s="438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1"/>
      <c r="F879" s="1"/>
      <c r="G879" s="1"/>
      <c r="H879" s="438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1"/>
      <c r="F880" s="1"/>
      <c r="G880" s="1"/>
      <c r="H880" s="438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1"/>
      <c r="F881" s="1"/>
      <c r="G881" s="1"/>
      <c r="H881" s="438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1"/>
      <c r="F882" s="1"/>
      <c r="G882" s="1"/>
      <c r="H882" s="438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1"/>
      <c r="F883" s="1"/>
      <c r="G883" s="1"/>
      <c r="H883" s="438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1"/>
      <c r="F884" s="1"/>
      <c r="G884" s="1"/>
      <c r="H884" s="438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1"/>
      <c r="F885" s="1"/>
      <c r="G885" s="1"/>
      <c r="H885" s="438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1"/>
      <c r="F886" s="1"/>
      <c r="G886" s="1"/>
      <c r="H886" s="438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1"/>
      <c r="F887" s="1"/>
      <c r="G887" s="1"/>
      <c r="H887" s="438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1"/>
      <c r="F888" s="1"/>
      <c r="G888" s="1"/>
      <c r="H888" s="438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1"/>
      <c r="F889" s="1"/>
      <c r="G889" s="1"/>
      <c r="H889" s="438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1"/>
      <c r="F890" s="1"/>
      <c r="G890" s="1"/>
      <c r="H890" s="438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1"/>
      <c r="F891" s="1"/>
      <c r="G891" s="1"/>
      <c r="H891" s="438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1"/>
      <c r="F892" s="1"/>
      <c r="G892" s="1"/>
      <c r="H892" s="438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1"/>
      <c r="F893" s="1"/>
      <c r="G893" s="1"/>
      <c r="H893" s="438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1"/>
      <c r="F894" s="1"/>
      <c r="G894" s="1"/>
      <c r="H894" s="438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1"/>
      <c r="F895" s="1"/>
      <c r="G895" s="1"/>
      <c r="H895" s="438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1"/>
      <c r="F896" s="1"/>
      <c r="G896" s="1"/>
      <c r="H896" s="438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1"/>
      <c r="F897" s="1"/>
      <c r="G897" s="1"/>
      <c r="H897" s="438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1"/>
      <c r="F898" s="1"/>
      <c r="G898" s="1"/>
      <c r="H898" s="438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1"/>
      <c r="F899" s="1"/>
      <c r="G899" s="1"/>
      <c r="H899" s="438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1"/>
      <c r="F900" s="1"/>
      <c r="G900" s="1"/>
      <c r="H900" s="438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1"/>
      <c r="F901" s="1"/>
      <c r="G901" s="1"/>
      <c r="H901" s="438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1"/>
      <c r="F902" s="1"/>
      <c r="G902" s="1"/>
      <c r="H902" s="438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1"/>
      <c r="F903" s="1"/>
      <c r="G903" s="1"/>
      <c r="H903" s="438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1"/>
      <c r="F904" s="1"/>
      <c r="G904" s="1"/>
      <c r="H904" s="438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1"/>
      <c r="F905" s="1"/>
      <c r="G905" s="1"/>
      <c r="H905" s="438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1"/>
      <c r="F906" s="1"/>
      <c r="G906" s="1"/>
      <c r="H906" s="438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1"/>
      <c r="F907" s="1"/>
      <c r="G907" s="1"/>
      <c r="H907" s="438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1"/>
      <c r="F908" s="1"/>
      <c r="G908" s="1"/>
      <c r="H908" s="438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1"/>
      <c r="F909" s="1"/>
      <c r="G909" s="1"/>
      <c r="H909" s="438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1"/>
      <c r="F910" s="1"/>
      <c r="G910" s="1"/>
      <c r="H910" s="438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1"/>
      <c r="F911" s="1"/>
      <c r="G911" s="1"/>
      <c r="H911" s="438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1"/>
      <c r="F912" s="1"/>
      <c r="G912" s="1"/>
      <c r="H912" s="438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1"/>
      <c r="F913" s="1"/>
      <c r="G913" s="1"/>
      <c r="H913" s="438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1"/>
      <c r="F914" s="1"/>
      <c r="G914" s="1"/>
      <c r="H914" s="438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1"/>
      <c r="F915" s="1"/>
      <c r="G915" s="1"/>
      <c r="H915" s="438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1"/>
      <c r="F916" s="1"/>
      <c r="G916" s="1"/>
      <c r="H916" s="438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1"/>
      <c r="F917" s="1"/>
      <c r="G917" s="1"/>
      <c r="H917" s="438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1"/>
      <c r="F918" s="1"/>
      <c r="G918" s="1"/>
      <c r="H918" s="438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1"/>
      <c r="F919" s="1"/>
      <c r="G919" s="1"/>
      <c r="H919" s="438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1"/>
      <c r="F920" s="1"/>
      <c r="G920" s="1"/>
      <c r="H920" s="438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1"/>
      <c r="F921" s="1"/>
      <c r="G921" s="1"/>
      <c r="H921" s="438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1"/>
      <c r="F922" s="1"/>
      <c r="G922" s="1"/>
      <c r="H922" s="438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1"/>
      <c r="F923" s="1"/>
      <c r="G923" s="1"/>
      <c r="H923" s="438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1"/>
      <c r="F924" s="1"/>
      <c r="G924" s="1"/>
      <c r="H924" s="438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1"/>
      <c r="F925" s="1"/>
      <c r="G925" s="1"/>
      <c r="H925" s="438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1"/>
      <c r="F926" s="1"/>
      <c r="G926" s="1"/>
      <c r="H926" s="438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1"/>
      <c r="F927" s="1"/>
      <c r="G927" s="1"/>
      <c r="H927" s="438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1"/>
      <c r="F928" s="1"/>
      <c r="G928" s="1"/>
      <c r="H928" s="438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1"/>
      <c r="F929" s="1"/>
      <c r="G929" s="1"/>
      <c r="H929" s="438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1"/>
      <c r="F930" s="1"/>
      <c r="G930" s="1"/>
      <c r="H930" s="438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1"/>
      <c r="F931" s="1"/>
      <c r="G931" s="1"/>
      <c r="H931" s="438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1"/>
      <c r="F932" s="1"/>
      <c r="G932" s="1"/>
      <c r="H932" s="438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1"/>
      <c r="F933" s="1"/>
      <c r="G933" s="1"/>
      <c r="H933" s="438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1"/>
      <c r="F934" s="1"/>
      <c r="G934" s="1"/>
      <c r="H934" s="438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1"/>
      <c r="F935" s="1"/>
      <c r="G935" s="1"/>
      <c r="H935" s="438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1"/>
      <c r="F936" s="1"/>
      <c r="G936" s="1"/>
      <c r="H936" s="438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1"/>
      <c r="F937" s="1"/>
      <c r="G937" s="1"/>
      <c r="H937" s="438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1"/>
      <c r="F938" s="1"/>
      <c r="G938" s="1"/>
      <c r="H938" s="438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1"/>
      <c r="F939" s="1"/>
      <c r="G939" s="1"/>
      <c r="H939" s="438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1"/>
      <c r="F940" s="1"/>
      <c r="G940" s="1"/>
      <c r="H940" s="438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1"/>
      <c r="F941" s="1"/>
      <c r="G941" s="1"/>
      <c r="H941" s="438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1"/>
      <c r="F942" s="1"/>
      <c r="G942" s="1"/>
      <c r="H942" s="438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1"/>
      <c r="F943" s="1"/>
      <c r="G943" s="1"/>
      <c r="H943" s="438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1"/>
      <c r="F944" s="1"/>
      <c r="G944" s="1"/>
      <c r="H944" s="438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1"/>
      <c r="F945" s="1"/>
      <c r="G945" s="1"/>
      <c r="H945" s="438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1"/>
      <c r="F946" s="1"/>
      <c r="G946" s="1"/>
      <c r="H946" s="438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1"/>
      <c r="F947" s="1"/>
      <c r="G947" s="1"/>
      <c r="H947" s="438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1"/>
      <c r="F948" s="1"/>
      <c r="G948" s="1"/>
      <c r="H948" s="438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1"/>
      <c r="F949" s="1"/>
      <c r="G949" s="1"/>
      <c r="H949" s="438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1"/>
      <c r="F950" s="1"/>
      <c r="G950" s="1"/>
      <c r="H950" s="438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1"/>
      <c r="F951" s="1"/>
      <c r="G951" s="1"/>
      <c r="H951" s="438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1"/>
      <c r="F952" s="1"/>
      <c r="G952" s="1"/>
      <c r="H952" s="438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1"/>
      <c r="F953" s="1"/>
      <c r="G953" s="1"/>
      <c r="H953" s="438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1"/>
      <c r="F954" s="1"/>
      <c r="G954" s="1"/>
      <c r="H954" s="438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1"/>
      <c r="F955" s="1"/>
      <c r="G955" s="1"/>
      <c r="H955" s="438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1"/>
      <c r="F956" s="1"/>
      <c r="G956" s="1"/>
      <c r="H956" s="438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1"/>
      <c r="F957" s="1"/>
      <c r="G957" s="1"/>
      <c r="H957" s="438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1"/>
      <c r="F958" s="1"/>
      <c r="G958" s="1"/>
      <c r="H958" s="438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1"/>
      <c r="F959" s="1"/>
      <c r="G959" s="1"/>
      <c r="H959" s="438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1"/>
      <c r="F960" s="1"/>
      <c r="G960" s="1"/>
      <c r="H960" s="438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1"/>
      <c r="F961" s="1"/>
      <c r="G961" s="1"/>
      <c r="H961" s="438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1"/>
      <c r="F962" s="1"/>
      <c r="G962" s="1"/>
      <c r="H962" s="438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1"/>
      <c r="F963" s="1"/>
      <c r="G963" s="1"/>
      <c r="H963" s="438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1"/>
      <c r="F964" s="1"/>
      <c r="G964" s="1"/>
      <c r="H964" s="438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1"/>
      <c r="F965" s="1"/>
      <c r="G965" s="1"/>
      <c r="H965" s="438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1"/>
      <c r="F966" s="1"/>
      <c r="G966" s="1"/>
      <c r="H966" s="438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1"/>
      <c r="F967" s="1"/>
      <c r="G967" s="1"/>
      <c r="H967" s="438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1"/>
      <c r="F968" s="1"/>
      <c r="G968" s="1"/>
      <c r="H968" s="438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1"/>
      <c r="F969" s="1"/>
      <c r="G969" s="1"/>
      <c r="H969" s="438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1"/>
      <c r="F970" s="1"/>
      <c r="G970" s="1"/>
      <c r="H970" s="438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1"/>
      <c r="F971" s="1"/>
      <c r="G971" s="1"/>
      <c r="H971" s="438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1"/>
      <c r="F972" s="1"/>
      <c r="G972" s="1"/>
      <c r="H972" s="438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1"/>
      <c r="F973" s="1"/>
      <c r="G973" s="1"/>
      <c r="H973" s="438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1"/>
      <c r="F974" s="1"/>
      <c r="G974" s="1"/>
      <c r="H974" s="438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1"/>
      <c r="F975" s="1"/>
      <c r="G975" s="1"/>
      <c r="H975" s="438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1"/>
      <c r="F976" s="1"/>
      <c r="G976" s="1"/>
      <c r="H976" s="438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1"/>
      <c r="F977" s="1"/>
      <c r="G977" s="1"/>
      <c r="H977" s="438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1"/>
      <c r="F978" s="1"/>
      <c r="G978" s="1"/>
      <c r="H978" s="438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1"/>
      <c r="F979" s="1"/>
      <c r="G979" s="1"/>
      <c r="H979" s="438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1"/>
      <c r="F980" s="1"/>
      <c r="G980" s="1"/>
      <c r="H980" s="438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1"/>
      <c r="F981" s="1"/>
      <c r="G981" s="1"/>
      <c r="H981" s="438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1"/>
      <c r="F982" s="1"/>
      <c r="G982" s="1"/>
      <c r="H982" s="438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1"/>
      <c r="F983" s="1"/>
      <c r="G983" s="1"/>
      <c r="H983" s="438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1"/>
      <c r="F984" s="1"/>
      <c r="G984" s="1"/>
      <c r="H984" s="438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1"/>
      <c r="F985" s="1"/>
      <c r="G985" s="1"/>
      <c r="H985" s="438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1"/>
      <c r="F986" s="1"/>
      <c r="G986" s="1"/>
      <c r="H986" s="438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1"/>
      <c r="F987" s="1"/>
      <c r="G987" s="1"/>
      <c r="H987" s="438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1"/>
      <c r="F988" s="1"/>
      <c r="G988" s="1"/>
      <c r="H988" s="438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1"/>
      <c r="F989" s="1"/>
      <c r="G989" s="1"/>
      <c r="H989" s="438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1"/>
      <c r="F990" s="1"/>
      <c r="G990" s="1"/>
      <c r="H990" s="438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1"/>
      <c r="F991" s="1"/>
      <c r="G991" s="1"/>
      <c r="H991" s="438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1"/>
      <c r="F992" s="1"/>
      <c r="G992" s="1"/>
      <c r="H992" s="438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1"/>
      <c r="F993" s="1"/>
      <c r="G993" s="1"/>
      <c r="H993" s="438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1"/>
      <c r="D994" s="1"/>
      <c r="E994" s="1"/>
      <c r="F994" s="1"/>
      <c r="G994" s="1"/>
      <c r="H994" s="438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1"/>
      <c r="D995" s="1"/>
      <c r="E995" s="1"/>
      <c r="F995" s="1"/>
      <c r="G995" s="1"/>
      <c r="H995" s="438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1"/>
      <c r="D996" s="1"/>
      <c r="E996" s="1"/>
      <c r="F996" s="1"/>
      <c r="G996" s="1"/>
      <c r="H996" s="438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1"/>
      <c r="D997" s="1"/>
      <c r="E997" s="1"/>
      <c r="F997" s="1"/>
      <c r="G997" s="1"/>
      <c r="H997" s="438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1"/>
      <c r="D998" s="1"/>
      <c r="E998" s="1"/>
      <c r="F998" s="1"/>
      <c r="G998" s="1"/>
      <c r="H998" s="438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C999" s="1"/>
      <c r="D999" s="1"/>
      <c r="E999" s="1"/>
      <c r="F999" s="1"/>
      <c r="G999" s="1"/>
      <c r="H999" s="438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438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I2:J2"/>
    <mergeCell ref="B5:C6"/>
    <mergeCell ref="B95:C95"/>
  </mergeCells>
  <printOptions horizontalCentered="1" verticalCentered="1"/>
  <pageMargins bottom="0.9067" footer="0.0" header="0.0" left="0.7" right="0.7" top="1.0457"/>
  <pageSetup scale="80" orientation="landscape" pageOrder="overThenDown"/>
  <headerFooter>
    <oddFooter>&amp;C&amp;F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20">
    <pageSetUpPr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2.63" defaultRowHeight="15.0" outlineLevelCol="1"/>
  <cols>
    <col customWidth="1" min="1" max="1" width="5.38"/>
    <col customWidth="1" min="2" max="2" width="39.13"/>
    <col customWidth="1" min="3" max="3" width="5.75"/>
    <col customWidth="1" min="4" max="4" width="1.75"/>
    <col customWidth="1" min="5" max="5" width="11.75"/>
    <col customWidth="1" min="6" max="6" width="2.25"/>
    <col customWidth="1" min="7" max="7" width="12.63"/>
    <col customWidth="1" min="8" max="19" width="12.5"/>
    <col customWidth="1" min="20" max="20" width="6.75"/>
    <col customWidth="1" min="21" max="21" width="16.88"/>
    <col customWidth="1" min="22" max="40" width="8.63"/>
  </cols>
  <sheetData>
    <row r="1" ht="14.25" customHeight="1">
      <c r="A1" s="1"/>
      <c r="B1" s="8" t="str">
        <f>'A Cover'!G$8</f>
        <v>Example University</v>
      </c>
      <c r="C1" s="8"/>
      <c r="D1" s="8"/>
      <c r="E1" s="8"/>
      <c r="F1" s="1115"/>
      <c r="G1" s="8"/>
      <c r="H1" s="8"/>
      <c r="I1" s="1117">
        <f>IF('F Population'!P44&lt;&gt;"",'F Population'!P44,'F Population'!R44)</f>
        <v>0.5098743268</v>
      </c>
      <c r="J1" s="1118" t="s">
        <v>618</v>
      </c>
      <c r="K1" s="158"/>
      <c r="L1" s="158"/>
      <c r="M1" s="158"/>
      <c r="N1" s="1119"/>
      <c r="O1" s="1117">
        <f>IF('F Population'!$P45&lt;&gt;"",'F Population'!$P45,'F Population'!$R45)</f>
        <v>0.4901256732</v>
      </c>
      <c r="P1" s="1118" t="s">
        <v>619</v>
      </c>
      <c r="Q1" s="158"/>
      <c r="R1" s="158"/>
      <c r="S1" s="158"/>
      <c r="T1" s="1120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</row>
    <row r="2" ht="14.25" customHeight="1">
      <c r="A2" s="1"/>
      <c r="B2" s="364" t="s">
        <v>620</v>
      </c>
      <c r="C2" s="1"/>
      <c r="D2" s="1"/>
      <c r="E2" s="29" t="s">
        <v>0</v>
      </c>
      <c r="F2" s="1121" t="s">
        <v>9</v>
      </c>
      <c r="G2" s="1"/>
      <c r="H2" s="1122">
        <v>0.03</v>
      </c>
      <c r="I2" s="1122">
        <v>0.2</v>
      </c>
      <c r="J2" s="1122">
        <v>0.45</v>
      </c>
      <c r="K2" s="1122">
        <v>0.2</v>
      </c>
      <c r="L2" s="1122">
        <v>0.09</v>
      </c>
      <c r="M2" s="1122">
        <v>0.03</v>
      </c>
      <c r="N2" s="1122">
        <v>0.2</v>
      </c>
      <c r="O2" s="1122">
        <v>0.45</v>
      </c>
      <c r="P2" s="1122">
        <v>0.2</v>
      </c>
      <c r="Q2" s="1122">
        <v>0.09</v>
      </c>
      <c r="R2" s="1122">
        <v>0.04</v>
      </c>
      <c r="S2" s="1122">
        <v>0.02</v>
      </c>
      <c r="T2" s="940">
        <f>SUM(H2:S2)/2</f>
        <v>1</v>
      </c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</row>
    <row r="3" ht="14.25" customHeight="1">
      <c r="A3" s="158"/>
      <c r="B3" s="1"/>
      <c r="C3" s="1"/>
      <c r="D3" s="1"/>
      <c r="E3" s="1125" t="s">
        <v>6</v>
      </c>
      <c r="F3" s="1120"/>
      <c r="G3" s="1126" t="str">
        <f>IF('J Proj CY'!F$151&gt;0,"Projected","Budgeted")</f>
        <v>Projected</v>
      </c>
      <c r="H3" s="1126"/>
      <c r="I3" s="291"/>
      <c r="J3" s="1129"/>
      <c r="K3" s="1129"/>
      <c r="L3" s="1129"/>
      <c r="M3" s="291"/>
      <c r="N3" s="291"/>
      <c r="O3" s="1129"/>
      <c r="P3" s="1129"/>
      <c r="Q3" s="1129"/>
      <c r="R3" s="1129"/>
      <c r="S3" s="1129"/>
      <c r="T3" s="1130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</row>
    <row r="4" ht="14.25" customHeight="1">
      <c r="A4" s="1"/>
      <c r="B4" s="158" t="s">
        <v>624</v>
      </c>
      <c r="C4" s="1"/>
      <c r="D4" s="1"/>
      <c r="E4" s="553" t="str">
        <f>'F Population'!$N$6</f>
        <v>2025 - 26</v>
      </c>
      <c r="F4" s="1130"/>
      <c r="G4" s="553" t="str">
        <f>'F Population'!$P$6</f>
        <v>2026 - 27</v>
      </c>
      <c r="H4" s="1131">
        <v>45497.0</v>
      </c>
      <c r="I4" s="1131">
        <f t="shared" ref="I4:S4" si="1">H4+30</f>
        <v>45527</v>
      </c>
      <c r="J4" s="1131">
        <f t="shared" si="1"/>
        <v>45557</v>
      </c>
      <c r="K4" s="1131">
        <f t="shared" si="1"/>
        <v>45587</v>
      </c>
      <c r="L4" s="1131">
        <f t="shared" si="1"/>
        <v>45617</v>
      </c>
      <c r="M4" s="1131">
        <f t="shared" si="1"/>
        <v>45647</v>
      </c>
      <c r="N4" s="1131">
        <f t="shared" si="1"/>
        <v>45677</v>
      </c>
      <c r="O4" s="1131">
        <f t="shared" si="1"/>
        <v>45707</v>
      </c>
      <c r="P4" s="1131">
        <f t="shared" si="1"/>
        <v>45737</v>
      </c>
      <c r="Q4" s="1131">
        <f t="shared" si="1"/>
        <v>45767</v>
      </c>
      <c r="R4" s="1131">
        <f t="shared" si="1"/>
        <v>45797</v>
      </c>
      <c r="S4" s="1131">
        <f t="shared" si="1"/>
        <v>45827</v>
      </c>
      <c r="T4" s="1132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</row>
    <row r="5" ht="14.25" customHeight="1">
      <c r="A5" s="1"/>
      <c r="B5" s="89" t="s">
        <v>28</v>
      </c>
      <c r="C5" s="89"/>
      <c r="D5" s="89"/>
      <c r="E5" s="291">
        <f>'E Budg CY'!L6</f>
        <v>51387224</v>
      </c>
      <c r="F5" s="1129"/>
      <c r="G5" s="291">
        <f>'P Fcast 5yr'!G7</f>
        <v>55818841.09</v>
      </c>
      <c r="H5" s="291">
        <f t="shared" ref="H5:M5" si="2">$G5*$I$1*H$2</f>
        <v>853817.8207</v>
      </c>
      <c r="I5" s="291">
        <f t="shared" si="2"/>
        <v>5692118.805</v>
      </c>
      <c r="J5" s="291">
        <f t="shared" si="2"/>
        <v>12807267.31</v>
      </c>
      <c r="K5" s="291">
        <f t="shared" si="2"/>
        <v>5692118.805</v>
      </c>
      <c r="L5" s="291">
        <f t="shared" si="2"/>
        <v>2561453.462</v>
      </c>
      <c r="M5" s="291">
        <f t="shared" si="2"/>
        <v>853817.8207</v>
      </c>
      <c r="N5" s="291">
        <f t="shared" ref="N5:S5" si="3">$G5*$O$1*N$2</f>
        <v>5471649.414</v>
      </c>
      <c r="O5" s="291">
        <f t="shared" si="3"/>
        <v>12311211.18</v>
      </c>
      <c r="P5" s="291">
        <f t="shared" si="3"/>
        <v>5471649.414</v>
      </c>
      <c r="Q5" s="291">
        <f t="shared" si="3"/>
        <v>2462242.236</v>
      </c>
      <c r="R5" s="291">
        <f t="shared" si="3"/>
        <v>1094329.883</v>
      </c>
      <c r="S5" s="291">
        <f t="shared" si="3"/>
        <v>547164.9414</v>
      </c>
      <c r="T5" s="1129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</row>
    <row r="6" ht="14.25" customHeight="1">
      <c r="A6" s="1"/>
      <c r="B6" s="89" t="s">
        <v>631</v>
      </c>
      <c r="C6" s="89"/>
      <c r="D6" s="89"/>
      <c r="E6" s="1135">
        <f>'E Budg CY'!L8</f>
        <v>-25847774</v>
      </c>
      <c r="F6" s="1136"/>
      <c r="G6" s="1135">
        <f>'P Fcast 5yr'!G8</f>
        <v>-25928048.02</v>
      </c>
      <c r="H6" s="1135">
        <f t="shared" ref="H6:M6" si="4">$G6*$I$1*H$2</f>
        <v>-396601.3809</v>
      </c>
      <c r="I6" s="1135">
        <f t="shared" si="4"/>
        <v>-2644009.206</v>
      </c>
      <c r="J6" s="1135">
        <f t="shared" si="4"/>
        <v>-5949020.713</v>
      </c>
      <c r="K6" s="1135">
        <f t="shared" si="4"/>
        <v>-2644009.206</v>
      </c>
      <c r="L6" s="1135">
        <f t="shared" si="4"/>
        <v>-1189804.143</v>
      </c>
      <c r="M6" s="1135">
        <f t="shared" si="4"/>
        <v>-396601.3809</v>
      </c>
      <c r="N6" s="1135">
        <f t="shared" ref="N6:S6" si="5">$G6*$O$1*N$2</f>
        <v>-2541600.398</v>
      </c>
      <c r="O6" s="1135">
        <f t="shared" si="5"/>
        <v>-5718600.896</v>
      </c>
      <c r="P6" s="1135">
        <f t="shared" si="5"/>
        <v>-2541600.398</v>
      </c>
      <c r="Q6" s="1135">
        <f t="shared" si="5"/>
        <v>-1143720.179</v>
      </c>
      <c r="R6" s="1135">
        <f t="shared" si="5"/>
        <v>-508320.0797</v>
      </c>
      <c r="S6" s="1135">
        <f t="shared" si="5"/>
        <v>-254160.0398</v>
      </c>
      <c r="T6" s="1137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ht="14.25" customHeight="1">
      <c r="A7" s="1"/>
      <c r="B7" s="89" t="s">
        <v>38</v>
      </c>
      <c r="C7" s="89"/>
      <c r="D7" s="89"/>
      <c r="E7" s="1135">
        <f>E5+E6</f>
        <v>25539450</v>
      </c>
      <c r="F7" s="1138"/>
      <c r="G7" s="1135">
        <f t="shared" ref="G7:S7" si="6">G5+G6</f>
        <v>29890793.07</v>
      </c>
      <c r="H7" s="1135">
        <f t="shared" si="6"/>
        <v>457216.4398</v>
      </c>
      <c r="I7" s="1135">
        <f t="shared" si="6"/>
        <v>3048109.599</v>
      </c>
      <c r="J7" s="1135">
        <f t="shared" si="6"/>
        <v>6858246.597</v>
      </c>
      <c r="K7" s="1135">
        <f t="shared" si="6"/>
        <v>3048109.599</v>
      </c>
      <c r="L7" s="1135">
        <f t="shared" si="6"/>
        <v>1371649.319</v>
      </c>
      <c r="M7" s="1135">
        <f t="shared" si="6"/>
        <v>457216.4398</v>
      </c>
      <c r="N7" s="1135">
        <f t="shared" si="6"/>
        <v>2930049.016</v>
      </c>
      <c r="O7" s="1135">
        <f t="shared" si="6"/>
        <v>6592610.286</v>
      </c>
      <c r="P7" s="1135">
        <f t="shared" si="6"/>
        <v>2930049.016</v>
      </c>
      <c r="Q7" s="1135">
        <f t="shared" si="6"/>
        <v>1318522.057</v>
      </c>
      <c r="R7" s="1135">
        <f t="shared" si="6"/>
        <v>586009.8032</v>
      </c>
      <c r="S7" s="1135">
        <f t="shared" si="6"/>
        <v>293004.9016</v>
      </c>
      <c r="T7" s="1129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</row>
    <row r="8" ht="12.0" customHeight="1">
      <c r="A8" s="1"/>
      <c r="B8" s="89"/>
      <c r="C8" s="89"/>
      <c r="D8" s="89"/>
      <c r="E8" s="291"/>
      <c r="F8" s="112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1129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</row>
    <row r="9" ht="14.25" customHeight="1">
      <c r="A9" s="1"/>
      <c r="B9" s="89" t="s">
        <v>637</v>
      </c>
      <c r="C9" s="89"/>
      <c r="D9" s="89"/>
      <c r="E9" s="291">
        <f>'E Budg CY'!L14</f>
        <v>16271443</v>
      </c>
      <c r="F9" s="1129"/>
      <c r="G9" s="291">
        <f>'P Fcast 5yr'!G11</f>
        <v>18897239</v>
      </c>
      <c r="H9" s="291">
        <f t="shared" ref="H9:M9" si="7">$G9*$I$1*H$2</f>
        <v>289056.5104</v>
      </c>
      <c r="I9" s="291">
        <f t="shared" si="7"/>
        <v>1927043.403</v>
      </c>
      <c r="J9" s="291">
        <f t="shared" si="7"/>
        <v>4335847.656</v>
      </c>
      <c r="K9" s="291">
        <f t="shared" si="7"/>
        <v>1927043.403</v>
      </c>
      <c r="L9" s="291">
        <f t="shared" si="7"/>
        <v>867169.5311</v>
      </c>
      <c r="M9" s="291">
        <f t="shared" si="7"/>
        <v>289056.5104</v>
      </c>
      <c r="N9" s="291">
        <f t="shared" ref="N9:S9" si="8">$G9*$O$1*N$2</f>
        <v>1852404.397</v>
      </c>
      <c r="O9" s="291">
        <f t="shared" si="8"/>
        <v>4167909.894</v>
      </c>
      <c r="P9" s="291">
        <f t="shared" si="8"/>
        <v>1852404.397</v>
      </c>
      <c r="Q9" s="291">
        <f t="shared" si="8"/>
        <v>833581.9789</v>
      </c>
      <c r="R9" s="291">
        <f t="shared" si="8"/>
        <v>370480.8795</v>
      </c>
      <c r="S9" s="291">
        <f t="shared" si="8"/>
        <v>185240.4397</v>
      </c>
      <c r="T9" s="1129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</row>
    <row r="10" ht="14.25" customHeight="1">
      <c r="A10" s="1"/>
      <c r="B10" s="89" t="s">
        <v>640</v>
      </c>
      <c r="C10" s="89"/>
      <c r="D10" s="89"/>
      <c r="E10" s="1135">
        <f>'E Budg CY'!L16</f>
        <v>-893562</v>
      </c>
      <c r="F10" s="1138"/>
      <c r="G10" s="1135">
        <f>'P Fcast 5yr'!G12</f>
        <v>-1088743</v>
      </c>
      <c r="H10" s="1135">
        <f t="shared" ref="H10:M10" si="9">$G10*$I$1*H$2</f>
        <v>-16653.66312</v>
      </c>
      <c r="I10" s="1135">
        <f t="shared" si="9"/>
        <v>-111024.4208</v>
      </c>
      <c r="J10" s="1135">
        <f t="shared" si="9"/>
        <v>-249804.9469</v>
      </c>
      <c r="K10" s="1135">
        <f t="shared" si="9"/>
        <v>-111024.4208</v>
      </c>
      <c r="L10" s="1135">
        <f t="shared" si="9"/>
        <v>-49960.98937</v>
      </c>
      <c r="M10" s="1135">
        <f t="shared" si="9"/>
        <v>-16653.66312</v>
      </c>
      <c r="N10" s="1135">
        <f t="shared" ref="N10:S10" si="10">$G10*$O$1*N$2</f>
        <v>-106724.1792</v>
      </c>
      <c r="O10" s="1135">
        <f t="shared" si="10"/>
        <v>-240129.4031</v>
      </c>
      <c r="P10" s="1135">
        <f t="shared" si="10"/>
        <v>-106724.1792</v>
      </c>
      <c r="Q10" s="1135">
        <f t="shared" si="10"/>
        <v>-48025.88063</v>
      </c>
      <c r="R10" s="1135">
        <f t="shared" si="10"/>
        <v>-21344.83583</v>
      </c>
      <c r="S10" s="1135">
        <f t="shared" si="10"/>
        <v>-10672.41792</v>
      </c>
      <c r="T10" s="1129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</row>
    <row r="11" ht="14.25" customHeight="1">
      <c r="A11" s="1"/>
      <c r="B11" s="89" t="s">
        <v>642</v>
      </c>
      <c r="C11" s="89"/>
      <c r="D11" s="89"/>
      <c r="E11" s="1135">
        <f>E9+E10</f>
        <v>15377881</v>
      </c>
      <c r="F11" s="1135"/>
      <c r="G11" s="1135">
        <f t="shared" ref="G11:S11" si="11">G9+G10</f>
        <v>17808496</v>
      </c>
      <c r="H11" s="1135">
        <f t="shared" si="11"/>
        <v>272402.8473</v>
      </c>
      <c r="I11" s="1135">
        <f t="shared" si="11"/>
        <v>1816018.982</v>
      </c>
      <c r="J11" s="1135">
        <f t="shared" si="11"/>
        <v>4086042.709</v>
      </c>
      <c r="K11" s="1135">
        <f t="shared" si="11"/>
        <v>1816018.982</v>
      </c>
      <c r="L11" s="1135">
        <f t="shared" si="11"/>
        <v>817208.5418</v>
      </c>
      <c r="M11" s="1135">
        <f t="shared" si="11"/>
        <v>272402.8473</v>
      </c>
      <c r="N11" s="1135">
        <f t="shared" si="11"/>
        <v>1745680.218</v>
      </c>
      <c r="O11" s="1135">
        <f t="shared" si="11"/>
        <v>3927780.491</v>
      </c>
      <c r="P11" s="1135">
        <f t="shared" si="11"/>
        <v>1745680.218</v>
      </c>
      <c r="Q11" s="1135">
        <f t="shared" si="11"/>
        <v>785556.0982</v>
      </c>
      <c r="R11" s="1135">
        <f t="shared" si="11"/>
        <v>349136.0437</v>
      </c>
      <c r="S11" s="1135">
        <f t="shared" si="11"/>
        <v>174568.0218</v>
      </c>
      <c r="T11" s="1129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</row>
    <row r="12" ht="14.25" customHeight="1">
      <c r="A12" s="1"/>
      <c r="B12" s="132" t="s">
        <v>645</v>
      </c>
      <c r="C12" s="132"/>
      <c r="D12" s="132"/>
      <c r="E12" s="1142">
        <f>E7+E11</f>
        <v>40917331</v>
      </c>
      <c r="F12" s="1143"/>
      <c r="G12" s="438">
        <f t="shared" ref="G12:S12" si="12">G7+G11</f>
        <v>47699289.07</v>
      </c>
      <c r="H12" s="438">
        <f t="shared" si="12"/>
        <v>729619.2871</v>
      </c>
      <c r="I12" s="438">
        <f t="shared" si="12"/>
        <v>4864128.581</v>
      </c>
      <c r="J12" s="438">
        <f t="shared" si="12"/>
        <v>10944289.31</v>
      </c>
      <c r="K12" s="438">
        <f t="shared" si="12"/>
        <v>4864128.581</v>
      </c>
      <c r="L12" s="438">
        <f t="shared" si="12"/>
        <v>2188857.861</v>
      </c>
      <c r="M12" s="438">
        <f t="shared" si="12"/>
        <v>729619.2871</v>
      </c>
      <c r="N12" s="438">
        <f t="shared" si="12"/>
        <v>4675729.234</v>
      </c>
      <c r="O12" s="438">
        <f t="shared" si="12"/>
        <v>10520390.78</v>
      </c>
      <c r="P12" s="438">
        <f t="shared" si="12"/>
        <v>4675729.234</v>
      </c>
      <c r="Q12" s="438">
        <f t="shared" si="12"/>
        <v>2104078.155</v>
      </c>
      <c r="R12" s="438">
        <f t="shared" si="12"/>
        <v>935145.8468</v>
      </c>
      <c r="S12" s="438">
        <f t="shared" si="12"/>
        <v>467572.9234</v>
      </c>
      <c r="T12" s="1144">
        <f>G12/E12-1</f>
        <v>0.1657478117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</row>
    <row r="13" ht="14.25" customHeight="1">
      <c r="A13" s="1"/>
      <c r="B13" s="132" t="s">
        <v>646</v>
      </c>
      <c r="C13" s="132"/>
      <c r="D13" s="132"/>
      <c r="E13" s="1146">
        <f>'E Budg CY'!N22</f>
        <v>9417500</v>
      </c>
      <c r="F13" s="1147"/>
      <c r="G13" s="1148">
        <f>'P Fcast 5yr'!G16</f>
        <v>10044010.32</v>
      </c>
      <c r="H13" s="1135">
        <f t="shared" ref="H13:M13" si="13">$G13*$I$1*H$2</f>
        <v>153635.49</v>
      </c>
      <c r="I13" s="1135">
        <f t="shared" si="13"/>
        <v>1024236.6</v>
      </c>
      <c r="J13" s="1135">
        <f t="shared" si="13"/>
        <v>2304532.35</v>
      </c>
      <c r="K13" s="1135">
        <f t="shared" si="13"/>
        <v>1024236.6</v>
      </c>
      <c r="L13" s="1135">
        <f t="shared" si="13"/>
        <v>460906.47</v>
      </c>
      <c r="M13" s="1135">
        <f t="shared" si="13"/>
        <v>153635.49</v>
      </c>
      <c r="N13" s="1135">
        <f t="shared" ref="N13:S13" si="14">$G13*$O$1*N$2</f>
        <v>984565.4641</v>
      </c>
      <c r="O13" s="1135">
        <f t="shared" si="14"/>
        <v>2215272.294</v>
      </c>
      <c r="P13" s="1135">
        <f t="shared" si="14"/>
        <v>984565.4641</v>
      </c>
      <c r="Q13" s="1135">
        <f t="shared" si="14"/>
        <v>443054.4588</v>
      </c>
      <c r="R13" s="1135">
        <f t="shared" si="14"/>
        <v>196913.0928</v>
      </c>
      <c r="S13" s="1135">
        <f t="shared" si="14"/>
        <v>98456.54641</v>
      </c>
      <c r="T13" s="1151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</row>
    <row r="14" ht="14.25" customHeight="1">
      <c r="A14" s="1"/>
      <c r="B14" s="741" t="s">
        <v>649</v>
      </c>
      <c r="C14" s="741"/>
      <c r="D14" s="741"/>
      <c r="E14" s="1152">
        <f>E12+E13</f>
        <v>50334831</v>
      </c>
      <c r="F14" s="1153"/>
      <c r="G14" s="1152">
        <f t="shared" ref="G14:S14" si="15">G12+G13</f>
        <v>57743299.39</v>
      </c>
      <c r="H14" s="1152">
        <f t="shared" si="15"/>
        <v>883254.7771</v>
      </c>
      <c r="I14" s="1152">
        <f t="shared" si="15"/>
        <v>5888365.181</v>
      </c>
      <c r="J14" s="1152">
        <f t="shared" si="15"/>
        <v>13248821.66</v>
      </c>
      <c r="K14" s="1152">
        <f t="shared" si="15"/>
        <v>5888365.181</v>
      </c>
      <c r="L14" s="1152">
        <f t="shared" si="15"/>
        <v>2649764.331</v>
      </c>
      <c r="M14" s="1152">
        <f t="shared" si="15"/>
        <v>883254.7771</v>
      </c>
      <c r="N14" s="1152">
        <f t="shared" si="15"/>
        <v>5660294.698</v>
      </c>
      <c r="O14" s="1152">
        <f t="shared" si="15"/>
        <v>12735663.07</v>
      </c>
      <c r="P14" s="1152">
        <f t="shared" si="15"/>
        <v>5660294.698</v>
      </c>
      <c r="Q14" s="1152">
        <f t="shared" si="15"/>
        <v>2547132.614</v>
      </c>
      <c r="R14" s="1152">
        <f t="shared" si="15"/>
        <v>1132058.94</v>
      </c>
      <c r="S14" s="1152">
        <f t="shared" si="15"/>
        <v>566029.4698</v>
      </c>
      <c r="T14" s="1151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</row>
    <row r="15" ht="14.25" customHeight="1">
      <c r="A15" s="1"/>
      <c r="B15" s="132" t="s">
        <v>652</v>
      </c>
      <c r="C15" s="132"/>
      <c r="D15" s="132"/>
      <c r="E15" s="1142">
        <f>'E Budg CY'!N40</f>
        <v>6623000</v>
      </c>
      <c r="F15" s="1154"/>
      <c r="G15" s="1155">
        <f>'P Fcast 5yr'!G17</f>
        <v>5542000</v>
      </c>
      <c r="H15" s="291">
        <f>$G15*0.03</f>
        <v>166260</v>
      </c>
      <c r="I15" s="291">
        <f>$G15*0.04</f>
        <v>221680</v>
      </c>
      <c r="J15" s="291">
        <f>$G15*0.05</f>
        <v>277100</v>
      </c>
      <c r="K15" s="291">
        <f>$G15*0.06</f>
        <v>332520</v>
      </c>
      <c r="L15" s="291">
        <f>$G15*0.07</f>
        <v>387940</v>
      </c>
      <c r="M15" s="291">
        <f>$G15*0.2</f>
        <v>1108400</v>
      </c>
      <c r="N15" s="291">
        <f>$G15*0.03</f>
        <v>166260</v>
      </c>
      <c r="O15" s="291">
        <f>$G15*0.04</f>
        <v>221680</v>
      </c>
      <c r="P15" s="291">
        <f>$G15*0.05</f>
        <v>277100</v>
      </c>
      <c r="Q15" s="291">
        <f>$G15*0.06</f>
        <v>332520</v>
      </c>
      <c r="R15" s="291">
        <f>$G15*0.07</f>
        <v>387940</v>
      </c>
      <c r="S15" s="291">
        <f>$G15*0.3</f>
        <v>1662600</v>
      </c>
      <c r="T15" s="1151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</row>
    <row r="16" ht="14.25" customHeight="1">
      <c r="A16" s="1"/>
      <c r="B16" s="132" t="s">
        <v>656</v>
      </c>
      <c r="C16" s="132"/>
      <c r="D16" s="132"/>
      <c r="E16" s="1142">
        <f>'E Budg CY'!N44</f>
        <v>5774308</v>
      </c>
      <c r="F16" s="1154"/>
      <c r="G16" s="1155">
        <f>'P Fcast 5yr'!G19</f>
        <v>5439130.817</v>
      </c>
      <c r="H16" s="1155"/>
      <c r="I16" s="1155"/>
      <c r="J16" s="1155"/>
      <c r="K16" s="1155"/>
      <c r="L16" s="1155">
        <f>$G16/2</f>
        <v>2719565.409</v>
      </c>
      <c r="M16" s="1155"/>
      <c r="N16" s="1155"/>
      <c r="O16" s="1155"/>
      <c r="P16" s="1155"/>
      <c r="Q16" s="1155">
        <f>$G16/2</f>
        <v>2719565.409</v>
      </c>
      <c r="R16" s="1155"/>
      <c r="S16" s="1155"/>
      <c r="T16" s="1151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</row>
    <row r="17" ht="32.25" customHeight="1">
      <c r="A17" s="1"/>
      <c r="B17" s="1159" t="s">
        <v>658</v>
      </c>
      <c r="C17" s="1159"/>
      <c r="D17" s="1159"/>
      <c r="E17" s="1160">
        <f>SUM(E14:E16)</f>
        <v>62732139</v>
      </c>
      <c r="F17" s="1161"/>
      <c r="G17" s="1160">
        <f t="shared" ref="G17:S17" si="16">SUM(G14:G16)</f>
        <v>68724430.21</v>
      </c>
      <c r="H17" s="1160">
        <f t="shared" si="16"/>
        <v>1049514.777</v>
      </c>
      <c r="I17" s="1160">
        <f t="shared" si="16"/>
        <v>6110045.181</v>
      </c>
      <c r="J17" s="1160">
        <f t="shared" si="16"/>
        <v>13525921.66</v>
      </c>
      <c r="K17" s="1160">
        <f t="shared" si="16"/>
        <v>6220885.181</v>
      </c>
      <c r="L17" s="1160">
        <f t="shared" si="16"/>
        <v>5757269.74</v>
      </c>
      <c r="M17" s="1160">
        <f t="shared" si="16"/>
        <v>1991654.777</v>
      </c>
      <c r="N17" s="1160">
        <f t="shared" si="16"/>
        <v>5826554.698</v>
      </c>
      <c r="O17" s="1160">
        <f t="shared" si="16"/>
        <v>12957343.07</v>
      </c>
      <c r="P17" s="1160">
        <f t="shared" si="16"/>
        <v>5937394.698</v>
      </c>
      <c r="Q17" s="1160">
        <f t="shared" si="16"/>
        <v>5599218.023</v>
      </c>
      <c r="R17" s="1160">
        <f t="shared" si="16"/>
        <v>1519998.94</v>
      </c>
      <c r="S17" s="1160">
        <f t="shared" si="16"/>
        <v>2228629.47</v>
      </c>
      <c r="T17" s="1144">
        <f>G17/E17-1</f>
        <v>0.09552186975</v>
      </c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</row>
    <row r="18" ht="7.5" customHeight="1">
      <c r="A18" s="1"/>
      <c r="B18" s="89"/>
      <c r="C18" s="89"/>
      <c r="D18" s="89"/>
      <c r="E18" s="89"/>
      <c r="F18" s="89"/>
      <c r="G18" s="89"/>
      <c r="H18" s="438"/>
      <c r="I18" s="438"/>
      <c r="J18" s="438"/>
      <c r="K18" s="438"/>
      <c r="L18" s="438"/>
      <c r="M18" s="438"/>
      <c r="N18" s="438"/>
      <c r="O18" s="438"/>
      <c r="P18" s="438"/>
      <c r="Q18" s="438"/>
      <c r="R18" s="438"/>
      <c r="S18" s="438"/>
      <c r="T18" s="437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</row>
    <row r="19" ht="16.5" customHeight="1">
      <c r="A19" s="1"/>
      <c r="B19" s="158" t="s">
        <v>660</v>
      </c>
      <c r="C19" s="158"/>
      <c r="D19" s="158"/>
      <c r="E19" s="1142"/>
      <c r="F19" s="1154"/>
      <c r="G19" s="158"/>
      <c r="H19" s="940">
        <v>0.06</v>
      </c>
      <c r="I19" s="940">
        <v>0.07</v>
      </c>
      <c r="J19" s="940">
        <v>0.15</v>
      </c>
      <c r="K19" s="940">
        <v>0.09</v>
      </c>
      <c r="L19" s="940">
        <v>0.07</v>
      </c>
      <c r="M19" s="940">
        <v>0.07</v>
      </c>
      <c r="N19" s="940">
        <v>0.07</v>
      </c>
      <c r="O19" s="940">
        <v>0.1</v>
      </c>
      <c r="P19" s="940">
        <v>0.08</v>
      </c>
      <c r="Q19" s="940">
        <v>0.07</v>
      </c>
      <c r="R19" s="940">
        <v>0.07</v>
      </c>
      <c r="S19" s="940">
        <v>0.1</v>
      </c>
      <c r="T19" s="940">
        <f>SUM(H19:S19)</f>
        <v>1</v>
      </c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</row>
    <row r="20" ht="14.25" customHeight="1">
      <c r="A20" s="1"/>
      <c r="B20" s="89" t="s">
        <v>662</v>
      </c>
      <c r="C20" s="89"/>
      <c r="D20" s="89"/>
      <c r="E20" s="1142">
        <f>SUM('E Budg CY'!L50:L62)</f>
        <v>36462423.71</v>
      </c>
      <c r="F20" s="1129"/>
      <c r="G20" s="1155">
        <f>'P Fcast 5yr'!G24</f>
        <v>37482130.83</v>
      </c>
      <c r="H20" s="1155">
        <f t="shared" ref="H20:S20" si="17">$G20*H19</f>
        <v>2248927.85</v>
      </c>
      <c r="I20" s="1155">
        <f t="shared" si="17"/>
        <v>2623749.158</v>
      </c>
      <c r="J20" s="1155">
        <f t="shared" si="17"/>
        <v>5622319.624</v>
      </c>
      <c r="K20" s="1155">
        <f t="shared" si="17"/>
        <v>3373391.775</v>
      </c>
      <c r="L20" s="1155">
        <f t="shared" si="17"/>
        <v>2623749.158</v>
      </c>
      <c r="M20" s="1155">
        <f t="shared" si="17"/>
        <v>2623749.158</v>
      </c>
      <c r="N20" s="1155">
        <f t="shared" si="17"/>
        <v>2623749.158</v>
      </c>
      <c r="O20" s="1155">
        <f t="shared" si="17"/>
        <v>3748213.083</v>
      </c>
      <c r="P20" s="1155">
        <f t="shared" si="17"/>
        <v>2998570.466</v>
      </c>
      <c r="Q20" s="1155">
        <f t="shared" si="17"/>
        <v>2623749.158</v>
      </c>
      <c r="R20" s="1155">
        <f t="shared" si="17"/>
        <v>2623749.158</v>
      </c>
      <c r="S20" s="1155">
        <f t="shared" si="17"/>
        <v>3748213.083</v>
      </c>
      <c r="T20" s="437"/>
      <c r="U20" s="1166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</row>
    <row r="21" ht="14.25" customHeight="1">
      <c r="A21" s="1"/>
      <c r="B21" s="89" t="s">
        <v>663</v>
      </c>
      <c r="C21" s="89"/>
      <c r="D21" s="89"/>
      <c r="E21" s="1142">
        <f>'E Budg CY'!L68</f>
        <v>2834988</v>
      </c>
      <c r="F21" s="1129"/>
      <c r="G21" s="1155">
        <f>'P Fcast 5yr'!G25</f>
        <v>3032700</v>
      </c>
      <c r="H21" s="1155">
        <f t="shared" ref="H21:S21" si="18">$G21/12</f>
        <v>252725</v>
      </c>
      <c r="I21" s="1155">
        <f t="shared" si="18"/>
        <v>252725</v>
      </c>
      <c r="J21" s="1155">
        <f t="shared" si="18"/>
        <v>252725</v>
      </c>
      <c r="K21" s="1155">
        <f t="shared" si="18"/>
        <v>252725</v>
      </c>
      <c r="L21" s="1155">
        <f t="shared" si="18"/>
        <v>252725</v>
      </c>
      <c r="M21" s="1155">
        <f t="shared" si="18"/>
        <v>252725</v>
      </c>
      <c r="N21" s="1155">
        <f t="shared" si="18"/>
        <v>252725</v>
      </c>
      <c r="O21" s="1155">
        <f t="shared" si="18"/>
        <v>252725</v>
      </c>
      <c r="P21" s="1155">
        <f t="shared" si="18"/>
        <v>252725</v>
      </c>
      <c r="Q21" s="1155">
        <f t="shared" si="18"/>
        <v>252725</v>
      </c>
      <c r="R21" s="1155">
        <f t="shared" si="18"/>
        <v>252725</v>
      </c>
      <c r="S21" s="1155">
        <f t="shared" si="18"/>
        <v>252725</v>
      </c>
      <c r="T21" s="437"/>
      <c r="U21" s="1166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</row>
    <row r="22" ht="14.25" customHeight="1">
      <c r="A22" s="1"/>
      <c r="B22" s="89" t="s">
        <v>129</v>
      </c>
      <c r="C22" s="89"/>
      <c r="D22" s="89"/>
      <c r="E22" s="1142">
        <f>'E Budg CY'!L74</f>
        <v>8377045</v>
      </c>
      <c r="F22" s="1129"/>
      <c r="G22" s="1155">
        <f>'P Fcast 5yr'!G26</f>
        <v>8415372</v>
      </c>
      <c r="H22" s="291">
        <f t="shared" ref="H22:I22" si="19">$G22*H$2*$I$1</f>
        <v>128723.464</v>
      </c>
      <c r="I22" s="291">
        <f t="shared" si="19"/>
        <v>858156.4266</v>
      </c>
      <c r="J22" s="291">
        <f t="shared" ref="J22:M22" si="20">$G22*J2*$I1</f>
        <v>1930851.96</v>
      </c>
      <c r="K22" s="291">
        <f t="shared" si="20"/>
        <v>858156.4266</v>
      </c>
      <c r="L22" s="291">
        <f t="shared" si="20"/>
        <v>386170.392</v>
      </c>
      <c r="M22" s="291">
        <f t="shared" si="20"/>
        <v>128723.464</v>
      </c>
      <c r="N22" s="291">
        <f t="shared" ref="N22:O22" si="21">$G22*N$2*$O$1</f>
        <v>824917.9734</v>
      </c>
      <c r="O22" s="291">
        <f t="shared" si="21"/>
        <v>1856065.44</v>
      </c>
      <c r="P22" s="291">
        <f t="shared" ref="P22:S22" si="22">$G22*P2*$O1</f>
        <v>824917.9734</v>
      </c>
      <c r="Q22" s="291">
        <f t="shared" si="22"/>
        <v>371213.088</v>
      </c>
      <c r="R22" s="291">
        <f t="shared" si="22"/>
        <v>164983.5947</v>
      </c>
      <c r="S22" s="291">
        <f t="shared" si="22"/>
        <v>82491.79734</v>
      </c>
      <c r="T22" s="437"/>
      <c r="U22" s="1166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</row>
    <row r="23" ht="14.25" customHeight="1">
      <c r="A23" s="1"/>
      <c r="B23" s="89" t="s">
        <v>207</v>
      </c>
      <c r="C23" s="89"/>
      <c r="D23" s="89"/>
      <c r="E23" s="438">
        <f>'P Fcast 5yr'!E27</f>
        <v>6339780</v>
      </c>
      <c r="F23" s="1129"/>
      <c r="G23" s="438">
        <f>'P Fcast 5yr'!G27</f>
        <v>6801342</v>
      </c>
      <c r="H23" s="438">
        <f t="shared" ref="H23:S23" si="23">$G23/12</f>
        <v>566778.5</v>
      </c>
      <c r="I23" s="438">
        <f t="shared" si="23"/>
        <v>566778.5</v>
      </c>
      <c r="J23" s="438">
        <f t="shared" si="23"/>
        <v>566778.5</v>
      </c>
      <c r="K23" s="438">
        <f t="shared" si="23"/>
        <v>566778.5</v>
      </c>
      <c r="L23" s="438">
        <f t="shared" si="23"/>
        <v>566778.5</v>
      </c>
      <c r="M23" s="438">
        <f t="shared" si="23"/>
        <v>566778.5</v>
      </c>
      <c r="N23" s="438">
        <f t="shared" si="23"/>
        <v>566778.5</v>
      </c>
      <c r="O23" s="438">
        <f t="shared" si="23"/>
        <v>566778.5</v>
      </c>
      <c r="P23" s="438">
        <f t="shared" si="23"/>
        <v>566778.5</v>
      </c>
      <c r="Q23" s="438">
        <f t="shared" si="23"/>
        <v>566778.5</v>
      </c>
      <c r="R23" s="438">
        <f t="shared" si="23"/>
        <v>566778.5</v>
      </c>
      <c r="S23" s="438">
        <f t="shared" si="23"/>
        <v>566778.5</v>
      </c>
      <c r="T23" s="437"/>
      <c r="U23" s="1166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</row>
    <row r="24" ht="14.25" customHeight="1">
      <c r="A24" s="1"/>
      <c r="B24" s="89" t="s">
        <v>667</v>
      </c>
      <c r="C24" s="89"/>
      <c r="D24" s="89"/>
      <c r="E24" s="1142">
        <v>0.0</v>
      </c>
      <c r="F24" s="1129"/>
      <c r="G24" s="291">
        <f>'P Fcast 5yr'!G28</f>
        <v>105000</v>
      </c>
      <c r="H24" s="438">
        <f t="shared" ref="H24:S24" si="24">$G24/12</f>
        <v>8750</v>
      </c>
      <c r="I24" s="438">
        <f t="shared" si="24"/>
        <v>8750</v>
      </c>
      <c r="J24" s="438">
        <f t="shared" si="24"/>
        <v>8750</v>
      </c>
      <c r="K24" s="438">
        <f t="shared" si="24"/>
        <v>8750</v>
      </c>
      <c r="L24" s="438">
        <f t="shared" si="24"/>
        <v>8750</v>
      </c>
      <c r="M24" s="438">
        <f t="shared" si="24"/>
        <v>8750</v>
      </c>
      <c r="N24" s="438">
        <f t="shared" si="24"/>
        <v>8750</v>
      </c>
      <c r="O24" s="438">
        <f t="shared" si="24"/>
        <v>8750</v>
      </c>
      <c r="P24" s="438">
        <f t="shared" si="24"/>
        <v>8750</v>
      </c>
      <c r="Q24" s="438">
        <f t="shared" si="24"/>
        <v>8750</v>
      </c>
      <c r="R24" s="438">
        <f t="shared" si="24"/>
        <v>8750</v>
      </c>
      <c r="S24" s="438">
        <f t="shared" si="24"/>
        <v>8750</v>
      </c>
      <c r="T24" s="437"/>
      <c r="U24" s="1166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</row>
    <row r="25" ht="14.25" customHeight="1">
      <c r="A25" s="1"/>
      <c r="B25" s="89" t="s">
        <v>118</v>
      </c>
      <c r="C25" s="89"/>
      <c r="D25" s="89"/>
      <c r="E25" s="1142">
        <f>'E Budg CY'!L66</f>
        <v>1392731.288</v>
      </c>
      <c r="F25" s="1129"/>
      <c r="G25" s="291">
        <f>'P Fcast 5yr'!G29</f>
        <v>1497652.397</v>
      </c>
      <c r="H25" s="438">
        <f t="shared" ref="H25:S25" si="25">$G25/12</f>
        <v>124804.3664</v>
      </c>
      <c r="I25" s="438">
        <f t="shared" si="25"/>
        <v>124804.3664</v>
      </c>
      <c r="J25" s="438">
        <f t="shared" si="25"/>
        <v>124804.3664</v>
      </c>
      <c r="K25" s="438">
        <f t="shared" si="25"/>
        <v>124804.3664</v>
      </c>
      <c r="L25" s="438">
        <f t="shared" si="25"/>
        <v>124804.3664</v>
      </c>
      <c r="M25" s="438">
        <f t="shared" si="25"/>
        <v>124804.3664</v>
      </c>
      <c r="N25" s="438">
        <f t="shared" si="25"/>
        <v>124804.3664</v>
      </c>
      <c r="O25" s="438">
        <f t="shared" si="25"/>
        <v>124804.3664</v>
      </c>
      <c r="P25" s="438">
        <f t="shared" si="25"/>
        <v>124804.3664</v>
      </c>
      <c r="Q25" s="438">
        <f t="shared" si="25"/>
        <v>124804.3664</v>
      </c>
      <c r="R25" s="438">
        <f t="shared" si="25"/>
        <v>124804.3664</v>
      </c>
      <c r="S25" s="438">
        <f t="shared" si="25"/>
        <v>124804.3664</v>
      </c>
      <c r="T25" s="437"/>
      <c r="U25" s="1166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</row>
    <row r="26" ht="14.25" customHeight="1">
      <c r="A26" s="1"/>
      <c r="B26" s="89" t="s">
        <v>669</v>
      </c>
      <c r="C26" s="89"/>
      <c r="D26" s="89"/>
      <c r="E26" s="1142" t="str">
        <f>'E Budg CY'!L76</f>
        <v/>
      </c>
      <c r="F26" s="1129"/>
      <c r="G26" s="291">
        <f>'P Fcast 5yr'!G30</f>
        <v>231140</v>
      </c>
      <c r="H26" s="291"/>
      <c r="I26" s="291"/>
      <c r="J26" s="1"/>
      <c r="K26" s="291">
        <f>$G26*0.6</f>
        <v>138684</v>
      </c>
      <c r="L26" s="291"/>
      <c r="M26" s="291"/>
      <c r="N26" s="291"/>
      <c r="O26" s="291"/>
      <c r="P26" s="291">
        <f>$G26*0.4</f>
        <v>92456</v>
      </c>
      <c r="Q26" s="291"/>
      <c r="R26" s="291"/>
      <c r="S26" s="291"/>
      <c r="T26" s="437"/>
      <c r="U26" s="1166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</row>
    <row r="27" ht="14.25" customHeight="1">
      <c r="A27" s="1"/>
      <c r="B27" s="89" t="s">
        <v>671</v>
      </c>
      <c r="C27" s="89"/>
      <c r="D27" s="89"/>
      <c r="E27" s="1135" t="str">
        <f>'D PY Audit'!M72</f>
        <v/>
      </c>
      <c r="F27" s="1129"/>
      <c r="G27" s="1135" t="str">
        <f>'P Fcast 5yr'!G31</f>
        <v/>
      </c>
      <c r="H27" s="1135">
        <v>0.0</v>
      </c>
      <c r="I27" s="1135">
        <v>0.0</v>
      </c>
      <c r="J27" s="1135">
        <v>0.0</v>
      </c>
      <c r="K27" s="1135">
        <v>0.0</v>
      </c>
      <c r="L27" s="1135">
        <v>0.0</v>
      </c>
      <c r="M27" s="1135">
        <v>0.0</v>
      </c>
      <c r="N27" s="1135">
        <v>0.0</v>
      </c>
      <c r="O27" s="1135">
        <v>0.0</v>
      </c>
      <c r="P27" s="1135">
        <v>0.0</v>
      </c>
      <c r="Q27" s="1135">
        <v>0.0</v>
      </c>
      <c r="R27" s="1135">
        <v>0.0</v>
      </c>
      <c r="S27" s="1135">
        <v>0.0</v>
      </c>
      <c r="T27" s="437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</row>
    <row r="28" ht="14.25" customHeight="1">
      <c r="A28" s="1"/>
      <c r="B28" s="1167" t="s">
        <v>660</v>
      </c>
      <c r="C28" s="1167"/>
      <c r="D28" s="1167"/>
      <c r="E28" s="1168">
        <f>SUM(E20:E27)</f>
        <v>55406968</v>
      </c>
      <c r="F28" s="1169"/>
      <c r="G28" s="1168">
        <f t="shared" ref="G28:S28" si="26">SUM(G20:G27)</f>
        <v>57565337.22</v>
      </c>
      <c r="H28" s="1168">
        <f t="shared" si="26"/>
        <v>3330709.18</v>
      </c>
      <c r="I28" s="1168">
        <f t="shared" si="26"/>
        <v>4434963.451</v>
      </c>
      <c r="J28" s="1168">
        <f t="shared" si="26"/>
        <v>8506229.45</v>
      </c>
      <c r="K28" s="1168">
        <f t="shared" si="26"/>
        <v>5323290.067</v>
      </c>
      <c r="L28" s="1168">
        <f t="shared" si="26"/>
        <v>3962977.416</v>
      </c>
      <c r="M28" s="1168">
        <f t="shared" si="26"/>
        <v>3705530.488</v>
      </c>
      <c r="N28" s="1168">
        <f t="shared" si="26"/>
        <v>4401724.998</v>
      </c>
      <c r="O28" s="1168">
        <f t="shared" si="26"/>
        <v>6557336.389</v>
      </c>
      <c r="P28" s="1168">
        <f t="shared" si="26"/>
        <v>4869002.306</v>
      </c>
      <c r="Q28" s="1168">
        <f t="shared" si="26"/>
        <v>3948020.112</v>
      </c>
      <c r="R28" s="1168">
        <f t="shared" si="26"/>
        <v>3741790.619</v>
      </c>
      <c r="S28" s="1168">
        <f t="shared" si="26"/>
        <v>4783762.747</v>
      </c>
      <c r="T28" s="437"/>
      <c r="U28" s="1166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</row>
    <row r="29" ht="14.25" customHeight="1">
      <c r="A29" s="1"/>
      <c r="B29" s="1170" t="s">
        <v>674</v>
      </c>
      <c r="C29" s="1170"/>
      <c r="D29" s="1170"/>
      <c r="E29" s="1171">
        <f>E17-E28</f>
        <v>7325171</v>
      </c>
      <c r="F29" s="1172"/>
      <c r="G29" s="1171">
        <f t="shared" ref="G29:S29" si="27">G17-G28</f>
        <v>11159092.99</v>
      </c>
      <c r="H29" s="1171">
        <f t="shared" si="27"/>
        <v>-2281194.403</v>
      </c>
      <c r="I29" s="1171">
        <f t="shared" si="27"/>
        <v>1675081.73</v>
      </c>
      <c r="J29" s="1171">
        <f t="shared" si="27"/>
        <v>5019692.206</v>
      </c>
      <c r="K29" s="1171">
        <f t="shared" si="27"/>
        <v>897595.1131</v>
      </c>
      <c r="L29" s="1171">
        <f t="shared" si="27"/>
        <v>1794292.323</v>
      </c>
      <c r="M29" s="1171">
        <f t="shared" si="27"/>
        <v>-1713875.711</v>
      </c>
      <c r="N29" s="1171">
        <f t="shared" si="27"/>
        <v>1424829.7</v>
      </c>
      <c r="O29" s="1171">
        <f t="shared" si="27"/>
        <v>6400006.682</v>
      </c>
      <c r="P29" s="1171">
        <f t="shared" si="27"/>
        <v>1068392.392</v>
      </c>
      <c r="Q29" s="1171">
        <f t="shared" si="27"/>
        <v>1651197.91</v>
      </c>
      <c r="R29" s="1171">
        <f t="shared" si="27"/>
        <v>-2221791.679</v>
      </c>
      <c r="S29" s="1171">
        <f t="shared" si="27"/>
        <v>-2555133.277</v>
      </c>
      <c r="T29" s="437"/>
      <c r="U29" s="1166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</row>
    <row r="30" ht="14.25" customHeight="1">
      <c r="A30" s="1"/>
      <c r="B30" s="132" t="s">
        <v>676</v>
      </c>
      <c r="C30" s="132"/>
      <c r="D30" s="132"/>
      <c r="E30" s="1142"/>
      <c r="F30" s="1154"/>
      <c r="G30" s="1142"/>
      <c r="H30" s="1155"/>
      <c r="I30" s="1155"/>
      <c r="J30" s="1155"/>
      <c r="K30" s="1155"/>
      <c r="L30" s="1155"/>
      <c r="M30" s="1155"/>
      <c r="N30" s="1155"/>
      <c r="O30" s="1155"/>
      <c r="P30" s="1155"/>
      <c r="Q30" s="1155"/>
      <c r="R30" s="1155"/>
      <c r="S30" s="1155"/>
      <c r="T30" s="437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</row>
    <row r="31" ht="14.25" customHeight="1">
      <c r="A31" s="1"/>
      <c r="B31" s="89" t="s">
        <v>677</v>
      </c>
      <c r="C31" s="132"/>
      <c r="D31" s="132"/>
      <c r="E31" s="1142"/>
      <c r="F31" s="1154"/>
      <c r="G31" s="1155">
        <f>-'M Non student'!F119</f>
        <v>-2125000</v>
      </c>
      <c r="H31" s="438">
        <f t="shared" ref="H31:S31" si="28">$G31/12</f>
        <v>-177083.3333</v>
      </c>
      <c r="I31" s="438">
        <f t="shared" si="28"/>
        <v>-177083.3333</v>
      </c>
      <c r="J31" s="438">
        <f t="shared" si="28"/>
        <v>-177083.3333</v>
      </c>
      <c r="K31" s="438">
        <f t="shared" si="28"/>
        <v>-177083.3333</v>
      </c>
      <c r="L31" s="438">
        <f t="shared" si="28"/>
        <v>-177083.3333</v>
      </c>
      <c r="M31" s="438">
        <f t="shared" si="28"/>
        <v>-177083.3333</v>
      </c>
      <c r="N31" s="438">
        <f t="shared" si="28"/>
        <v>-177083.3333</v>
      </c>
      <c r="O31" s="438">
        <f t="shared" si="28"/>
        <v>-177083.3333</v>
      </c>
      <c r="P31" s="438">
        <f t="shared" si="28"/>
        <v>-177083.3333</v>
      </c>
      <c r="Q31" s="438">
        <f t="shared" si="28"/>
        <v>-177083.3333</v>
      </c>
      <c r="R31" s="438">
        <f t="shared" si="28"/>
        <v>-177083.3333</v>
      </c>
      <c r="S31" s="438">
        <f t="shared" si="28"/>
        <v>-177083.3333</v>
      </c>
      <c r="T31" s="437"/>
      <c r="U31" s="1166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</row>
    <row r="32" ht="14.25" customHeight="1">
      <c r="A32" s="1"/>
      <c r="B32" s="89" t="s">
        <v>679</v>
      </c>
      <c r="C32" s="132"/>
      <c r="D32" s="132"/>
      <c r="E32" s="1142"/>
      <c r="F32" s="1154"/>
      <c r="G32" s="1155">
        <f>-'L Capital'!L48+'L Capital'!L56</f>
        <v>-10000000</v>
      </c>
      <c r="H32" s="438">
        <f t="shared" ref="H32:S32" si="29">$G32/12</f>
        <v>-833333.3333</v>
      </c>
      <c r="I32" s="438">
        <f t="shared" si="29"/>
        <v>-833333.3333</v>
      </c>
      <c r="J32" s="438">
        <f t="shared" si="29"/>
        <v>-833333.3333</v>
      </c>
      <c r="K32" s="438">
        <f t="shared" si="29"/>
        <v>-833333.3333</v>
      </c>
      <c r="L32" s="438">
        <f t="shared" si="29"/>
        <v>-833333.3333</v>
      </c>
      <c r="M32" s="438">
        <f t="shared" si="29"/>
        <v>-833333.3333</v>
      </c>
      <c r="N32" s="438">
        <f t="shared" si="29"/>
        <v>-833333.3333</v>
      </c>
      <c r="O32" s="438">
        <f t="shared" si="29"/>
        <v>-833333.3333</v>
      </c>
      <c r="P32" s="438">
        <f t="shared" si="29"/>
        <v>-833333.3333</v>
      </c>
      <c r="Q32" s="438">
        <f t="shared" si="29"/>
        <v>-833333.3333</v>
      </c>
      <c r="R32" s="438">
        <f t="shared" si="29"/>
        <v>-833333.3333</v>
      </c>
      <c r="S32" s="438">
        <f t="shared" si="29"/>
        <v>-833333.3333</v>
      </c>
      <c r="T32" s="437"/>
      <c r="U32" s="1166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</row>
    <row r="33" ht="14.25" customHeight="1">
      <c r="A33" s="1"/>
      <c r="B33" s="89" t="s">
        <v>681</v>
      </c>
      <c r="C33" s="132"/>
      <c r="D33" s="132"/>
      <c r="E33" s="1142"/>
      <c r="F33" s="1154"/>
      <c r="G33" s="1155">
        <f>'L Capital'!L101</f>
        <v>3600000</v>
      </c>
      <c r="H33" s="438">
        <f t="shared" ref="H33:S33" si="30">$G33/12</f>
        <v>300000</v>
      </c>
      <c r="I33" s="438">
        <f t="shared" si="30"/>
        <v>300000</v>
      </c>
      <c r="J33" s="438">
        <f t="shared" si="30"/>
        <v>300000</v>
      </c>
      <c r="K33" s="438">
        <f t="shared" si="30"/>
        <v>300000</v>
      </c>
      <c r="L33" s="438">
        <f t="shared" si="30"/>
        <v>300000</v>
      </c>
      <c r="M33" s="438">
        <f t="shared" si="30"/>
        <v>300000</v>
      </c>
      <c r="N33" s="438">
        <f t="shared" si="30"/>
        <v>300000</v>
      </c>
      <c r="O33" s="438">
        <f t="shared" si="30"/>
        <v>300000</v>
      </c>
      <c r="P33" s="438">
        <f t="shared" si="30"/>
        <v>300000</v>
      </c>
      <c r="Q33" s="438">
        <f t="shared" si="30"/>
        <v>300000</v>
      </c>
      <c r="R33" s="438">
        <f t="shared" si="30"/>
        <v>300000</v>
      </c>
      <c r="S33" s="438">
        <f t="shared" si="30"/>
        <v>300000</v>
      </c>
      <c r="T33" s="437"/>
      <c r="U33" s="1166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</row>
    <row r="34" ht="14.25" customHeight="1">
      <c r="A34" s="1"/>
      <c r="B34" s="89" t="s">
        <v>682</v>
      </c>
      <c r="C34" s="132"/>
      <c r="D34" s="132"/>
      <c r="E34" s="1142"/>
      <c r="F34" s="1154"/>
      <c r="G34" s="1155">
        <f>-'M Non student'!F46-'M Non student'!F54+'M Non student'!F48+'M Non student'!F52</f>
        <v>-1100000</v>
      </c>
      <c r="H34" s="438">
        <f t="shared" ref="H34:S34" si="31">$G34/12</f>
        <v>-91666.66667</v>
      </c>
      <c r="I34" s="438">
        <f t="shared" si="31"/>
        <v>-91666.66667</v>
      </c>
      <c r="J34" s="438">
        <f t="shared" si="31"/>
        <v>-91666.66667</v>
      </c>
      <c r="K34" s="438">
        <f t="shared" si="31"/>
        <v>-91666.66667</v>
      </c>
      <c r="L34" s="438">
        <f t="shared" si="31"/>
        <v>-91666.66667</v>
      </c>
      <c r="M34" s="438">
        <f t="shared" si="31"/>
        <v>-91666.66667</v>
      </c>
      <c r="N34" s="438">
        <f t="shared" si="31"/>
        <v>-91666.66667</v>
      </c>
      <c r="O34" s="438">
        <f t="shared" si="31"/>
        <v>-91666.66667</v>
      </c>
      <c r="P34" s="438">
        <f t="shared" si="31"/>
        <v>-91666.66667</v>
      </c>
      <c r="Q34" s="438">
        <f t="shared" si="31"/>
        <v>-91666.66667</v>
      </c>
      <c r="R34" s="438">
        <f t="shared" si="31"/>
        <v>-91666.66667</v>
      </c>
      <c r="S34" s="438">
        <f t="shared" si="31"/>
        <v>-91666.66667</v>
      </c>
      <c r="T34" s="437"/>
      <c r="U34" s="1166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</row>
    <row r="35" ht="14.25" customHeight="1">
      <c r="A35" s="1"/>
      <c r="B35" s="89" t="s">
        <v>684</v>
      </c>
      <c r="C35" s="132"/>
      <c r="D35" s="132"/>
      <c r="E35" s="1142"/>
      <c r="F35" s="1154"/>
      <c r="G35" s="1155">
        <f>'L Capital'!L144</f>
        <v>7000000</v>
      </c>
      <c r="H35" s="438">
        <f>IF('L Capital'!$M150&lt;&gt;"",IF('L Capital'!$M150=12,'L Capital'!$L144,0),0)</f>
        <v>0</v>
      </c>
      <c r="I35" s="438">
        <f>IF('L Capital'!$M150&lt;&gt;"",IF('L Capital'!$M150=11,'L Capital'!$L144,0),0)</f>
        <v>0</v>
      </c>
      <c r="J35" s="438">
        <f>IF('L Capital'!$M150&lt;&gt;"",IF('L Capital'!$M150=10,'L Capital'!$L144,0),0)</f>
        <v>0</v>
      </c>
      <c r="K35" s="438">
        <f>IF('L Capital'!$M150&lt;&gt;"",IF('L Capital'!$M150=9,'L Capital'!$L144,0),0)</f>
        <v>0</v>
      </c>
      <c r="L35" s="438">
        <f>IF('L Capital'!$M150&lt;&gt;"",IF('L Capital'!$M150=8,'L Capital'!$L144,0),0)</f>
        <v>0</v>
      </c>
      <c r="M35" s="438">
        <f>IF('L Capital'!$M150&lt;&gt;"",IF('L Capital'!$M150=7,'L Capital'!$L144,0),0)</f>
        <v>0</v>
      </c>
      <c r="N35" s="438">
        <f>IF('L Capital'!$M150&lt;&gt;"",IF('L Capital'!$M150=6,'L Capital'!$L144,0),0)</f>
        <v>7000000</v>
      </c>
      <c r="O35" s="438">
        <f>IF('L Capital'!$M150&lt;&gt;"",IF('L Capital'!$M150=5,'L Capital'!$L144,0),0)</f>
        <v>0</v>
      </c>
      <c r="P35" s="438">
        <f>IF('L Capital'!$M150&lt;&gt;"",IF('L Capital'!$M150=4,'L Capital'!$L144,0),0)</f>
        <v>0</v>
      </c>
      <c r="Q35" s="438">
        <f>IF('L Capital'!$M150&lt;&gt;"",IF('L Capital'!$M150=3,'L Capital'!$L144,0),0)</f>
        <v>0</v>
      </c>
      <c r="R35" s="438">
        <f>IF('L Capital'!$M150&lt;&gt;"",IF('L Capital'!$M150=2,'L Capital'!$L144,0),0)</f>
        <v>0</v>
      </c>
      <c r="S35" s="438">
        <f>'L Capital'!L144-SUM('O Monthly Cash'!H35:R35)</f>
        <v>0</v>
      </c>
      <c r="T35" s="1173"/>
      <c r="U35" s="1166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</row>
    <row r="36" ht="14.25" customHeight="1">
      <c r="A36" s="1"/>
      <c r="B36" s="89" t="s">
        <v>685</v>
      </c>
      <c r="C36" s="132"/>
      <c r="D36" s="132"/>
      <c r="E36" s="1142"/>
      <c r="F36" s="1154"/>
      <c r="G36" s="1155">
        <f>-'L Capital'!L158-'L Capital'!L162</f>
        <v>-804435.1838</v>
      </c>
      <c r="H36" s="438">
        <f t="shared" ref="H36:S36" si="32">$G36/12</f>
        <v>-67036.26532</v>
      </c>
      <c r="I36" s="438">
        <f t="shared" si="32"/>
        <v>-67036.26532</v>
      </c>
      <c r="J36" s="438">
        <f t="shared" si="32"/>
        <v>-67036.26532</v>
      </c>
      <c r="K36" s="438">
        <f t="shared" si="32"/>
        <v>-67036.26532</v>
      </c>
      <c r="L36" s="438">
        <f t="shared" si="32"/>
        <v>-67036.26532</v>
      </c>
      <c r="M36" s="438">
        <f t="shared" si="32"/>
        <v>-67036.26532</v>
      </c>
      <c r="N36" s="438">
        <f t="shared" si="32"/>
        <v>-67036.26532</v>
      </c>
      <c r="O36" s="438">
        <f t="shared" si="32"/>
        <v>-67036.26532</v>
      </c>
      <c r="P36" s="438">
        <f t="shared" si="32"/>
        <v>-67036.26532</v>
      </c>
      <c r="Q36" s="438">
        <f t="shared" si="32"/>
        <v>-67036.26532</v>
      </c>
      <c r="R36" s="438">
        <f t="shared" si="32"/>
        <v>-67036.26532</v>
      </c>
      <c r="S36" s="438">
        <f t="shared" si="32"/>
        <v>-67036.26532</v>
      </c>
      <c r="T36" s="437"/>
      <c r="U36" s="1166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</row>
    <row r="37" ht="14.25" customHeight="1">
      <c r="A37" s="1"/>
      <c r="B37" s="89" t="s">
        <v>686</v>
      </c>
      <c r="C37" s="132"/>
      <c r="D37" s="132"/>
      <c r="E37" s="1142"/>
      <c r="F37" s="1154"/>
      <c r="G37" s="1155">
        <f>'M Non student'!F117</f>
        <v>900000</v>
      </c>
      <c r="H37" s="438">
        <f t="shared" ref="H37:S37" si="33">$G37/12</f>
        <v>75000</v>
      </c>
      <c r="I37" s="438">
        <f t="shared" si="33"/>
        <v>75000</v>
      </c>
      <c r="J37" s="438">
        <f t="shared" si="33"/>
        <v>75000</v>
      </c>
      <c r="K37" s="438">
        <f t="shared" si="33"/>
        <v>75000</v>
      </c>
      <c r="L37" s="438">
        <f t="shared" si="33"/>
        <v>75000</v>
      </c>
      <c r="M37" s="438">
        <f t="shared" si="33"/>
        <v>75000</v>
      </c>
      <c r="N37" s="438">
        <f t="shared" si="33"/>
        <v>75000</v>
      </c>
      <c r="O37" s="438">
        <f t="shared" si="33"/>
        <v>75000</v>
      </c>
      <c r="P37" s="438">
        <f t="shared" si="33"/>
        <v>75000</v>
      </c>
      <c r="Q37" s="438">
        <f t="shared" si="33"/>
        <v>75000</v>
      </c>
      <c r="R37" s="438">
        <f t="shared" si="33"/>
        <v>75000</v>
      </c>
      <c r="S37" s="438">
        <f t="shared" si="33"/>
        <v>75000</v>
      </c>
      <c r="T37" s="437"/>
      <c r="U37" s="1166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</row>
    <row r="38" ht="14.25" customHeight="1">
      <c r="A38" s="1"/>
      <c r="B38" s="89" t="s">
        <v>687</v>
      </c>
      <c r="C38" s="1"/>
      <c r="D38" s="1"/>
      <c r="E38" s="1155">
        <f>'E Budg CY'!N89</f>
        <v>-1030000</v>
      </c>
      <c r="F38" s="1173"/>
      <c r="G38" s="1155">
        <f>'M Non student'!F37</f>
        <v>-900070</v>
      </c>
      <c r="H38" s="438">
        <f t="shared" ref="H38:S38" si="34">$G38/12</f>
        <v>-75005.83333</v>
      </c>
      <c r="I38" s="438">
        <f t="shared" si="34"/>
        <v>-75005.83333</v>
      </c>
      <c r="J38" s="438">
        <f t="shared" si="34"/>
        <v>-75005.83333</v>
      </c>
      <c r="K38" s="438">
        <f t="shared" si="34"/>
        <v>-75005.83333</v>
      </c>
      <c r="L38" s="438">
        <f t="shared" si="34"/>
        <v>-75005.83333</v>
      </c>
      <c r="M38" s="438">
        <f t="shared" si="34"/>
        <v>-75005.83333</v>
      </c>
      <c r="N38" s="438">
        <f t="shared" si="34"/>
        <v>-75005.83333</v>
      </c>
      <c r="O38" s="438">
        <f t="shared" si="34"/>
        <v>-75005.83333</v>
      </c>
      <c r="P38" s="438">
        <f t="shared" si="34"/>
        <v>-75005.83333</v>
      </c>
      <c r="Q38" s="438">
        <f t="shared" si="34"/>
        <v>-75005.83333</v>
      </c>
      <c r="R38" s="438">
        <f t="shared" si="34"/>
        <v>-75005.83333</v>
      </c>
      <c r="S38" s="438">
        <f t="shared" si="34"/>
        <v>-75005.83333</v>
      </c>
      <c r="T38" s="1174"/>
      <c r="U38" s="1166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</row>
    <row r="39" ht="14.25" customHeight="1">
      <c r="A39" s="1"/>
      <c r="B39" s="89" t="s">
        <v>688</v>
      </c>
      <c r="C39" s="1"/>
      <c r="D39" s="1"/>
      <c r="E39" s="1155"/>
      <c r="F39" s="1173"/>
      <c r="G39" s="1155">
        <f>'R Bal sheets'!F9+'R Bal sheets'!F17-'R Bal sheets'!F30-'R Bal sheets'!H9-'R Bal sheets'!H17+'R Bal sheets'!H30</f>
        <v>-718550.991</v>
      </c>
      <c r="H39" s="438">
        <f t="shared" ref="H39:S39" si="35">$G39/12</f>
        <v>-59879.24925</v>
      </c>
      <c r="I39" s="438">
        <f t="shared" si="35"/>
        <v>-59879.24925</v>
      </c>
      <c r="J39" s="438">
        <f t="shared" si="35"/>
        <v>-59879.24925</v>
      </c>
      <c r="K39" s="438">
        <f t="shared" si="35"/>
        <v>-59879.24925</v>
      </c>
      <c r="L39" s="438">
        <f t="shared" si="35"/>
        <v>-59879.24925</v>
      </c>
      <c r="M39" s="438">
        <f t="shared" si="35"/>
        <v>-59879.24925</v>
      </c>
      <c r="N39" s="438">
        <f t="shared" si="35"/>
        <v>-59879.24925</v>
      </c>
      <c r="O39" s="438">
        <f t="shared" si="35"/>
        <v>-59879.24925</v>
      </c>
      <c r="P39" s="438">
        <f t="shared" si="35"/>
        <v>-59879.24925</v>
      </c>
      <c r="Q39" s="438">
        <f t="shared" si="35"/>
        <v>-59879.24925</v>
      </c>
      <c r="R39" s="438">
        <f t="shared" si="35"/>
        <v>-59879.24925</v>
      </c>
      <c r="S39" s="438">
        <f t="shared" si="35"/>
        <v>-59879.24925</v>
      </c>
      <c r="T39" s="1174"/>
      <c r="U39" s="1166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</row>
    <row r="40" ht="14.25" customHeight="1">
      <c r="A40" s="1"/>
      <c r="B40" s="89" t="s">
        <v>689</v>
      </c>
      <c r="C40" s="1"/>
      <c r="D40" s="1"/>
      <c r="E40" s="1155"/>
      <c r="F40" s="1173"/>
      <c r="G40" s="438">
        <f>'R Bal sheets'!H24-'R Bal sheets'!F24</f>
        <v>434987.6797</v>
      </c>
      <c r="H40" s="438">
        <f>($G40+'M Non student'!$D31-'M Non student'!$F31)/12-'M Non student'!$D31/2</f>
        <v>-59584.36003</v>
      </c>
      <c r="I40" s="438">
        <f>($G40+'M Non student'!$D31-'M Non student'!$F31)/12-'M Non student'!$D31/4</f>
        <v>-9584.360027</v>
      </c>
      <c r="J40" s="438">
        <f>($G40+'M Non student'!$D31-'M Non student'!$F31)/12-'M Non student'!$D31/4</f>
        <v>-9584.360027</v>
      </c>
      <c r="K40" s="438">
        <f>($G40+'M Non student'!$D31-'M Non student'!$F31)/12</f>
        <v>40415.63997</v>
      </c>
      <c r="L40" s="438">
        <f>($G40+'M Non student'!$D31-'M Non student'!$F31)/12</f>
        <v>40415.63997</v>
      </c>
      <c r="M40" s="438">
        <f>($G40+'M Non student'!$D31-'M Non student'!$F31)/12</f>
        <v>40415.63997</v>
      </c>
      <c r="N40" s="438">
        <f>($G40+'M Non student'!$D31-'M Non student'!$F31)/12</f>
        <v>40415.63997</v>
      </c>
      <c r="O40" s="438">
        <f>($G40+'M Non student'!$D31-'M Non student'!$F31)/12</f>
        <v>40415.63997</v>
      </c>
      <c r="P40" s="438">
        <f>($G40+'M Non student'!$D31-'M Non student'!$F31)/12</f>
        <v>40415.63997</v>
      </c>
      <c r="Q40" s="438">
        <f>($G40+'M Non student'!$D31-'M Non student'!$F31)/12</f>
        <v>40415.63997</v>
      </c>
      <c r="R40" s="438">
        <f>($G40+'M Non student'!$D31-'M Non student'!$F31)/12</f>
        <v>40415.63997</v>
      </c>
      <c r="S40" s="438">
        <f>($G40+'M Non student'!$D31-'M Non student'!$F31)/12+'M Non student'!$F31</f>
        <v>190415.64</v>
      </c>
      <c r="T40" s="1174"/>
      <c r="U40" s="1166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</row>
    <row r="41" ht="14.25" customHeight="1">
      <c r="A41" s="1"/>
      <c r="B41" s="1"/>
      <c r="C41" s="245" t="s">
        <v>690</v>
      </c>
      <c r="D41" s="1175">
        <f>'L Capital'!L172</f>
        <v>7</v>
      </c>
      <c r="E41" s="1155"/>
      <c r="F41" s="1173"/>
      <c r="G41" s="438">
        <f>'R Bal sheets'!H26-'R Bal sheets'!F26</f>
        <v>1000000</v>
      </c>
      <c r="H41" s="438">
        <f>VLOOKUP($D41,$D110:$R122,4)</f>
        <v>-600000</v>
      </c>
      <c r="I41" s="438">
        <f>VLOOKUP($D41,$D110:$R122,5)</f>
        <v>-200000</v>
      </c>
      <c r="J41" s="438">
        <f>VLOOKUP($D41,$D110:$R122,6)</f>
        <v>-150000</v>
      </c>
      <c r="K41" s="438">
        <f>VLOOKUP($D41,$D110:$R122,7)</f>
        <v>-50000</v>
      </c>
      <c r="L41" s="438" t="str">
        <f>VLOOKUP($D41,$D110:$R122,8)</f>
        <v/>
      </c>
      <c r="M41" s="438" t="str">
        <f>VLOOKUP($D41,$D110:$R122,9)</f>
        <v/>
      </c>
      <c r="N41" s="438" t="str">
        <f>VLOOKUP($D41,$D110:$R122,10)</f>
        <v/>
      </c>
      <c r="O41" s="438" t="str">
        <f>VLOOKUP($D41,$D110:$R122,11)</f>
        <v/>
      </c>
      <c r="P41" s="438">
        <f>VLOOKUP($D41,$D110:$R122,12)</f>
        <v>200000</v>
      </c>
      <c r="Q41" s="438">
        <f>VLOOKUP($D41,$D110:$R122,13)</f>
        <v>400000</v>
      </c>
      <c r="R41" s="438">
        <f>VLOOKUP($D41,$D110:$R122,14)</f>
        <v>600000</v>
      </c>
      <c r="S41" s="438">
        <f>VLOOKUP($D41,$D110:$R122,15)</f>
        <v>800000</v>
      </c>
      <c r="T41" s="1174"/>
      <c r="U41" s="1166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</row>
    <row r="42" ht="14.25" customHeight="1">
      <c r="A42" s="1"/>
      <c r="B42" s="89" t="s">
        <v>691</v>
      </c>
      <c r="C42" s="1"/>
      <c r="D42" s="1"/>
      <c r="E42" s="1155"/>
      <c r="F42" s="1173"/>
      <c r="G42" s="1148">
        <f>-'M Non student'!H99</f>
        <v>0</v>
      </c>
      <c r="H42" s="1148">
        <f t="shared" ref="H42:S42" si="36">$G42/12</f>
        <v>0</v>
      </c>
      <c r="I42" s="1148">
        <f t="shared" si="36"/>
        <v>0</v>
      </c>
      <c r="J42" s="1148">
        <f t="shared" si="36"/>
        <v>0</v>
      </c>
      <c r="K42" s="1148">
        <f t="shared" si="36"/>
        <v>0</v>
      </c>
      <c r="L42" s="1148">
        <f t="shared" si="36"/>
        <v>0</v>
      </c>
      <c r="M42" s="1148">
        <f t="shared" si="36"/>
        <v>0</v>
      </c>
      <c r="N42" s="1148">
        <f t="shared" si="36"/>
        <v>0</v>
      </c>
      <c r="O42" s="1148">
        <f t="shared" si="36"/>
        <v>0</v>
      </c>
      <c r="P42" s="1148">
        <f t="shared" si="36"/>
        <v>0</v>
      </c>
      <c r="Q42" s="1148">
        <f t="shared" si="36"/>
        <v>0</v>
      </c>
      <c r="R42" s="1148">
        <f t="shared" si="36"/>
        <v>0</v>
      </c>
      <c r="S42" s="1148">
        <f t="shared" si="36"/>
        <v>0</v>
      </c>
      <c r="T42" s="1174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</row>
    <row r="43" ht="14.25" customHeight="1">
      <c r="A43" s="1"/>
      <c r="B43" s="132" t="s">
        <v>692</v>
      </c>
      <c r="C43" s="89"/>
      <c r="D43" s="89"/>
      <c r="E43" s="291"/>
      <c r="F43" s="1120"/>
      <c r="G43" s="1176">
        <f t="shared" ref="G43:S43" si="37">SUM(G31:G42)</f>
        <v>-2713068.495</v>
      </c>
      <c r="H43" s="1176">
        <f t="shared" si="37"/>
        <v>-1588589.041</v>
      </c>
      <c r="I43" s="1176">
        <f t="shared" si="37"/>
        <v>-1138589.041</v>
      </c>
      <c r="J43" s="1176">
        <f t="shared" si="37"/>
        <v>-1088589.041</v>
      </c>
      <c r="K43" s="1176">
        <f t="shared" si="37"/>
        <v>-938589.0413</v>
      </c>
      <c r="L43" s="1176">
        <f t="shared" si="37"/>
        <v>-888589.0413</v>
      </c>
      <c r="M43" s="1176">
        <f t="shared" si="37"/>
        <v>-888589.0413</v>
      </c>
      <c r="N43" s="1176">
        <f t="shared" si="37"/>
        <v>6111410.959</v>
      </c>
      <c r="O43" s="1176">
        <f t="shared" si="37"/>
        <v>-888589.0413</v>
      </c>
      <c r="P43" s="1176">
        <f t="shared" si="37"/>
        <v>-688589.0413</v>
      </c>
      <c r="Q43" s="1176">
        <f t="shared" si="37"/>
        <v>-488589.0413</v>
      </c>
      <c r="R43" s="1176">
        <f t="shared" si="37"/>
        <v>-288589.0413</v>
      </c>
      <c r="S43" s="1176">
        <f t="shared" si="37"/>
        <v>61410.95874</v>
      </c>
      <c r="T43" s="1174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</row>
    <row r="44" ht="14.25" customHeight="1">
      <c r="A44" s="1"/>
      <c r="B44" s="132" t="s">
        <v>693</v>
      </c>
      <c r="C44" s="158"/>
      <c r="D44" s="158"/>
      <c r="E44" s="1177">
        <f>E28+E30</f>
        <v>55406968</v>
      </c>
      <c r="F44" s="1154"/>
      <c r="G44" s="1178">
        <f t="shared" ref="G44:S44" si="38">G29+G43</f>
        <v>8446024.491</v>
      </c>
      <c r="H44" s="1178">
        <f t="shared" si="38"/>
        <v>-3869783.444</v>
      </c>
      <c r="I44" s="1178">
        <f t="shared" si="38"/>
        <v>536492.6884</v>
      </c>
      <c r="J44" s="1178">
        <f t="shared" si="38"/>
        <v>3931103.165</v>
      </c>
      <c r="K44" s="1178">
        <f t="shared" si="38"/>
        <v>-40993.92818</v>
      </c>
      <c r="L44" s="1178">
        <f t="shared" si="38"/>
        <v>905703.2822</v>
      </c>
      <c r="M44" s="1178">
        <f t="shared" si="38"/>
        <v>-2602464.753</v>
      </c>
      <c r="N44" s="1178">
        <f t="shared" si="38"/>
        <v>7536240.659</v>
      </c>
      <c r="O44" s="1178">
        <f t="shared" si="38"/>
        <v>5511417.64</v>
      </c>
      <c r="P44" s="1178">
        <f t="shared" si="38"/>
        <v>379803.3509</v>
      </c>
      <c r="Q44" s="1178">
        <f t="shared" si="38"/>
        <v>1162608.869</v>
      </c>
      <c r="R44" s="1178">
        <f t="shared" si="38"/>
        <v>-2510380.721</v>
      </c>
      <c r="S44" s="1178">
        <f t="shared" si="38"/>
        <v>-2493722.318</v>
      </c>
      <c r="T44" s="1144">
        <f>G44/E44-1</f>
        <v>-0.8475638571</v>
      </c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</row>
    <row r="45" ht="25.5" customHeight="1">
      <c r="A45" s="1"/>
      <c r="B45" s="1179" t="s">
        <v>694</v>
      </c>
      <c r="C45" s="1180"/>
      <c r="D45" s="1180"/>
      <c r="E45" s="1181">
        <f>'R Bal sheets'!F7</f>
        <v>6514000</v>
      </c>
      <c r="F45" s="1182"/>
      <c r="G45" s="1183">
        <f>E45+G44</f>
        <v>14960024.49</v>
      </c>
      <c r="H45" s="1183">
        <f>E45+H44</f>
        <v>2644216.556</v>
      </c>
      <c r="I45" s="1183">
        <f t="shared" ref="I45:S45" si="39">H45+I44</f>
        <v>3180709.244</v>
      </c>
      <c r="J45" s="1183">
        <f t="shared" si="39"/>
        <v>7111812.409</v>
      </c>
      <c r="K45" s="1183">
        <f t="shared" si="39"/>
        <v>7070818.481</v>
      </c>
      <c r="L45" s="1183">
        <f t="shared" si="39"/>
        <v>7976521.763</v>
      </c>
      <c r="M45" s="1183">
        <f t="shared" si="39"/>
        <v>5374057.01</v>
      </c>
      <c r="N45" s="1183">
        <f t="shared" si="39"/>
        <v>12910297.67</v>
      </c>
      <c r="O45" s="1183">
        <f t="shared" si="39"/>
        <v>18421715.31</v>
      </c>
      <c r="P45" s="1183">
        <f t="shared" si="39"/>
        <v>18801518.66</v>
      </c>
      <c r="Q45" s="1183">
        <f t="shared" si="39"/>
        <v>19964127.53</v>
      </c>
      <c r="R45" s="1183">
        <f t="shared" si="39"/>
        <v>17453746.81</v>
      </c>
      <c r="S45" s="1183">
        <f t="shared" si="39"/>
        <v>14960024.49</v>
      </c>
      <c r="T45" s="1144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</row>
    <row r="46" ht="15.75" customHeight="1">
      <c r="A46" s="1"/>
      <c r="B46" s="1"/>
      <c r="C46" s="89"/>
      <c r="D46" s="89"/>
      <c r="E46" s="89"/>
      <c r="F46" s="1120"/>
      <c r="G46" s="1184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120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</row>
    <row r="47" ht="14.25" customHeight="1">
      <c r="A47" s="1"/>
      <c r="B47" s="8" t="str">
        <f>'A Cover'!G$8</f>
        <v>Example University</v>
      </c>
      <c r="C47" s="89"/>
      <c r="D47" s="89"/>
      <c r="E47" s="553" t="str">
        <f>'F Population'!$N$6</f>
        <v>2025 - 26</v>
      </c>
      <c r="F47" s="1130"/>
      <c r="G47" s="553" t="str">
        <f>'F Population'!$P$6</f>
        <v>2026 - 27</v>
      </c>
      <c r="H47" s="1131">
        <v>45497.0</v>
      </c>
      <c r="I47" s="1131">
        <f t="shared" ref="I47:S47" si="40">H47+30</f>
        <v>45527</v>
      </c>
      <c r="J47" s="1131">
        <f t="shared" si="40"/>
        <v>45557</v>
      </c>
      <c r="K47" s="1131">
        <f t="shared" si="40"/>
        <v>45587</v>
      </c>
      <c r="L47" s="1131">
        <f t="shared" si="40"/>
        <v>45617</v>
      </c>
      <c r="M47" s="1131">
        <f t="shared" si="40"/>
        <v>45647</v>
      </c>
      <c r="N47" s="1131">
        <f t="shared" si="40"/>
        <v>45677</v>
      </c>
      <c r="O47" s="1131">
        <f t="shared" si="40"/>
        <v>45707</v>
      </c>
      <c r="P47" s="1131">
        <f t="shared" si="40"/>
        <v>45737</v>
      </c>
      <c r="Q47" s="1131">
        <f t="shared" si="40"/>
        <v>45767</v>
      </c>
      <c r="R47" s="1131">
        <f t="shared" si="40"/>
        <v>45797</v>
      </c>
      <c r="S47" s="1131">
        <f t="shared" si="40"/>
        <v>45827</v>
      </c>
      <c r="T47" s="1120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</row>
    <row r="48" ht="14.25" customHeight="1">
      <c r="A48" s="1"/>
      <c r="B48" s="152" t="s">
        <v>216</v>
      </c>
      <c r="C48" s="152"/>
      <c r="D48" s="152"/>
      <c r="E48" s="1155"/>
      <c r="F48" s="1155"/>
      <c r="G48" s="1155"/>
      <c r="H48" s="1155"/>
      <c r="I48" s="1155"/>
      <c r="J48" s="1155"/>
      <c r="K48" s="1155"/>
      <c r="L48" s="1155"/>
      <c r="M48" s="1155"/>
      <c r="N48" s="1155"/>
      <c r="O48" s="1155"/>
      <c r="P48" s="1155"/>
      <c r="Q48" s="1155"/>
      <c r="R48" s="1155"/>
      <c r="S48" s="1155"/>
      <c r="T48" s="1130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</row>
    <row r="49" ht="14.25" customHeight="1">
      <c r="A49" s="1"/>
      <c r="B49" s="1185" t="s">
        <v>695</v>
      </c>
      <c r="C49" s="89"/>
      <c r="D49" s="89"/>
      <c r="E49" s="1155">
        <f>'P Fcast 5yr'!E55</f>
        <v>388171</v>
      </c>
      <c r="F49" s="1120"/>
      <c r="G49" s="1155">
        <f>'P Fcast 5yr'!G55</f>
        <v>21953496.61</v>
      </c>
      <c r="H49" s="1155"/>
      <c r="I49" s="1155"/>
      <c r="J49" s="1155"/>
      <c r="K49" s="1155"/>
      <c r="L49" s="1155"/>
      <c r="M49" s="1155"/>
      <c r="N49" s="1155"/>
      <c r="O49" s="1155"/>
      <c r="P49" s="1155"/>
      <c r="Q49" s="1155"/>
      <c r="R49" s="1155"/>
      <c r="S49" s="1155"/>
      <c r="T49" s="1120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</row>
    <row r="50" ht="14.25" customHeight="1">
      <c r="A50" s="1"/>
      <c r="B50" s="1186" t="s">
        <v>696</v>
      </c>
      <c r="C50" s="89"/>
      <c r="D50" s="89"/>
      <c r="E50" s="1155" t="str">
        <f>'P Fcast 5yr'!E56</f>
        <v/>
      </c>
      <c r="F50" s="1120"/>
      <c r="G50" s="1155">
        <f>'P Fcast 5yr'!G56</f>
        <v>7039635.775</v>
      </c>
      <c r="H50" s="1155"/>
      <c r="I50" s="1155"/>
      <c r="J50" s="1155"/>
      <c r="K50" s="1155"/>
      <c r="L50" s="1155"/>
      <c r="M50" s="1155"/>
      <c r="N50" s="1155"/>
      <c r="O50" s="1155"/>
      <c r="P50" s="1155"/>
      <c r="Q50" s="1155"/>
      <c r="R50" s="1155"/>
      <c r="S50" s="1155"/>
      <c r="T50" s="1120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</row>
    <row r="51" ht="14.25" customHeight="1">
      <c r="A51" s="1"/>
      <c r="B51" s="1185" t="s">
        <v>221</v>
      </c>
      <c r="C51" s="89"/>
      <c r="D51" s="89"/>
      <c r="E51" s="1155" t="str">
        <f>'P Fcast 5yr'!E58</f>
        <v>See</v>
      </c>
      <c r="F51" s="1120"/>
      <c r="G51" s="1155">
        <f>'P Fcast 5yr'!G57</f>
        <v>-9409109.403</v>
      </c>
      <c r="H51" s="1155"/>
      <c r="I51" s="1"/>
      <c r="J51" s="1155"/>
      <c r="K51" s="1155"/>
      <c r="L51" s="1155"/>
      <c r="M51" s="1155"/>
      <c r="N51" s="1155"/>
      <c r="O51" s="1155"/>
      <c r="P51" s="1155"/>
      <c r="Q51" s="1155"/>
      <c r="R51" s="1155"/>
      <c r="S51" s="1155"/>
      <c r="T51" s="1120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</row>
    <row r="52" ht="14.25" customHeight="1">
      <c r="A52" s="1"/>
      <c r="B52" s="1185" t="s">
        <v>220</v>
      </c>
      <c r="C52" s="89"/>
      <c r="D52" s="89"/>
      <c r="E52" s="1155" t="str">
        <f>'P Fcast 5yr'!E57</f>
        <v/>
      </c>
      <c r="F52" s="1120"/>
      <c r="G52" s="1155">
        <f>'P Fcast 5yr'!G58</f>
        <v>-918550.991</v>
      </c>
      <c r="H52" s="1155"/>
      <c r="I52" s="1155"/>
      <c r="J52" s="1155"/>
      <c r="K52" s="1155"/>
      <c r="L52" s="1155"/>
      <c r="M52" s="1155"/>
      <c r="N52" s="1155"/>
      <c r="O52" s="1155"/>
      <c r="P52" s="1155"/>
      <c r="Q52" s="1155"/>
      <c r="R52" s="1155"/>
      <c r="S52" s="1155"/>
      <c r="T52" s="1120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</row>
    <row r="53" ht="14.25" customHeight="1">
      <c r="A53" s="1"/>
      <c r="B53" s="89" t="s">
        <v>223</v>
      </c>
      <c r="C53" s="89"/>
      <c r="D53" s="89"/>
      <c r="E53" s="1155" t="str">
        <f>'P Fcast 5yr'!E59</f>
        <v>     Audited</v>
      </c>
      <c r="F53" s="1120"/>
      <c r="G53" s="1155">
        <f>'P Fcast 5yr'!G59</f>
        <v>434987.6797</v>
      </c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1120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</row>
    <row r="54" ht="14.25" customHeight="1">
      <c r="A54" s="1"/>
      <c r="B54" s="89" t="s">
        <v>697</v>
      </c>
      <c r="C54" s="89"/>
      <c r="D54" s="89"/>
      <c r="E54" s="1155" t="str">
        <f>'P Fcast 5yr'!E60</f>
        <v/>
      </c>
      <c r="F54" s="1120"/>
      <c r="G54" s="1155">
        <f>'P Fcast 5yr'!G60</f>
        <v>0</v>
      </c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1120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</row>
    <row r="55" ht="14.25" customHeight="1">
      <c r="A55" s="1"/>
      <c r="B55" s="89" t="s">
        <v>226</v>
      </c>
      <c r="C55" s="158"/>
      <c r="D55" s="158"/>
      <c r="E55" s="1155" t="str">
        <f>'P Fcast 5yr'!E61</f>
        <v/>
      </c>
      <c r="F55" s="1132"/>
      <c r="G55" s="1155">
        <f>'P Fcast 5yr'!G61</f>
        <v>1000000</v>
      </c>
      <c r="H55" s="438"/>
      <c r="I55" s="438"/>
      <c r="J55" s="438"/>
      <c r="K55" s="438"/>
      <c r="L55" s="438"/>
      <c r="M55" s="438"/>
      <c r="N55" s="438"/>
      <c r="O55" s="438"/>
      <c r="P55" s="438"/>
      <c r="Q55" s="438"/>
      <c r="R55" s="438"/>
      <c r="S55" s="438"/>
      <c r="T55" s="1132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</row>
    <row r="56" ht="14.25" customHeight="1">
      <c r="A56" s="1"/>
      <c r="B56" s="89" t="s">
        <v>698</v>
      </c>
      <c r="C56" s="89"/>
      <c r="D56" s="89"/>
      <c r="E56" s="1155" t="str">
        <f>'P Fcast 5yr'!E62</f>
        <v>        Statements</v>
      </c>
      <c r="F56" s="1120"/>
      <c r="G56" s="1155">
        <f>'P Fcast 5yr'!G62</f>
        <v>6195564.816</v>
      </c>
      <c r="H56" s="438"/>
      <c r="I56" s="438"/>
      <c r="J56" s="438"/>
      <c r="K56" s="438"/>
      <c r="L56" s="438"/>
      <c r="M56" s="438"/>
      <c r="N56" s="438"/>
      <c r="O56" s="438"/>
      <c r="P56" s="438"/>
      <c r="Q56" s="438"/>
      <c r="R56" s="438"/>
      <c r="S56" s="438"/>
      <c r="T56" s="1120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</row>
    <row r="57" ht="14.25" customHeight="1">
      <c r="A57" s="1"/>
      <c r="B57" s="89" t="s">
        <v>229</v>
      </c>
      <c r="C57" s="89"/>
      <c r="D57" s="89"/>
      <c r="E57" s="438"/>
      <c r="F57" s="1120"/>
      <c r="G57" s="1155">
        <f>'P Fcast 5yr'!G63</f>
        <v>-10530000</v>
      </c>
      <c r="H57" s="438"/>
      <c r="I57" s="438"/>
      <c r="J57" s="438"/>
      <c r="K57" s="438"/>
      <c r="L57" s="438"/>
      <c r="M57" s="438"/>
      <c r="N57" s="438"/>
      <c r="O57" s="438"/>
      <c r="P57" s="438"/>
      <c r="Q57" s="438"/>
      <c r="R57" s="438"/>
      <c r="S57" s="438"/>
      <c r="T57" s="1120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</row>
    <row r="58" ht="14.25" customHeight="1">
      <c r="A58" s="1"/>
      <c r="B58" s="158" t="s">
        <v>230</v>
      </c>
      <c r="C58" s="341"/>
      <c r="D58" s="341"/>
      <c r="E58" s="341"/>
      <c r="F58" s="1187"/>
      <c r="G58" s="1155">
        <f>SUM(G49:G57)</f>
        <v>15766024.49</v>
      </c>
      <c r="H58" s="438"/>
      <c r="I58" s="438"/>
      <c r="J58" s="438"/>
      <c r="K58" s="438"/>
      <c r="L58" s="438"/>
      <c r="M58" s="438"/>
      <c r="N58" s="438"/>
      <c r="O58" s="438"/>
      <c r="P58" s="438"/>
      <c r="Q58" s="438"/>
      <c r="R58" s="438"/>
      <c r="S58" s="438"/>
      <c r="T58" s="1187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</row>
    <row r="59" ht="14.25" customHeight="1">
      <c r="A59" s="1"/>
      <c r="B59" s="89" t="s">
        <v>699</v>
      </c>
      <c r="C59" s="341"/>
      <c r="D59" s="341"/>
      <c r="E59" s="1"/>
      <c r="F59" s="1187"/>
      <c r="G59" s="1155">
        <f>'P Fcast 5yr'!G66</f>
        <v>6514000</v>
      </c>
      <c r="H59" s="1155"/>
      <c r="I59" s="1155"/>
      <c r="J59" s="1155"/>
      <c r="K59" s="1155"/>
      <c r="L59" s="1155"/>
      <c r="M59" s="1155"/>
      <c r="N59" s="1155"/>
      <c r="O59" s="1155"/>
      <c r="P59" s="1155"/>
      <c r="Q59" s="1155"/>
      <c r="R59" s="1155"/>
      <c r="S59" s="1155"/>
      <c r="T59" s="1187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</row>
    <row r="60" ht="14.25" customHeight="1">
      <c r="A60" s="1"/>
      <c r="B60" s="89" t="s">
        <v>700</v>
      </c>
      <c r="C60" s="341"/>
      <c r="D60" s="341"/>
      <c r="E60" s="1155">
        <f>'R Bal sheets'!F7</f>
        <v>6514000</v>
      </c>
      <c r="F60" s="1187"/>
      <c r="G60" s="1155">
        <f>G58+G59</f>
        <v>22280024.49</v>
      </c>
      <c r="H60" s="1155"/>
      <c r="I60" s="1155"/>
      <c r="J60" s="1155"/>
      <c r="K60" s="1155"/>
      <c r="L60" s="1155"/>
      <c r="M60" s="1155"/>
      <c r="N60" s="1155"/>
      <c r="O60" s="1155"/>
      <c r="P60" s="1155"/>
      <c r="Q60" s="1155"/>
      <c r="R60" s="1155"/>
      <c r="S60" s="1155"/>
      <c r="T60" s="1187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</row>
    <row r="61" ht="14.25" customHeight="1">
      <c r="A61" s="1"/>
      <c r="B61" s="341"/>
      <c r="C61" s="341"/>
      <c r="D61" s="341"/>
      <c r="E61" s="1155"/>
      <c r="F61" s="1187"/>
      <c r="G61" s="1155">
        <f>G60-G45</f>
        <v>7320000</v>
      </c>
      <c r="H61" s="1155"/>
      <c r="I61" s="1155"/>
      <c r="J61" s="1155"/>
      <c r="K61" s="1155"/>
      <c r="L61" s="1155"/>
      <c r="M61" s="1155"/>
      <c r="N61" s="1155"/>
      <c r="O61" s="1155"/>
      <c r="P61" s="1155"/>
      <c r="Q61" s="1155"/>
      <c r="R61" s="1155"/>
      <c r="S61" s="1155"/>
      <c r="T61" s="1187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</row>
    <row r="62" ht="14.25" customHeight="1">
      <c r="A62" s="1"/>
      <c r="B62" s="158" t="s">
        <v>701</v>
      </c>
      <c r="C62" s="341"/>
      <c r="D62" s="341"/>
      <c r="E62" s="1155">
        <f>-'R Bal sheets'!F26</f>
        <v>-1000000</v>
      </c>
      <c r="F62" s="1187"/>
      <c r="G62" s="1155">
        <f>-'R Bal sheets'!H26</f>
        <v>-2000000</v>
      </c>
      <c r="H62" s="1155"/>
      <c r="I62" s="1155"/>
      <c r="J62" s="1155"/>
      <c r="K62" s="1155"/>
      <c r="L62" s="1155"/>
      <c r="M62" s="1155"/>
      <c r="N62" s="1155"/>
      <c r="O62" s="1155"/>
      <c r="P62" s="1155"/>
      <c r="Q62" s="1155"/>
      <c r="R62" s="1155"/>
      <c r="S62" s="1155"/>
      <c r="T62" s="1187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</row>
    <row r="63" ht="14.25" customHeight="1">
      <c r="A63" s="1"/>
      <c r="B63" s="89" t="s">
        <v>703</v>
      </c>
      <c r="C63" s="341"/>
      <c r="D63" s="341"/>
      <c r="E63" s="1155">
        <f>E60</f>
        <v>6514000</v>
      </c>
      <c r="F63" s="1187"/>
      <c r="G63" s="1155">
        <f>G60</f>
        <v>22280024.49</v>
      </c>
      <c r="H63" s="1155"/>
      <c r="I63" s="1155"/>
      <c r="J63" s="1155"/>
      <c r="K63" s="1155"/>
      <c r="L63" s="1155"/>
      <c r="M63" s="1155"/>
      <c r="N63" s="1155"/>
      <c r="O63" s="1155"/>
      <c r="P63" s="1155"/>
      <c r="Q63" s="1155"/>
      <c r="R63" s="1155"/>
      <c r="S63" s="1155"/>
      <c r="T63" s="1187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</row>
    <row r="64" ht="14.25" customHeight="1">
      <c r="A64" s="1"/>
      <c r="B64" s="89" t="s">
        <v>704</v>
      </c>
      <c r="C64" s="341"/>
      <c r="D64" s="341"/>
      <c r="E64" s="438">
        <f>'R Bal sheets'!F13</f>
        <v>91599695</v>
      </c>
      <c r="F64" s="1187"/>
      <c r="G64" s="438">
        <f>'R Bal sheets'!H13</f>
        <v>101008804.4</v>
      </c>
      <c r="H64" s="438"/>
      <c r="I64" s="438"/>
      <c r="J64" s="438"/>
      <c r="K64" s="438"/>
      <c r="L64" s="438"/>
      <c r="M64" s="438"/>
      <c r="N64" s="438"/>
      <c r="O64" s="438"/>
      <c r="P64" s="438"/>
      <c r="Q64" s="438"/>
      <c r="R64" s="438"/>
      <c r="S64" s="438"/>
      <c r="T64" s="1187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</row>
    <row r="65" ht="14.25" customHeight="1">
      <c r="A65" s="1"/>
      <c r="B65" s="89" t="s">
        <v>705</v>
      </c>
      <c r="C65" s="341"/>
      <c r="D65" s="341"/>
      <c r="E65" s="438">
        <f>'R Bal sheets'!F11</f>
        <v>8866899</v>
      </c>
      <c r="F65" s="1187"/>
      <c r="G65" s="438">
        <f>'R Bal sheets'!H11</f>
        <v>9066899</v>
      </c>
      <c r="H65" s="438"/>
      <c r="I65" s="438"/>
      <c r="J65" s="438"/>
      <c r="K65" s="438"/>
      <c r="L65" s="438"/>
      <c r="M65" s="438"/>
      <c r="N65" s="438"/>
      <c r="O65" s="438"/>
      <c r="P65" s="438"/>
      <c r="Q65" s="438"/>
      <c r="R65" s="438"/>
      <c r="S65" s="438"/>
      <c r="T65" s="1187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</row>
    <row r="66" ht="14.25" customHeight="1">
      <c r="A66" s="1"/>
      <c r="B66" s="89" t="s">
        <v>706</v>
      </c>
      <c r="C66" s="158"/>
      <c r="D66" s="158"/>
      <c r="E66" s="438">
        <f>-'R Bal sheets'!F26</f>
        <v>-1000000</v>
      </c>
      <c r="F66" s="1132"/>
      <c r="G66" s="438">
        <f>-'R Bal sheets'!H26</f>
        <v>-2000000</v>
      </c>
      <c r="H66" s="438"/>
      <c r="I66" s="438"/>
      <c r="J66" s="438"/>
      <c r="K66" s="438"/>
      <c r="L66" s="438"/>
      <c r="M66" s="438"/>
      <c r="N66" s="438"/>
      <c r="O66" s="438"/>
      <c r="P66" s="438"/>
      <c r="Q66" s="438"/>
      <c r="R66" s="438"/>
      <c r="S66" s="438"/>
      <c r="T66" s="1132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</row>
    <row r="67" ht="14.25" customHeight="1">
      <c r="A67" s="1"/>
      <c r="B67" s="89" t="s">
        <v>707</v>
      </c>
      <c r="C67" s="89"/>
      <c r="D67" s="89"/>
      <c r="E67" s="438">
        <f>-'R Bal sheets'!F36-'R Bal sheets'!F38</f>
        <v>-123051888</v>
      </c>
      <c r="F67" s="940"/>
      <c r="G67" s="438">
        <f>-'R Bal sheets'!H36-'R Bal sheets'!H38</f>
        <v>-136001225.4</v>
      </c>
      <c r="H67" s="438"/>
      <c r="I67" s="438"/>
      <c r="J67" s="438"/>
      <c r="K67" s="438"/>
      <c r="L67" s="438"/>
      <c r="M67" s="438"/>
      <c r="N67" s="438"/>
      <c r="O67" s="438"/>
      <c r="P67" s="438"/>
      <c r="Q67" s="438"/>
      <c r="R67" s="438"/>
      <c r="S67" s="438"/>
      <c r="T67" s="940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</row>
    <row r="68" ht="14.25" customHeight="1">
      <c r="A68" s="1"/>
      <c r="B68" s="158" t="s">
        <v>708</v>
      </c>
      <c r="C68" s="89"/>
      <c r="D68" s="89"/>
      <c r="E68" s="438">
        <f>SUM(E63:E67)</f>
        <v>-17071294</v>
      </c>
      <c r="F68" s="940"/>
      <c r="G68" s="438">
        <f>SUM(G63:G67)</f>
        <v>-5645497.509</v>
      </c>
      <c r="H68" s="438"/>
      <c r="I68" s="438"/>
      <c r="J68" s="438"/>
      <c r="K68" s="438"/>
      <c r="L68" s="438"/>
      <c r="M68" s="438"/>
      <c r="N68" s="438"/>
      <c r="O68" s="438"/>
      <c r="P68" s="438"/>
      <c r="Q68" s="438"/>
      <c r="R68" s="438"/>
      <c r="S68" s="438"/>
      <c r="T68" s="940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</row>
    <row r="69" ht="14.25" customHeight="1">
      <c r="A69" s="1"/>
      <c r="B69" s="89"/>
      <c r="C69" s="89"/>
      <c r="D69" s="89"/>
      <c r="E69" s="438"/>
      <c r="F69" s="1188"/>
      <c r="G69" s="438"/>
      <c r="H69" s="438"/>
      <c r="I69" s="438"/>
      <c r="J69" s="438"/>
      <c r="K69" s="438"/>
      <c r="L69" s="438"/>
      <c r="M69" s="438"/>
      <c r="N69" s="438"/>
      <c r="O69" s="438"/>
      <c r="P69" s="438"/>
      <c r="Q69" s="438"/>
      <c r="R69" s="438"/>
      <c r="S69" s="438"/>
      <c r="T69" s="118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</row>
    <row r="70" ht="14.25" customHeight="1">
      <c r="A70" s="1"/>
      <c r="B70" s="1"/>
      <c r="C70" s="1"/>
      <c r="D70" s="1"/>
      <c r="E70" s="1"/>
      <c r="F70" s="117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173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</row>
    <row r="71" ht="14.25" customHeight="1">
      <c r="A71" s="1"/>
      <c r="B71" s="1"/>
      <c r="C71" s="1"/>
      <c r="D71" s="1"/>
      <c r="E71" s="1"/>
      <c r="F71" s="117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173"/>
      <c r="U71" s="438"/>
      <c r="V71" s="438"/>
      <c r="W71" s="438"/>
      <c r="X71" s="438"/>
      <c r="Y71" s="438"/>
      <c r="Z71" s="438"/>
      <c r="AA71" s="438"/>
      <c r="AB71" s="438"/>
      <c r="AC71" s="438"/>
      <c r="AD71" s="438"/>
      <c r="AE71" s="438"/>
      <c r="AF71" s="438"/>
      <c r="AG71" s="438"/>
      <c r="AH71" s="438"/>
      <c r="AI71" s="438"/>
      <c r="AJ71" s="438"/>
      <c r="AK71" s="438"/>
      <c r="AL71" s="438"/>
      <c r="AM71" s="438"/>
      <c r="AN71" s="438"/>
    </row>
    <row r="72" ht="14.25" customHeight="1">
      <c r="A72" s="1"/>
      <c r="B72" s="1"/>
      <c r="C72" s="1"/>
      <c r="D72" s="1"/>
      <c r="E72" s="1"/>
      <c r="F72" s="1173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173"/>
      <c r="U72" s="438"/>
      <c r="V72" s="438"/>
      <c r="W72" s="438"/>
      <c r="X72" s="438"/>
      <c r="Y72" s="438"/>
      <c r="Z72" s="438"/>
      <c r="AA72" s="438"/>
      <c r="AB72" s="438"/>
      <c r="AC72" s="438"/>
      <c r="AD72" s="438"/>
      <c r="AE72" s="438"/>
      <c r="AF72" s="438"/>
      <c r="AG72" s="438"/>
      <c r="AH72" s="438"/>
      <c r="AI72" s="438"/>
      <c r="AJ72" s="438"/>
      <c r="AK72" s="438"/>
      <c r="AL72" s="438"/>
      <c r="AM72" s="438"/>
      <c r="AN72" s="438"/>
    </row>
    <row r="73" ht="14.25" customHeight="1">
      <c r="A73" s="1"/>
      <c r="B73" s="1"/>
      <c r="C73" s="1"/>
      <c r="D73" s="1"/>
      <c r="E73" s="1"/>
      <c r="F73" s="117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173"/>
      <c r="U73" s="438"/>
      <c r="V73" s="438"/>
      <c r="W73" s="438"/>
      <c r="X73" s="438"/>
      <c r="Y73" s="438"/>
      <c r="Z73" s="438"/>
      <c r="AA73" s="438"/>
      <c r="AB73" s="438"/>
      <c r="AC73" s="438"/>
      <c r="AD73" s="438"/>
      <c r="AE73" s="438"/>
      <c r="AF73" s="438"/>
      <c r="AG73" s="438"/>
      <c r="AH73" s="438"/>
      <c r="AI73" s="438"/>
      <c r="AJ73" s="438"/>
      <c r="AK73" s="438"/>
      <c r="AL73" s="438"/>
      <c r="AM73" s="438"/>
      <c r="AN73" s="438"/>
    </row>
    <row r="74" ht="14.25" customHeight="1">
      <c r="A74" s="1"/>
      <c r="B74" s="1"/>
      <c r="C74" s="1"/>
      <c r="D74" s="1"/>
      <c r="E74" s="1"/>
      <c r="F74" s="1173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173"/>
      <c r="U74" s="438"/>
      <c r="V74" s="438"/>
      <c r="W74" s="438"/>
      <c r="X74" s="438"/>
      <c r="Y74" s="438"/>
      <c r="Z74" s="438"/>
      <c r="AA74" s="438"/>
      <c r="AB74" s="438"/>
      <c r="AC74" s="438"/>
      <c r="AD74" s="438"/>
      <c r="AE74" s="438"/>
      <c r="AF74" s="438"/>
      <c r="AG74" s="438"/>
      <c r="AH74" s="438"/>
      <c r="AI74" s="438"/>
      <c r="AJ74" s="438"/>
      <c r="AK74" s="438"/>
      <c r="AL74" s="438"/>
      <c r="AM74" s="438"/>
      <c r="AN74" s="438"/>
    </row>
    <row r="75" ht="14.25" customHeight="1">
      <c r="A75" s="1"/>
      <c r="B75" s="1"/>
      <c r="C75" s="1"/>
      <c r="D75" s="1"/>
      <c r="E75" s="1"/>
      <c r="F75" s="1173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173"/>
      <c r="U75" s="438"/>
      <c r="V75" s="438"/>
      <c r="W75" s="438"/>
      <c r="X75" s="438"/>
      <c r="Y75" s="438"/>
      <c r="Z75" s="438"/>
      <c r="AA75" s="438"/>
      <c r="AB75" s="438"/>
      <c r="AC75" s="438"/>
      <c r="AD75" s="438"/>
      <c r="AE75" s="438"/>
      <c r="AF75" s="438"/>
      <c r="AG75" s="438"/>
      <c r="AH75" s="438"/>
      <c r="AI75" s="438"/>
      <c r="AJ75" s="438"/>
      <c r="AK75" s="438"/>
      <c r="AL75" s="438"/>
      <c r="AM75" s="438"/>
      <c r="AN75" s="438"/>
    </row>
    <row r="76" ht="14.25" customHeight="1">
      <c r="A76" s="1"/>
      <c r="B76" s="1"/>
      <c r="C76" s="1"/>
      <c r="D76" s="1"/>
      <c r="E76" s="1"/>
      <c r="F76" s="117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173"/>
      <c r="U76" s="438"/>
      <c r="V76" s="438"/>
      <c r="W76" s="438"/>
      <c r="X76" s="438"/>
      <c r="Y76" s="438"/>
      <c r="Z76" s="438"/>
      <c r="AA76" s="438"/>
      <c r="AB76" s="438"/>
      <c r="AC76" s="438"/>
      <c r="AD76" s="438"/>
      <c r="AE76" s="438"/>
      <c r="AF76" s="438"/>
      <c r="AG76" s="438"/>
      <c r="AH76" s="438"/>
      <c r="AI76" s="438"/>
      <c r="AJ76" s="438"/>
      <c r="AK76" s="438"/>
      <c r="AL76" s="438"/>
      <c r="AM76" s="438"/>
      <c r="AN76" s="438"/>
    </row>
    <row r="77" ht="14.25" customHeight="1">
      <c r="A77" s="1"/>
      <c r="B77" s="1"/>
      <c r="C77" s="1"/>
      <c r="D77" s="1"/>
      <c r="E77" s="1"/>
      <c r="F77" s="117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173"/>
      <c r="U77" s="438"/>
      <c r="V77" s="438"/>
      <c r="W77" s="438"/>
      <c r="X77" s="438"/>
      <c r="Y77" s="438"/>
      <c r="Z77" s="438"/>
      <c r="AA77" s="438"/>
      <c r="AB77" s="438"/>
      <c r="AC77" s="438"/>
      <c r="AD77" s="438"/>
      <c r="AE77" s="438"/>
      <c r="AF77" s="438"/>
      <c r="AG77" s="438"/>
      <c r="AH77" s="438"/>
      <c r="AI77" s="438"/>
      <c r="AJ77" s="438"/>
      <c r="AK77" s="438"/>
      <c r="AL77" s="438"/>
      <c r="AM77" s="438"/>
      <c r="AN77" s="438"/>
    </row>
    <row r="78" ht="14.25" customHeight="1">
      <c r="A78" s="1"/>
      <c r="B78" s="1"/>
      <c r="C78" s="1"/>
      <c r="D78" s="1"/>
      <c r="E78" s="1"/>
      <c r="F78" s="1173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173"/>
      <c r="U78" s="438"/>
      <c r="V78" s="438"/>
      <c r="W78" s="438"/>
      <c r="X78" s="438"/>
      <c r="Y78" s="438"/>
      <c r="Z78" s="438"/>
      <c r="AA78" s="438"/>
      <c r="AB78" s="438"/>
      <c r="AC78" s="438"/>
      <c r="AD78" s="438"/>
      <c r="AE78" s="438"/>
      <c r="AF78" s="438"/>
      <c r="AG78" s="438"/>
      <c r="AH78" s="438"/>
      <c r="AI78" s="438"/>
      <c r="AJ78" s="438"/>
      <c r="AK78" s="438"/>
      <c r="AL78" s="438"/>
      <c r="AM78" s="438"/>
      <c r="AN78" s="438"/>
    </row>
    <row r="79" ht="14.25" customHeight="1">
      <c r="A79" s="1"/>
      <c r="B79" s="1"/>
      <c r="C79" s="1"/>
      <c r="D79" s="1"/>
      <c r="E79" s="1"/>
      <c r="F79" s="117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173"/>
      <c r="U79" s="438"/>
      <c r="V79" s="438"/>
      <c r="W79" s="438"/>
      <c r="X79" s="438"/>
      <c r="Y79" s="438"/>
      <c r="Z79" s="438"/>
      <c r="AA79" s="438"/>
      <c r="AB79" s="438"/>
      <c r="AC79" s="438"/>
      <c r="AD79" s="438"/>
      <c r="AE79" s="438"/>
      <c r="AF79" s="438"/>
      <c r="AG79" s="438"/>
      <c r="AH79" s="438"/>
      <c r="AI79" s="438"/>
      <c r="AJ79" s="438"/>
      <c r="AK79" s="438"/>
      <c r="AL79" s="438"/>
      <c r="AM79" s="438"/>
      <c r="AN79" s="438"/>
    </row>
    <row r="80" ht="14.25" customHeight="1">
      <c r="A80" s="1"/>
      <c r="B80" s="1"/>
      <c r="C80" s="1"/>
      <c r="D80" s="1"/>
      <c r="E80" s="1"/>
      <c r="F80" s="1173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173"/>
      <c r="U80" s="438"/>
      <c r="V80" s="438"/>
      <c r="W80" s="438"/>
      <c r="X80" s="438"/>
      <c r="Y80" s="438"/>
      <c r="Z80" s="438"/>
      <c r="AA80" s="438"/>
      <c r="AB80" s="438"/>
      <c r="AC80" s="438"/>
      <c r="AD80" s="438"/>
      <c r="AE80" s="438"/>
      <c r="AF80" s="438"/>
      <c r="AG80" s="438"/>
      <c r="AH80" s="438"/>
      <c r="AI80" s="438"/>
      <c r="AJ80" s="438"/>
      <c r="AK80" s="438"/>
      <c r="AL80" s="438"/>
      <c r="AM80" s="438"/>
      <c r="AN80" s="438"/>
    </row>
    <row r="81" ht="14.25" customHeight="1">
      <c r="A81" s="1"/>
      <c r="B81" s="1"/>
      <c r="C81" s="1"/>
      <c r="D81" s="1"/>
      <c r="E81" s="1"/>
      <c r="F81" s="1173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173"/>
      <c r="U81" s="438"/>
      <c r="V81" s="438"/>
      <c r="W81" s="438"/>
      <c r="X81" s="438"/>
      <c r="Y81" s="438"/>
      <c r="Z81" s="438"/>
      <c r="AA81" s="438"/>
      <c r="AB81" s="438"/>
      <c r="AC81" s="438"/>
      <c r="AD81" s="438"/>
      <c r="AE81" s="438"/>
      <c r="AF81" s="438"/>
      <c r="AG81" s="438"/>
      <c r="AH81" s="438"/>
      <c r="AI81" s="438"/>
      <c r="AJ81" s="438"/>
      <c r="AK81" s="438"/>
      <c r="AL81" s="438"/>
      <c r="AM81" s="438"/>
      <c r="AN81" s="438"/>
    </row>
    <row r="82" ht="14.25" customHeight="1">
      <c r="A82" s="1"/>
      <c r="B82" s="1"/>
      <c r="C82" s="1"/>
      <c r="D82" s="1"/>
      <c r="E82" s="1"/>
      <c r="F82" s="1173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173"/>
      <c r="U82" s="438"/>
      <c r="V82" s="438"/>
      <c r="W82" s="438"/>
      <c r="X82" s="438"/>
      <c r="Y82" s="438"/>
      <c r="Z82" s="438"/>
      <c r="AA82" s="438"/>
      <c r="AB82" s="438"/>
      <c r="AC82" s="438"/>
      <c r="AD82" s="438"/>
      <c r="AE82" s="438"/>
      <c r="AF82" s="438"/>
      <c r="AG82" s="438"/>
      <c r="AH82" s="438"/>
      <c r="AI82" s="438"/>
      <c r="AJ82" s="438"/>
      <c r="AK82" s="438"/>
      <c r="AL82" s="438"/>
      <c r="AM82" s="438"/>
      <c r="AN82" s="438"/>
    </row>
    <row r="83" ht="14.25" customHeight="1">
      <c r="A83" s="1"/>
      <c r="B83" s="1"/>
      <c r="C83" s="1"/>
      <c r="D83" s="1"/>
      <c r="E83" s="1"/>
      <c r="F83" s="1173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173"/>
      <c r="U83" s="438"/>
      <c r="V83" s="438"/>
      <c r="W83" s="438"/>
      <c r="X83" s="438"/>
      <c r="Y83" s="438"/>
      <c r="Z83" s="438"/>
      <c r="AA83" s="438"/>
      <c r="AB83" s="438"/>
      <c r="AC83" s="438"/>
      <c r="AD83" s="438"/>
      <c r="AE83" s="438"/>
      <c r="AF83" s="438"/>
      <c r="AG83" s="438"/>
      <c r="AH83" s="438"/>
      <c r="AI83" s="438"/>
      <c r="AJ83" s="438"/>
      <c r="AK83" s="438"/>
      <c r="AL83" s="438"/>
      <c r="AM83" s="438"/>
      <c r="AN83" s="438"/>
    </row>
    <row r="84" ht="14.25" customHeight="1">
      <c r="A84" s="1"/>
      <c r="B84" s="1"/>
      <c r="C84" s="1"/>
      <c r="D84" s="1"/>
      <c r="E84" s="1"/>
      <c r="F84" s="1173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173"/>
      <c r="U84" s="438"/>
      <c r="V84" s="438"/>
      <c r="W84" s="438"/>
      <c r="X84" s="438"/>
      <c r="Y84" s="438"/>
      <c r="Z84" s="438"/>
      <c r="AA84" s="438"/>
      <c r="AB84" s="438"/>
      <c r="AC84" s="438"/>
      <c r="AD84" s="438"/>
      <c r="AE84" s="438"/>
      <c r="AF84" s="438"/>
      <c r="AG84" s="438"/>
      <c r="AH84" s="438"/>
      <c r="AI84" s="438"/>
      <c r="AJ84" s="438"/>
      <c r="AK84" s="438"/>
      <c r="AL84" s="438"/>
      <c r="AM84" s="438"/>
      <c r="AN84" s="438"/>
    </row>
    <row r="85" ht="14.25" customHeight="1">
      <c r="A85" s="1"/>
      <c r="B85" s="1"/>
      <c r="C85" s="1"/>
      <c r="D85" s="1"/>
      <c r="E85" s="1"/>
      <c r="F85" s="1173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173"/>
      <c r="U85" s="438"/>
      <c r="V85" s="438"/>
      <c r="W85" s="438"/>
      <c r="X85" s="438"/>
      <c r="Y85" s="438"/>
      <c r="Z85" s="438"/>
      <c r="AA85" s="438"/>
      <c r="AB85" s="438"/>
      <c r="AC85" s="438"/>
      <c r="AD85" s="438"/>
      <c r="AE85" s="438"/>
      <c r="AF85" s="438"/>
      <c r="AG85" s="438"/>
      <c r="AH85" s="438"/>
      <c r="AI85" s="438"/>
      <c r="AJ85" s="438"/>
      <c r="AK85" s="438"/>
      <c r="AL85" s="438"/>
      <c r="AM85" s="438"/>
      <c r="AN85" s="438"/>
    </row>
    <row r="86" ht="14.25" customHeight="1">
      <c r="A86" s="1"/>
      <c r="B86" s="1"/>
      <c r="C86" s="1"/>
      <c r="D86" s="1"/>
      <c r="E86" s="1"/>
      <c r="F86" s="117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173"/>
      <c r="U86" s="438"/>
      <c r="V86" s="438"/>
      <c r="W86" s="438"/>
      <c r="X86" s="438"/>
      <c r="Y86" s="438"/>
      <c r="Z86" s="438"/>
      <c r="AA86" s="438"/>
      <c r="AB86" s="438"/>
      <c r="AC86" s="438"/>
      <c r="AD86" s="438"/>
      <c r="AE86" s="438"/>
      <c r="AF86" s="438"/>
      <c r="AG86" s="438"/>
      <c r="AH86" s="438"/>
      <c r="AI86" s="438"/>
      <c r="AJ86" s="438"/>
      <c r="AK86" s="438"/>
      <c r="AL86" s="438"/>
      <c r="AM86" s="438"/>
      <c r="AN86" s="438"/>
    </row>
    <row r="87" ht="14.25" customHeight="1">
      <c r="A87" s="1"/>
      <c r="B87" s="1"/>
      <c r="C87" s="1"/>
      <c r="D87" s="1"/>
      <c r="E87" s="1"/>
      <c r="F87" s="117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173"/>
      <c r="U87" s="438"/>
      <c r="V87" s="438"/>
      <c r="W87" s="438"/>
      <c r="X87" s="438"/>
      <c r="Y87" s="438"/>
      <c r="Z87" s="438"/>
      <c r="AA87" s="438"/>
      <c r="AB87" s="438"/>
      <c r="AC87" s="438"/>
      <c r="AD87" s="438"/>
      <c r="AE87" s="438"/>
      <c r="AF87" s="438"/>
      <c r="AG87" s="438"/>
      <c r="AH87" s="438"/>
      <c r="AI87" s="438"/>
      <c r="AJ87" s="438"/>
      <c r="AK87" s="438"/>
      <c r="AL87" s="438"/>
      <c r="AM87" s="438"/>
      <c r="AN87" s="438"/>
    </row>
    <row r="88" ht="14.25" customHeight="1">
      <c r="A88" s="1"/>
      <c r="B88" s="1"/>
      <c r="C88" s="1"/>
      <c r="D88" s="1"/>
      <c r="E88" s="1"/>
      <c r="F88" s="1173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173"/>
      <c r="U88" s="438"/>
      <c r="V88" s="438"/>
      <c r="W88" s="438"/>
      <c r="X88" s="438"/>
      <c r="Y88" s="438"/>
      <c r="Z88" s="438"/>
      <c r="AA88" s="438"/>
      <c r="AB88" s="438"/>
      <c r="AC88" s="438"/>
      <c r="AD88" s="438"/>
      <c r="AE88" s="438"/>
      <c r="AF88" s="438"/>
      <c r="AG88" s="438"/>
      <c r="AH88" s="438"/>
      <c r="AI88" s="438"/>
      <c r="AJ88" s="438"/>
      <c r="AK88" s="438"/>
      <c r="AL88" s="438"/>
      <c r="AM88" s="438"/>
      <c r="AN88" s="438"/>
    </row>
    <row r="89" ht="14.25" customHeight="1">
      <c r="A89" s="1"/>
      <c r="B89" s="1"/>
      <c r="C89" s="1"/>
      <c r="D89" s="1"/>
      <c r="E89" s="1"/>
      <c r="F89" s="1173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173"/>
      <c r="U89" s="438"/>
      <c r="V89" s="438"/>
      <c r="W89" s="438"/>
      <c r="X89" s="438"/>
      <c r="Y89" s="438"/>
      <c r="Z89" s="438"/>
      <c r="AA89" s="438"/>
      <c r="AB89" s="438"/>
      <c r="AC89" s="438"/>
      <c r="AD89" s="438"/>
      <c r="AE89" s="438"/>
      <c r="AF89" s="438"/>
      <c r="AG89" s="438"/>
      <c r="AH89" s="438"/>
      <c r="AI89" s="438"/>
      <c r="AJ89" s="438"/>
      <c r="AK89" s="438"/>
      <c r="AL89" s="438"/>
      <c r="AM89" s="438"/>
      <c r="AN89" s="438"/>
    </row>
    <row r="90" ht="14.25" customHeight="1">
      <c r="A90" s="1"/>
      <c r="B90" s="1"/>
      <c r="C90" s="1"/>
      <c r="D90" s="1"/>
      <c r="E90" s="1"/>
      <c r="F90" s="1173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173"/>
      <c r="U90" s="438"/>
      <c r="V90" s="438"/>
      <c r="W90" s="438"/>
      <c r="X90" s="438"/>
      <c r="Y90" s="438"/>
      <c r="Z90" s="438"/>
      <c r="AA90" s="438"/>
      <c r="AB90" s="438"/>
      <c r="AC90" s="438"/>
      <c r="AD90" s="438"/>
      <c r="AE90" s="438"/>
      <c r="AF90" s="438"/>
      <c r="AG90" s="438"/>
      <c r="AH90" s="438"/>
      <c r="AI90" s="438"/>
      <c r="AJ90" s="438"/>
      <c r="AK90" s="438"/>
      <c r="AL90" s="438"/>
      <c r="AM90" s="438"/>
      <c r="AN90" s="438"/>
    </row>
    <row r="91" ht="14.25" customHeight="1">
      <c r="A91" s="1"/>
      <c r="B91" s="1"/>
      <c r="C91" s="1"/>
      <c r="D91" s="1"/>
      <c r="E91" s="1"/>
      <c r="F91" s="1173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173"/>
      <c r="U91" s="438"/>
      <c r="V91" s="438"/>
      <c r="W91" s="438"/>
      <c r="X91" s="438"/>
      <c r="Y91" s="438"/>
      <c r="Z91" s="438"/>
      <c r="AA91" s="438"/>
      <c r="AB91" s="438"/>
      <c r="AC91" s="438"/>
      <c r="AD91" s="438"/>
      <c r="AE91" s="438"/>
      <c r="AF91" s="438"/>
      <c r="AG91" s="438"/>
      <c r="AH91" s="438"/>
      <c r="AI91" s="438"/>
      <c r="AJ91" s="438"/>
      <c r="AK91" s="438"/>
      <c r="AL91" s="438"/>
      <c r="AM91" s="438"/>
      <c r="AN91" s="438"/>
    </row>
    <row r="92" ht="14.25" customHeight="1">
      <c r="A92" s="1"/>
      <c r="B92" s="1"/>
      <c r="C92" s="1"/>
      <c r="D92" s="1"/>
      <c r="E92" s="1"/>
      <c r="F92" s="117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173"/>
      <c r="U92" s="438"/>
      <c r="V92" s="438"/>
      <c r="W92" s="438"/>
      <c r="X92" s="438"/>
      <c r="Y92" s="438"/>
      <c r="Z92" s="438"/>
      <c r="AA92" s="438"/>
      <c r="AB92" s="438"/>
      <c r="AC92" s="438"/>
      <c r="AD92" s="438"/>
      <c r="AE92" s="438"/>
      <c r="AF92" s="438"/>
      <c r="AG92" s="438"/>
      <c r="AH92" s="438"/>
      <c r="AI92" s="438"/>
      <c r="AJ92" s="438"/>
      <c r="AK92" s="438"/>
      <c r="AL92" s="438"/>
      <c r="AM92" s="438"/>
      <c r="AN92" s="438"/>
    </row>
    <row r="93" ht="14.25" customHeight="1">
      <c r="A93" s="1"/>
      <c r="B93" s="1"/>
      <c r="C93" s="1"/>
      <c r="D93" s="1"/>
      <c r="E93" s="1"/>
      <c r="F93" s="1173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173"/>
      <c r="U93" s="438"/>
      <c r="V93" s="438"/>
      <c r="W93" s="438"/>
      <c r="X93" s="438"/>
      <c r="Y93" s="438"/>
      <c r="Z93" s="438"/>
      <c r="AA93" s="438"/>
      <c r="AB93" s="438"/>
      <c r="AC93" s="438"/>
      <c r="AD93" s="438"/>
      <c r="AE93" s="438"/>
      <c r="AF93" s="438"/>
      <c r="AG93" s="438"/>
      <c r="AH93" s="438"/>
      <c r="AI93" s="438"/>
      <c r="AJ93" s="438"/>
      <c r="AK93" s="438"/>
      <c r="AL93" s="438"/>
      <c r="AM93" s="438"/>
      <c r="AN93" s="438"/>
    </row>
    <row r="94" ht="14.25" customHeight="1">
      <c r="A94" s="1"/>
      <c r="B94" s="1"/>
      <c r="C94" s="1"/>
      <c r="D94" s="1"/>
      <c r="E94" s="1"/>
      <c r="F94" s="1173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173"/>
      <c r="U94" s="438"/>
      <c r="V94" s="438"/>
      <c r="W94" s="438"/>
      <c r="X94" s="438"/>
      <c r="Y94" s="438"/>
      <c r="Z94" s="438"/>
      <c r="AA94" s="438"/>
      <c r="AB94" s="438"/>
      <c r="AC94" s="438"/>
      <c r="AD94" s="438"/>
      <c r="AE94" s="438"/>
      <c r="AF94" s="438"/>
      <c r="AG94" s="438"/>
      <c r="AH94" s="438"/>
      <c r="AI94" s="438"/>
      <c r="AJ94" s="438"/>
      <c r="AK94" s="438"/>
      <c r="AL94" s="438"/>
      <c r="AM94" s="438"/>
      <c r="AN94" s="438"/>
    </row>
    <row r="95" ht="14.25" customHeight="1">
      <c r="A95" s="1"/>
      <c r="B95" s="1"/>
      <c r="C95" s="1"/>
      <c r="D95" s="1"/>
      <c r="E95" s="1"/>
      <c r="F95" s="117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173"/>
      <c r="U95" s="438"/>
      <c r="V95" s="438"/>
      <c r="W95" s="438"/>
      <c r="X95" s="438"/>
      <c r="Y95" s="438"/>
      <c r="Z95" s="438"/>
      <c r="AA95" s="438"/>
      <c r="AB95" s="438"/>
      <c r="AC95" s="438"/>
      <c r="AD95" s="438"/>
      <c r="AE95" s="438"/>
      <c r="AF95" s="438"/>
      <c r="AG95" s="438"/>
      <c r="AH95" s="438"/>
      <c r="AI95" s="438"/>
      <c r="AJ95" s="438"/>
      <c r="AK95" s="438"/>
      <c r="AL95" s="438"/>
      <c r="AM95" s="438"/>
      <c r="AN95" s="438"/>
    </row>
    <row r="96" ht="14.25" customHeight="1">
      <c r="A96" s="1"/>
      <c r="B96" s="1"/>
      <c r="C96" s="1"/>
      <c r="D96" s="1"/>
      <c r="E96" s="1"/>
      <c r="F96" s="1173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173"/>
      <c r="U96" s="438"/>
      <c r="V96" s="438"/>
      <c r="W96" s="438"/>
      <c r="X96" s="438"/>
      <c r="Y96" s="438"/>
      <c r="Z96" s="438"/>
      <c r="AA96" s="438"/>
      <c r="AB96" s="438"/>
      <c r="AC96" s="438"/>
      <c r="AD96" s="438"/>
      <c r="AE96" s="438"/>
      <c r="AF96" s="438"/>
      <c r="AG96" s="438"/>
      <c r="AH96" s="438"/>
      <c r="AI96" s="438"/>
      <c r="AJ96" s="438"/>
      <c r="AK96" s="438"/>
      <c r="AL96" s="438"/>
      <c r="AM96" s="438"/>
      <c r="AN96" s="438"/>
    </row>
    <row r="97" ht="14.25" customHeight="1">
      <c r="A97" s="1"/>
      <c r="B97" s="1"/>
      <c r="C97" s="1"/>
      <c r="D97" s="1"/>
      <c r="E97" s="1"/>
      <c r="F97" s="117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173"/>
      <c r="U97" s="438"/>
      <c r="V97" s="438"/>
      <c r="W97" s="438"/>
      <c r="X97" s="438"/>
      <c r="Y97" s="438"/>
      <c r="Z97" s="438"/>
      <c r="AA97" s="438"/>
      <c r="AB97" s="438"/>
      <c r="AC97" s="438"/>
      <c r="AD97" s="438"/>
      <c r="AE97" s="438"/>
      <c r="AF97" s="438"/>
      <c r="AG97" s="438"/>
      <c r="AH97" s="438"/>
      <c r="AI97" s="438"/>
      <c r="AJ97" s="438"/>
      <c r="AK97" s="438"/>
      <c r="AL97" s="438"/>
      <c r="AM97" s="438"/>
      <c r="AN97" s="438"/>
    </row>
    <row r="98" ht="14.25" customHeight="1">
      <c r="A98" s="1"/>
      <c r="B98" s="1"/>
      <c r="C98" s="1"/>
      <c r="D98" s="1"/>
      <c r="E98" s="1"/>
      <c r="F98" s="1173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173"/>
      <c r="U98" s="438"/>
      <c r="V98" s="438"/>
      <c r="W98" s="438"/>
      <c r="X98" s="438"/>
      <c r="Y98" s="438"/>
      <c r="Z98" s="438"/>
      <c r="AA98" s="438"/>
      <c r="AB98" s="438"/>
      <c r="AC98" s="438"/>
      <c r="AD98" s="438"/>
      <c r="AE98" s="438"/>
      <c r="AF98" s="438"/>
      <c r="AG98" s="438"/>
      <c r="AH98" s="438"/>
      <c r="AI98" s="438"/>
      <c r="AJ98" s="438"/>
      <c r="AK98" s="438"/>
      <c r="AL98" s="438"/>
      <c r="AM98" s="438"/>
      <c r="AN98" s="438"/>
    </row>
    <row r="99" ht="14.25" customHeight="1">
      <c r="A99" s="1"/>
      <c r="B99" s="1"/>
      <c r="C99" s="1"/>
      <c r="D99" s="1"/>
      <c r="E99" s="1"/>
      <c r="F99" s="1173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173"/>
      <c r="U99" s="438"/>
      <c r="V99" s="438"/>
      <c r="W99" s="438"/>
      <c r="X99" s="438"/>
      <c r="Y99" s="438"/>
      <c r="Z99" s="438"/>
      <c r="AA99" s="438"/>
      <c r="AB99" s="438"/>
      <c r="AC99" s="438"/>
      <c r="AD99" s="438"/>
      <c r="AE99" s="438"/>
      <c r="AF99" s="438"/>
      <c r="AG99" s="438"/>
      <c r="AH99" s="438"/>
      <c r="AI99" s="438"/>
      <c r="AJ99" s="438"/>
      <c r="AK99" s="438"/>
      <c r="AL99" s="438"/>
      <c r="AM99" s="438"/>
      <c r="AN99" s="438"/>
    </row>
    <row r="100" ht="14.25" customHeight="1">
      <c r="A100" s="1"/>
      <c r="B100" s="1"/>
      <c r="C100" s="1"/>
      <c r="D100" s="1"/>
      <c r="E100" s="1"/>
      <c r="F100" s="1173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173"/>
      <c r="U100" s="438"/>
      <c r="V100" s="438"/>
      <c r="W100" s="438"/>
      <c r="X100" s="438"/>
      <c r="Y100" s="438"/>
      <c r="Z100" s="438"/>
      <c r="AA100" s="438"/>
      <c r="AB100" s="438"/>
      <c r="AC100" s="438"/>
      <c r="AD100" s="438"/>
      <c r="AE100" s="438"/>
      <c r="AF100" s="438"/>
      <c r="AG100" s="438"/>
      <c r="AH100" s="438"/>
      <c r="AI100" s="438"/>
      <c r="AJ100" s="438"/>
      <c r="AK100" s="438"/>
      <c r="AL100" s="438"/>
      <c r="AM100" s="438"/>
      <c r="AN100" s="438"/>
    </row>
    <row r="101" ht="14.25" customHeight="1">
      <c r="A101" s="1"/>
      <c r="B101" s="1"/>
      <c r="C101" s="1"/>
      <c r="D101" s="1"/>
      <c r="E101" s="1"/>
      <c r="F101" s="1173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173"/>
      <c r="U101" s="438"/>
      <c r="V101" s="438"/>
      <c r="W101" s="438"/>
      <c r="X101" s="438"/>
      <c r="Y101" s="438"/>
      <c r="Z101" s="438"/>
      <c r="AA101" s="438"/>
      <c r="AB101" s="438"/>
      <c r="AC101" s="438"/>
      <c r="AD101" s="438"/>
      <c r="AE101" s="438"/>
      <c r="AF101" s="438"/>
      <c r="AG101" s="438"/>
      <c r="AH101" s="438"/>
      <c r="AI101" s="438"/>
      <c r="AJ101" s="438"/>
      <c r="AK101" s="438"/>
      <c r="AL101" s="438"/>
      <c r="AM101" s="438"/>
      <c r="AN101" s="438"/>
    </row>
    <row r="102" ht="14.25" customHeight="1">
      <c r="A102" s="1"/>
      <c r="B102" s="1"/>
      <c r="C102" s="1"/>
      <c r="D102" s="1"/>
      <c r="E102" s="1"/>
      <c r="F102" s="117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173"/>
      <c r="U102" s="438"/>
      <c r="V102" s="438"/>
      <c r="W102" s="438"/>
      <c r="X102" s="438"/>
      <c r="Y102" s="438"/>
      <c r="Z102" s="438"/>
      <c r="AA102" s="438"/>
      <c r="AB102" s="438"/>
      <c r="AC102" s="438"/>
      <c r="AD102" s="438"/>
      <c r="AE102" s="438"/>
      <c r="AF102" s="438"/>
      <c r="AG102" s="438"/>
      <c r="AH102" s="438"/>
      <c r="AI102" s="438"/>
      <c r="AJ102" s="438"/>
      <c r="AK102" s="438"/>
      <c r="AL102" s="438"/>
      <c r="AM102" s="438"/>
      <c r="AN102" s="438"/>
    </row>
    <row r="103" ht="14.25" customHeight="1">
      <c r="A103" s="1"/>
      <c r="B103" s="1"/>
      <c r="C103" s="1"/>
      <c r="D103" s="1"/>
      <c r="E103" s="1"/>
      <c r="F103" s="1173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173"/>
      <c r="U103" s="438"/>
      <c r="V103" s="438"/>
      <c r="W103" s="438"/>
      <c r="X103" s="438"/>
      <c r="Y103" s="438"/>
      <c r="Z103" s="438"/>
      <c r="AA103" s="438"/>
      <c r="AB103" s="438"/>
      <c r="AC103" s="438"/>
      <c r="AD103" s="438"/>
      <c r="AE103" s="438"/>
      <c r="AF103" s="438"/>
      <c r="AG103" s="438"/>
      <c r="AH103" s="438"/>
      <c r="AI103" s="438"/>
      <c r="AJ103" s="438"/>
      <c r="AK103" s="438"/>
      <c r="AL103" s="438"/>
      <c r="AM103" s="438"/>
      <c r="AN103" s="438"/>
    </row>
    <row r="104" ht="14.25" customHeight="1">
      <c r="A104" s="1"/>
      <c r="B104" s="1"/>
      <c r="C104" s="1"/>
      <c r="D104" s="1"/>
      <c r="E104" s="1"/>
      <c r="F104" s="1173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173"/>
      <c r="U104" s="438"/>
      <c r="V104" s="438"/>
      <c r="W104" s="438"/>
      <c r="X104" s="438"/>
      <c r="Y104" s="438"/>
      <c r="Z104" s="438"/>
      <c r="AA104" s="438"/>
      <c r="AB104" s="438"/>
      <c r="AC104" s="438"/>
      <c r="AD104" s="438"/>
      <c r="AE104" s="438"/>
      <c r="AF104" s="438"/>
      <c r="AG104" s="438"/>
      <c r="AH104" s="438"/>
      <c r="AI104" s="438"/>
      <c r="AJ104" s="438"/>
      <c r="AK104" s="438"/>
      <c r="AL104" s="438"/>
      <c r="AM104" s="438"/>
      <c r="AN104" s="438"/>
    </row>
    <row r="105" ht="14.25" customHeight="1">
      <c r="A105" s="1"/>
      <c r="B105" s="1"/>
      <c r="C105" s="1"/>
      <c r="D105" s="1"/>
      <c r="E105" s="1"/>
      <c r="F105" s="1173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173"/>
      <c r="U105" s="438"/>
      <c r="V105" s="438"/>
      <c r="W105" s="438"/>
      <c r="X105" s="438"/>
      <c r="Y105" s="438"/>
      <c r="Z105" s="438"/>
      <c r="AA105" s="438"/>
      <c r="AB105" s="438"/>
      <c r="AC105" s="438"/>
      <c r="AD105" s="438"/>
      <c r="AE105" s="438"/>
      <c r="AF105" s="438"/>
      <c r="AG105" s="438"/>
      <c r="AH105" s="438"/>
      <c r="AI105" s="438"/>
      <c r="AJ105" s="438"/>
      <c r="AK105" s="438"/>
      <c r="AL105" s="438"/>
      <c r="AM105" s="438"/>
      <c r="AN105" s="438"/>
    </row>
    <row r="106" ht="14.25" customHeight="1">
      <c r="A106" s="1"/>
      <c r="B106" s="1"/>
      <c r="C106" s="1"/>
      <c r="D106" s="1"/>
      <c r="E106" s="1"/>
      <c r="F106" s="1173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173"/>
      <c r="U106" s="438"/>
      <c r="V106" s="438"/>
      <c r="W106" s="438"/>
      <c r="X106" s="438"/>
      <c r="Y106" s="438"/>
      <c r="Z106" s="438"/>
      <c r="AA106" s="438"/>
      <c r="AB106" s="438"/>
      <c r="AC106" s="438"/>
      <c r="AD106" s="438"/>
      <c r="AE106" s="438"/>
      <c r="AF106" s="438"/>
      <c r="AG106" s="438"/>
      <c r="AH106" s="438"/>
      <c r="AI106" s="438"/>
      <c r="AJ106" s="438"/>
      <c r="AK106" s="438"/>
      <c r="AL106" s="438"/>
      <c r="AM106" s="438"/>
      <c r="AN106" s="438"/>
    </row>
    <row r="107" ht="14.25" customHeight="1">
      <c r="A107" s="1"/>
      <c r="B107" s="1"/>
      <c r="C107" s="1"/>
      <c r="D107" s="1"/>
      <c r="E107" s="1"/>
      <c r="F107" s="1173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173"/>
      <c r="U107" s="438"/>
      <c r="V107" s="438"/>
      <c r="W107" s="438"/>
      <c r="X107" s="438"/>
      <c r="Y107" s="438"/>
      <c r="Z107" s="438"/>
      <c r="AA107" s="438"/>
      <c r="AB107" s="438"/>
      <c r="AC107" s="438"/>
      <c r="AD107" s="438"/>
      <c r="AE107" s="438"/>
      <c r="AF107" s="438"/>
      <c r="AG107" s="438"/>
      <c r="AH107" s="438"/>
      <c r="AI107" s="438"/>
      <c r="AJ107" s="438"/>
      <c r="AK107" s="438"/>
      <c r="AL107" s="438"/>
      <c r="AM107" s="438"/>
      <c r="AN107" s="438"/>
    </row>
    <row r="108" ht="14.25" customHeight="1">
      <c r="A108" s="1"/>
      <c r="B108" s="1"/>
      <c r="C108" s="1"/>
      <c r="D108" s="1"/>
      <c r="E108" s="1"/>
      <c r="F108" s="1173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173"/>
      <c r="U108" s="438"/>
      <c r="V108" s="438"/>
      <c r="W108" s="438"/>
      <c r="X108" s="438"/>
      <c r="Y108" s="438"/>
      <c r="Z108" s="438"/>
      <c r="AA108" s="438"/>
      <c r="AB108" s="438"/>
      <c r="AC108" s="438"/>
      <c r="AD108" s="438"/>
      <c r="AE108" s="438"/>
      <c r="AF108" s="438"/>
      <c r="AG108" s="438"/>
      <c r="AH108" s="438"/>
      <c r="AI108" s="438"/>
      <c r="AJ108" s="438"/>
      <c r="AK108" s="438"/>
      <c r="AL108" s="438"/>
      <c r="AM108" s="438"/>
      <c r="AN108" s="438"/>
    </row>
    <row r="109" ht="14.25" customHeight="1">
      <c r="A109" s="1"/>
      <c r="B109" s="1"/>
      <c r="C109" s="1"/>
      <c r="D109" s="1"/>
      <c r="E109" s="1"/>
      <c r="F109" s="1173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173"/>
      <c r="U109" s="438"/>
      <c r="V109" s="438"/>
      <c r="W109" s="438"/>
      <c r="X109" s="438"/>
      <c r="Y109" s="438"/>
      <c r="Z109" s="438"/>
      <c r="AA109" s="438"/>
      <c r="AB109" s="438"/>
      <c r="AC109" s="438"/>
      <c r="AD109" s="438"/>
      <c r="AE109" s="438"/>
      <c r="AF109" s="438"/>
      <c r="AG109" s="438"/>
      <c r="AH109" s="438"/>
      <c r="AI109" s="438"/>
      <c r="AJ109" s="438"/>
      <c r="AK109" s="438"/>
      <c r="AL109" s="438"/>
      <c r="AM109" s="438"/>
      <c r="AN109" s="438"/>
    </row>
    <row r="110" ht="14.25" customHeight="1">
      <c r="A110" s="1"/>
      <c r="B110" s="1"/>
      <c r="C110" s="1"/>
      <c r="D110" s="1196">
        <v>0.0</v>
      </c>
      <c r="E110" s="1197"/>
      <c r="F110" s="1173"/>
      <c r="G110" s="295">
        <v>0.0</v>
      </c>
      <c r="H110" s="295">
        <v>0.0</v>
      </c>
      <c r="I110" s="295">
        <v>0.0</v>
      </c>
      <c r="J110" s="295">
        <v>0.0</v>
      </c>
      <c r="K110" s="295">
        <v>0.0</v>
      </c>
      <c r="L110" s="295">
        <v>0.0</v>
      </c>
      <c r="M110" s="295">
        <v>0.0</v>
      </c>
      <c r="N110" s="295">
        <v>0.0</v>
      </c>
      <c r="O110" s="295">
        <v>0.0</v>
      </c>
      <c r="P110" s="295">
        <v>0.0</v>
      </c>
      <c r="Q110" s="295">
        <v>0.0</v>
      </c>
      <c r="R110" s="295">
        <v>0.0</v>
      </c>
      <c r="S110" s="1"/>
      <c r="T110" s="1173"/>
      <c r="U110" s="438"/>
      <c r="V110" s="438"/>
      <c r="W110" s="438"/>
      <c r="X110" s="438"/>
      <c r="Y110" s="438"/>
      <c r="Z110" s="438"/>
      <c r="AA110" s="438"/>
      <c r="AB110" s="438"/>
      <c r="AC110" s="438"/>
      <c r="AD110" s="438"/>
      <c r="AE110" s="438"/>
      <c r="AF110" s="438"/>
      <c r="AG110" s="438"/>
      <c r="AH110" s="438"/>
      <c r="AI110" s="438"/>
      <c r="AJ110" s="438"/>
      <c r="AK110" s="438"/>
      <c r="AL110" s="438"/>
      <c r="AM110" s="438"/>
      <c r="AN110" s="438"/>
    </row>
    <row r="111" ht="14.25" customHeight="1">
      <c r="A111" s="1"/>
      <c r="B111" s="1"/>
      <c r="C111" s="1"/>
      <c r="D111" s="1197">
        <v>1.0</v>
      </c>
      <c r="E111" s="1"/>
      <c r="F111" s="1173"/>
      <c r="G111" s="295">
        <f>-'R Bal sheets'!F$26</f>
        <v>-1000000</v>
      </c>
      <c r="H111" s="295">
        <v>0.0</v>
      </c>
      <c r="I111" s="295">
        <v>0.0</v>
      </c>
      <c r="J111" s="295">
        <v>0.0</v>
      </c>
      <c r="K111" s="295">
        <v>0.0</v>
      </c>
      <c r="L111" s="295">
        <v>0.0</v>
      </c>
      <c r="M111" s="295">
        <v>0.0</v>
      </c>
      <c r="N111" s="295">
        <v>0.0</v>
      </c>
      <c r="O111" s="295">
        <v>0.0</v>
      </c>
      <c r="P111" s="295">
        <v>0.0</v>
      </c>
      <c r="Q111" s="295">
        <v>0.0</v>
      </c>
      <c r="R111" s="295">
        <f>'R Bal sheets'!H26</f>
        <v>2000000</v>
      </c>
      <c r="S111" s="1"/>
      <c r="T111" s="1173"/>
      <c r="U111" s="438"/>
      <c r="V111" s="438"/>
      <c r="W111" s="438"/>
      <c r="X111" s="438"/>
      <c r="Y111" s="438"/>
      <c r="Z111" s="438"/>
      <c r="AA111" s="438"/>
      <c r="AB111" s="438"/>
      <c r="AC111" s="438"/>
      <c r="AD111" s="438"/>
      <c r="AE111" s="438"/>
      <c r="AF111" s="438"/>
      <c r="AG111" s="438"/>
      <c r="AH111" s="438"/>
      <c r="AI111" s="438"/>
      <c r="AJ111" s="438"/>
      <c r="AK111" s="438"/>
      <c r="AL111" s="438"/>
      <c r="AM111" s="438"/>
      <c r="AN111" s="438"/>
    </row>
    <row r="112" ht="14.25" customHeight="1">
      <c r="A112" s="1"/>
      <c r="B112" s="1"/>
      <c r="C112" s="1"/>
      <c r="D112" s="1197">
        <v>2.0</v>
      </c>
      <c r="E112" s="1"/>
      <c r="F112" s="1173"/>
      <c r="G112" s="295">
        <f>-'R Bal sheets'!F$26</f>
        <v>-1000000</v>
      </c>
      <c r="H112" s="295">
        <v>0.0</v>
      </c>
      <c r="I112" s="295">
        <v>0.0</v>
      </c>
      <c r="J112" s="295">
        <v>0.0</v>
      </c>
      <c r="K112" s="295">
        <v>0.0</v>
      </c>
      <c r="L112" s="295">
        <v>0.0</v>
      </c>
      <c r="M112" s="295">
        <v>0.0</v>
      </c>
      <c r="N112" s="295">
        <v>0.0</v>
      </c>
      <c r="O112" s="295">
        <v>0.0</v>
      </c>
      <c r="P112" s="295">
        <v>0.0</v>
      </c>
      <c r="Q112" s="295">
        <f t="shared" ref="Q112:Q117" si="41">$R$111*0.3</f>
        <v>600000</v>
      </c>
      <c r="R112" s="295">
        <f t="shared" ref="R112:R113" si="42">$R$111*0.7</f>
        <v>1400000</v>
      </c>
      <c r="S112" s="1"/>
      <c r="T112" s="1173"/>
      <c r="U112" s="438"/>
      <c r="V112" s="438"/>
      <c r="W112" s="438"/>
      <c r="X112" s="438"/>
      <c r="Y112" s="438"/>
      <c r="Z112" s="438"/>
      <c r="AA112" s="438"/>
      <c r="AB112" s="438"/>
      <c r="AC112" s="438"/>
      <c r="AD112" s="438"/>
      <c r="AE112" s="438"/>
      <c r="AF112" s="438"/>
      <c r="AG112" s="438"/>
      <c r="AH112" s="438"/>
      <c r="AI112" s="438"/>
      <c r="AJ112" s="438"/>
      <c r="AK112" s="438"/>
      <c r="AL112" s="438"/>
      <c r="AM112" s="438"/>
      <c r="AN112" s="438"/>
    </row>
    <row r="113" ht="14.25" customHeight="1">
      <c r="A113" s="1"/>
      <c r="B113" s="1"/>
      <c r="C113" s="1"/>
      <c r="D113" s="1197">
        <v>3.0</v>
      </c>
      <c r="E113" s="1"/>
      <c r="F113" s="1173"/>
      <c r="G113" s="295">
        <f t="shared" ref="G113:G116" si="43">$G$111*0.7</f>
        <v>-700000</v>
      </c>
      <c r="H113" s="295">
        <f t="shared" ref="H113:H114" si="44">$G$111*0.3</f>
        <v>-300000</v>
      </c>
      <c r="I113" s="295">
        <v>0.0</v>
      </c>
      <c r="J113" s="295">
        <v>0.0</v>
      </c>
      <c r="K113" s="295">
        <v>0.0</v>
      </c>
      <c r="L113" s="295">
        <v>0.0</v>
      </c>
      <c r="M113" s="295">
        <v>0.0</v>
      </c>
      <c r="N113" s="295">
        <v>0.0</v>
      </c>
      <c r="O113" s="295">
        <v>0.0</v>
      </c>
      <c r="P113" s="295">
        <v>0.0</v>
      </c>
      <c r="Q113" s="295">
        <f t="shared" si="41"/>
        <v>600000</v>
      </c>
      <c r="R113" s="295">
        <f t="shared" si="42"/>
        <v>1400000</v>
      </c>
      <c r="S113" s="1"/>
      <c r="T113" s="1173"/>
      <c r="U113" s="438"/>
      <c r="V113" s="438"/>
      <c r="W113" s="438"/>
      <c r="X113" s="438"/>
      <c r="Y113" s="438"/>
      <c r="Z113" s="438"/>
      <c r="AA113" s="438"/>
      <c r="AB113" s="438"/>
      <c r="AC113" s="438"/>
      <c r="AD113" s="438"/>
      <c r="AE113" s="438"/>
      <c r="AF113" s="438"/>
      <c r="AG113" s="438"/>
      <c r="AH113" s="438"/>
      <c r="AI113" s="438"/>
      <c r="AJ113" s="438"/>
      <c r="AK113" s="438"/>
      <c r="AL113" s="438"/>
      <c r="AM113" s="438"/>
      <c r="AN113" s="438"/>
    </row>
    <row r="114" ht="14.25" customHeight="1">
      <c r="A114" s="1"/>
      <c r="B114" s="1"/>
      <c r="C114" s="1"/>
      <c r="D114" s="1197">
        <v>4.0</v>
      </c>
      <c r="E114" s="1"/>
      <c r="F114" s="1173"/>
      <c r="G114" s="295">
        <f t="shared" si="43"/>
        <v>-700000</v>
      </c>
      <c r="H114" s="295">
        <f t="shared" si="44"/>
        <v>-300000</v>
      </c>
      <c r="I114" s="295"/>
      <c r="J114" s="295"/>
      <c r="K114" s="295"/>
      <c r="L114" s="295"/>
      <c r="M114" s="295"/>
      <c r="N114" s="295"/>
      <c r="O114" s="295"/>
      <c r="P114" s="295">
        <f t="shared" ref="P114:P117" si="45">$R$111*0.2</f>
        <v>400000</v>
      </c>
      <c r="Q114" s="295">
        <f t="shared" si="41"/>
        <v>600000</v>
      </c>
      <c r="R114" s="295">
        <f t="shared" ref="R114:R115" si="46">$R$111*0.5</f>
        <v>1000000</v>
      </c>
      <c r="S114" s="1"/>
      <c r="T114" s="1173"/>
      <c r="U114" s="438"/>
      <c r="V114" s="438"/>
      <c r="W114" s="438"/>
      <c r="X114" s="438"/>
      <c r="Y114" s="438"/>
      <c r="Z114" s="438"/>
      <c r="AA114" s="438"/>
      <c r="AB114" s="438"/>
      <c r="AC114" s="438"/>
      <c r="AD114" s="438"/>
      <c r="AE114" s="438"/>
      <c r="AF114" s="438"/>
      <c r="AG114" s="438"/>
      <c r="AH114" s="438"/>
      <c r="AI114" s="438"/>
      <c r="AJ114" s="438"/>
      <c r="AK114" s="438"/>
      <c r="AL114" s="438"/>
      <c r="AM114" s="438"/>
      <c r="AN114" s="438"/>
    </row>
    <row r="115" ht="14.25" customHeight="1">
      <c r="A115" s="1"/>
      <c r="B115" s="1"/>
      <c r="C115" s="1"/>
      <c r="D115" s="1197">
        <v>5.0</v>
      </c>
      <c r="E115" s="1"/>
      <c r="F115" s="1173"/>
      <c r="G115" s="295">
        <f t="shared" si="43"/>
        <v>-700000</v>
      </c>
      <c r="H115" s="295">
        <f t="shared" ref="H115:H118" si="47">$G$111*0.2</f>
        <v>-200000</v>
      </c>
      <c r="I115" s="295">
        <f t="shared" ref="I115:I116" si="48">$G$111*0.1</f>
        <v>-100000</v>
      </c>
      <c r="J115" s="295"/>
      <c r="K115" s="295"/>
      <c r="L115" s="295"/>
      <c r="M115" s="295"/>
      <c r="N115" s="295"/>
      <c r="O115" s="295"/>
      <c r="P115" s="295">
        <f t="shared" si="45"/>
        <v>400000</v>
      </c>
      <c r="Q115" s="295">
        <f t="shared" si="41"/>
        <v>600000</v>
      </c>
      <c r="R115" s="295">
        <f t="shared" si="46"/>
        <v>1000000</v>
      </c>
      <c r="S115" s="1"/>
      <c r="T115" s="1173"/>
      <c r="U115" s="438"/>
      <c r="V115" s="438"/>
      <c r="W115" s="438"/>
      <c r="X115" s="438"/>
      <c r="Y115" s="438"/>
      <c r="Z115" s="438"/>
      <c r="AA115" s="438"/>
      <c r="AB115" s="438"/>
      <c r="AC115" s="438"/>
      <c r="AD115" s="438"/>
      <c r="AE115" s="438"/>
      <c r="AF115" s="438"/>
      <c r="AG115" s="438"/>
      <c r="AH115" s="438"/>
      <c r="AI115" s="438"/>
      <c r="AJ115" s="438"/>
      <c r="AK115" s="438"/>
      <c r="AL115" s="438"/>
      <c r="AM115" s="438"/>
      <c r="AN115" s="438"/>
    </row>
    <row r="116" ht="14.25" customHeight="1">
      <c r="A116" s="1"/>
      <c r="B116" s="1"/>
      <c r="C116" s="1"/>
      <c r="D116" s="1197">
        <v>6.0</v>
      </c>
      <c r="E116" s="1"/>
      <c r="F116" s="1173"/>
      <c r="G116" s="295">
        <f t="shared" si="43"/>
        <v>-700000</v>
      </c>
      <c r="H116" s="295">
        <f t="shared" si="47"/>
        <v>-200000</v>
      </c>
      <c r="I116" s="295">
        <f t="shared" si="48"/>
        <v>-100000</v>
      </c>
      <c r="J116" s="295"/>
      <c r="K116" s="295"/>
      <c r="L116" s="295"/>
      <c r="M116" s="295"/>
      <c r="N116" s="295"/>
      <c r="O116" s="295">
        <f t="shared" ref="O116:O117" si="49">$R$111*0.1</f>
        <v>200000</v>
      </c>
      <c r="P116" s="295">
        <f t="shared" si="45"/>
        <v>400000</v>
      </c>
      <c r="Q116" s="295">
        <f t="shared" si="41"/>
        <v>600000</v>
      </c>
      <c r="R116" s="295">
        <f t="shared" ref="R116:R119" si="50">$R$111*0.4</f>
        <v>800000</v>
      </c>
      <c r="S116" s="1"/>
      <c r="T116" s="1173"/>
      <c r="U116" s="438"/>
      <c r="V116" s="438"/>
      <c r="W116" s="438"/>
      <c r="X116" s="438"/>
      <c r="Y116" s="438"/>
      <c r="Z116" s="438"/>
      <c r="AA116" s="438"/>
      <c r="AB116" s="438"/>
      <c r="AC116" s="438"/>
      <c r="AD116" s="438"/>
      <c r="AE116" s="438"/>
      <c r="AF116" s="438"/>
      <c r="AG116" s="438"/>
      <c r="AH116" s="438"/>
      <c r="AI116" s="438"/>
      <c r="AJ116" s="438"/>
      <c r="AK116" s="438"/>
      <c r="AL116" s="438"/>
      <c r="AM116" s="438"/>
      <c r="AN116" s="438"/>
    </row>
    <row r="117" ht="14.25" customHeight="1">
      <c r="A117" s="1"/>
      <c r="B117" s="1"/>
      <c r="C117" s="1"/>
      <c r="D117" s="1197">
        <v>7.0</v>
      </c>
      <c r="E117" s="1"/>
      <c r="F117" s="1173"/>
      <c r="G117" s="295">
        <f t="shared" ref="G117:G118" si="51">$G$111*0.6</f>
        <v>-600000</v>
      </c>
      <c r="H117" s="295">
        <f t="shared" si="47"/>
        <v>-200000</v>
      </c>
      <c r="I117" s="295">
        <f t="shared" ref="I117:I118" si="52">$G$111*0.15</f>
        <v>-150000</v>
      </c>
      <c r="J117" s="295">
        <f t="shared" ref="J117:J118" si="53">$G$111*0.05</f>
        <v>-50000</v>
      </c>
      <c r="K117" s="295"/>
      <c r="L117" s="295"/>
      <c r="M117" s="295"/>
      <c r="N117" s="295"/>
      <c r="O117" s="295">
        <f t="shared" si="49"/>
        <v>200000</v>
      </c>
      <c r="P117" s="295">
        <f t="shared" si="45"/>
        <v>400000</v>
      </c>
      <c r="Q117" s="295">
        <f t="shared" si="41"/>
        <v>600000</v>
      </c>
      <c r="R117" s="295">
        <f t="shared" si="50"/>
        <v>800000</v>
      </c>
      <c r="S117" s="1"/>
      <c r="T117" s="1173"/>
      <c r="U117" s="438"/>
      <c r="V117" s="438"/>
      <c r="W117" s="438"/>
      <c r="X117" s="438"/>
      <c r="Y117" s="438"/>
      <c r="Z117" s="438"/>
      <c r="AA117" s="438"/>
      <c r="AB117" s="438"/>
      <c r="AC117" s="438"/>
      <c r="AD117" s="438"/>
      <c r="AE117" s="438"/>
      <c r="AF117" s="438"/>
      <c r="AG117" s="438"/>
      <c r="AH117" s="438"/>
      <c r="AI117" s="438"/>
      <c r="AJ117" s="438"/>
      <c r="AK117" s="438"/>
      <c r="AL117" s="438"/>
      <c r="AM117" s="438"/>
      <c r="AN117" s="438"/>
    </row>
    <row r="118" ht="14.25" customHeight="1">
      <c r="A118" s="1"/>
      <c r="B118" s="1"/>
      <c r="C118" s="1"/>
      <c r="D118" s="1197">
        <v>8.0</v>
      </c>
      <c r="E118" s="1"/>
      <c r="F118" s="1173"/>
      <c r="G118" s="295">
        <f t="shared" si="51"/>
        <v>-600000</v>
      </c>
      <c r="H118" s="295">
        <f t="shared" si="47"/>
        <v>-200000</v>
      </c>
      <c r="I118" s="295">
        <f t="shared" si="52"/>
        <v>-150000</v>
      </c>
      <c r="J118" s="295">
        <f t="shared" si="53"/>
        <v>-50000</v>
      </c>
      <c r="K118" s="295"/>
      <c r="L118" s="295"/>
      <c r="M118" s="295"/>
      <c r="N118" s="295">
        <f t="shared" ref="N118:N119" si="54">$R$111*0.05</f>
        <v>100000</v>
      </c>
      <c r="O118" s="295">
        <f t="shared" ref="O118:O119" si="55">$R$111*0.125</f>
        <v>250000</v>
      </c>
      <c r="P118" s="295">
        <f t="shared" ref="P118:P119" si="56">$R$111*0.15</f>
        <v>300000</v>
      </c>
      <c r="Q118" s="295">
        <f t="shared" ref="Q118:Q119" si="57">$R$111*0.275</f>
        <v>550000</v>
      </c>
      <c r="R118" s="295">
        <f t="shared" si="50"/>
        <v>800000</v>
      </c>
      <c r="S118" s="1"/>
      <c r="T118" s="1173"/>
      <c r="U118" s="438"/>
      <c r="V118" s="438"/>
      <c r="W118" s="438"/>
      <c r="X118" s="438"/>
      <c r="Y118" s="438"/>
      <c r="Z118" s="438"/>
      <c r="AA118" s="438"/>
      <c r="AB118" s="438"/>
      <c r="AC118" s="438"/>
      <c r="AD118" s="438"/>
      <c r="AE118" s="438"/>
      <c r="AF118" s="438"/>
      <c r="AG118" s="438"/>
      <c r="AH118" s="438"/>
      <c r="AI118" s="438"/>
      <c r="AJ118" s="438"/>
      <c r="AK118" s="438"/>
      <c r="AL118" s="438"/>
      <c r="AM118" s="438"/>
      <c r="AN118" s="438"/>
    </row>
    <row r="119" ht="14.25" customHeight="1">
      <c r="A119" s="1"/>
      <c r="B119" s="1"/>
      <c r="C119" s="1"/>
      <c r="D119" s="1197">
        <v>9.0</v>
      </c>
      <c r="E119" s="1"/>
      <c r="F119" s="1173"/>
      <c r="G119" s="295">
        <f t="shared" ref="G119:G120" si="58">$G$111*0.55</f>
        <v>-550000</v>
      </c>
      <c r="H119" s="295">
        <f t="shared" ref="H119:H120" si="59">$G$111*0.15</f>
        <v>-150000</v>
      </c>
      <c r="I119" s="295">
        <f t="shared" ref="I119:I120" si="60">$G$111*0.125</f>
        <v>-125000</v>
      </c>
      <c r="J119" s="295">
        <f t="shared" ref="J119:J120" si="61">$G$111*0.1</f>
        <v>-100000</v>
      </c>
      <c r="K119" s="295">
        <f t="shared" ref="K119:K120" si="62">$G$111*0.075</f>
        <v>-75000</v>
      </c>
      <c r="L119" s="295"/>
      <c r="M119" s="295"/>
      <c r="N119" s="295">
        <f t="shared" si="54"/>
        <v>100000</v>
      </c>
      <c r="O119" s="295">
        <f t="shared" si="55"/>
        <v>250000</v>
      </c>
      <c r="P119" s="295">
        <f t="shared" si="56"/>
        <v>300000</v>
      </c>
      <c r="Q119" s="295">
        <f t="shared" si="57"/>
        <v>550000</v>
      </c>
      <c r="R119" s="295">
        <f t="shared" si="50"/>
        <v>800000</v>
      </c>
      <c r="S119" s="1"/>
      <c r="T119" s="1173"/>
      <c r="U119" s="438"/>
      <c r="V119" s="438"/>
      <c r="W119" s="438"/>
      <c r="X119" s="438"/>
      <c r="Y119" s="438"/>
      <c r="Z119" s="438"/>
      <c r="AA119" s="438"/>
      <c r="AB119" s="438"/>
      <c r="AC119" s="438"/>
      <c r="AD119" s="438"/>
      <c r="AE119" s="438"/>
      <c r="AF119" s="438"/>
      <c r="AG119" s="438"/>
      <c r="AH119" s="438"/>
      <c r="AI119" s="438"/>
      <c r="AJ119" s="438"/>
      <c r="AK119" s="438"/>
      <c r="AL119" s="438"/>
      <c r="AM119" s="438"/>
      <c r="AN119" s="438"/>
    </row>
    <row r="120" ht="14.25" customHeight="1">
      <c r="A120" s="1"/>
      <c r="B120" s="1"/>
      <c r="C120" s="1"/>
      <c r="D120" s="1197">
        <v>10.0</v>
      </c>
      <c r="E120" s="1"/>
      <c r="F120" s="1173"/>
      <c r="G120" s="295">
        <f t="shared" si="58"/>
        <v>-550000</v>
      </c>
      <c r="H120" s="295">
        <f t="shared" si="59"/>
        <v>-150000</v>
      </c>
      <c r="I120" s="295">
        <f t="shared" si="60"/>
        <v>-125000</v>
      </c>
      <c r="J120" s="295">
        <f t="shared" si="61"/>
        <v>-100000</v>
      </c>
      <c r="K120" s="295">
        <f t="shared" si="62"/>
        <v>-75000</v>
      </c>
      <c r="L120" s="295"/>
      <c r="M120" s="295">
        <f t="shared" ref="M120:M121" si="63">$R$111*0.025</f>
        <v>50000</v>
      </c>
      <c r="N120" s="295">
        <f t="shared" ref="N120:N121" si="64">$R$111*0.075</f>
        <v>150000</v>
      </c>
      <c r="O120" s="295">
        <f t="shared" ref="O120:O121" si="65">$R$111*0.1</f>
        <v>200000</v>
      </c>
      <c r="P120" s="295">
        <f t="shared" ref="P120:P121" si="66">$R$111*0.2</f>
        <v>400000</v>
      </c>
      <c r="Q120" s="295">
        <f t="shared" ref="Q120:Q121" si="67">$R$111*0.25</f>
        <v>500000</v>
      </c>
      <c r="R120" s="295">
        <f t="shared" ref="R120:R121" si="68">$R$111*0.35</f>
        <v>700000</v>
      </c>
      <c r="S120" s="1"/>
      <c r="T120" s="1173"/>
      <c r="U120" s="438"/>
      <c r="V120" s="438"/>
      <c r="W120" s="438"/>
      <c r="X120" s="438"/>
      <c r="Y120" s="438"/>
      <c r="Z120" s="438"/>
      <c r="AA120" s="438"/>
      <c r="AB120" s="438"/>
      <c r="AC120" s="438"/>
      <c r="AD120" s="438"/>
      <c r="AE120" s="438"/>
      <c r="AF120" s="438"/>
      <c r="AG120" s="438"/>
      <c r="AH120" s="438"/>
      <c r="AI120" s="438"/>
      <c r="AJ120" s="438"/>
      <c r="AK120" s="438"/>
      <c r="AL120" s="438"/>
      <c r="AM120" s="438"/>
      <c r="AN120" s="438"/>
    </row>
    <row r="121" ht="14.25" customHeight="1">
      <c r="A121" s="1"/>
      <c r="B121" s="1"/>
      <c r="C121" s="1"/>
      <c r="D121" s="1197">
        <v>11.0</v>
      </c>
      <c r="E121" s="1"/>
      <c r="F121" s="1173"/>
      <c r="G121" s="295">
        <f>$G$111*0.5</f>
        <v>-500000</v>
      </c>
      <c r="H121" s="295">
        <f>$G$111*0.25</f>
        <v>-250000</v>
      </c>
      <c r="I121" s="295">
        <f>$G$111*0.1</f>
        <v>-100000</v>
      </c>
      <c r="J121" s="295">
        <f>$G$111*0.075</f>
        <v>-75000</v>
      </c>
      <c r="K121" s="295">
        <f>$G$111*0.05</f>
        <v>-50000</v>
      </c>
      <c r="L121" s="295">
        <f>$G$111*0.025</f>
        <v>-25000</v>
      </c>
      <c r="M121" s="295">
        <f t="shared" si="63"/>
        <v>50000</v>
      </c>
      <c r="N121" s="295">
        <f t="shared" si="64"/>
        <v>150000</v>
      </c>
      <c r="O121" s="295">
        <f t="shared" si="65"/>
        <v>200000</v>
      </c>
      <c r="P121" s="295">
        <f t="shared" si="66"/>
        <v>400000</v>
      </c>
      <c r="Q121" s="295">
        <f t="shared" si="67"/>
        <v>500000</v>
      </c>
      <c r="R121" s="295">
        <f t="shared" si="68"/>
        <v>700000</v>
      </c>
      <c r="S121" s="1"/>
      <c r="T121" s="1173"/>
      <c r="U121" s="438"/>
      <c r="V121" s="438"/>
      <c r="W121" s="438"/>
      <c r="X121" s="438"/>
      <c r="Y121" s="438"/>
      <c r="Z121" s="438"/>
      <c r="AA121" s="438"/>
      <c r="AB121" s="438"/>
      <c r="AC121" s="438"/>
      <c r="AD121" s="438"/>
      <c r="AE121" s="438"/>
      <c r="AF121" s="438"/>
      <c r="AG121" s="438"/>
      <c r="AH121" s="438"/>
      <c r="AI121" s="438"/>
      <c r="AJ121" s="438"/>
      <c r="AK121" s="438"/>
      <c r="AL121" s="438"/>
      <c r="AM121" s="438"/>
      <c r="AN121" s="438"/>
    </row>
    <row r="122" ht="14.25" customHeight="1">
      <c r="A122" s="1"/>
      <c r="B122" s="1"/>
      <c r="C122" s="1"/>
      <c r="D122" s="1197">
        <v>12.0</v>
      </c>
      <c r="E122" s="1"/>
      <c r="F122" s="1173"/>
      <c r="G122" s="295">
        <f>$G$111*0.4</f>
        <v>-400000</v>
      </c>
      <c r="H122" s="295">
        <f>$G$111*0.2</f>
        <v>-200000</v>
      </c>
      <c r="I122" s="295">
        <f>$G$111*0.15</f>
        <v>-150000</v>
      </c>
      <c r="J122" s="295">
        <f>$G$111*0.125</f>
        <v>-125000</v>
      </c>
      <c r="K122" s="295">
        <f>$G$111*0.075</f>
        <v>-75000</v>
      </c>
      <c r="L122" s="295">
        <f>$G$111*0.05</f>
        <v>-50000</v>
      </c>
      <c r="M122" s="295">
        <f>$R$111*0.05</f>
        <v>100000</v>
      </c>
      <c r="N122" s="295">
        <f>$R$111*0.1</f>
        <v>200000</v>
      </c>
      <c r="O122" s="295">
        <f>$R$111*0.15</f>
        <v>300000</v>
      </c>
      <c r="P122" s="295">
        <f>$R$111*0.175</f>
        <v>350000</v>
      </c>
      <c r="Q122" s="295">
        <f>$R$111*0.225</f>
        <v>450000</v>
      </c>
      <c r="R122" s="295">
        <f>$R$111*0.3</f>
        <v>600000</v>
      </c>
      <c r="S122" s="1"/>
      <c r="T122" s="1173"/>
      <c r="U122" s="438"/>
      <c r="V122" s="438"/>
      <c r="W122" s="438"/>
      <c r="X122" s="438"/>
      <c r="Y122" s="438"/>
      <c r="Z122" s="438"/>
      <c r="AA122" s="438"/>
      <c r="AB122" s="438"/>
      <c r="AC122" s="438"/>
      <c r="AD122" s="438"/>
      <c r="AE122" s="438"/>
      <c r="AF122" s="438"/>
      <c r="AG122" s="438"/>
      <c r="AH122" s="438"/>
      <c r="AI122" s="438"/>
      <c r="AJ122" s="438"/>
      <c r="AK122" s="438"/>
      <c r="AL122" s="438"/>
      <c r="AM122" s="438"/>
      <c r="AN122" s="438"/>
    </row>
    <row r="123" ht="14.25" customHeight="1">
      <c r="A123" s="1"/>
      <c r="B123" s="1"/>
      <c r="C123" s="1"/>
      <c r="D123" s="1"/>
      <c r="E123" s="1"/>
      <c r="F123" s="1173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173"/>
      <c r="U123" s="438"/>
      <c r="V123" s="438"/>
      <c r="W123" s="438"/>
      <c r="X123" s="438"/>
      <c r="Y123" s="438"/>
      <c r="Z123" s="438"/>
      <c r="AA123" s="438"/>
      <c r="AB123" s="438"/>
      <c r="AC123" s="438"/>
      <c r="AD123" s="438"/>
      <c r="AE123" s="438"/>
      <c r="AF123" s="438"/>
      <c r="AG123" s="438"/>
      <c r="AH123" s="438"/>
      <c r="AI123" s="438"/>
      <c r="AJ123" s="438"/>
      <c r="AK123" s="438"/>
      <c r="AL123" s="438"/>
      <c r="AM123" s="438"/>
      <c r="AN123" s="438"/>
    </row>
    <row r="124" ht="14.25" customHeight="1">
      <c r="A124" s="1"/>
      <c r="B124" s="1"/>
      <c r="C124" s="1"/>
      <c r="D124" s="1"/>
      <c r="E124" s="1"/>
      <c r="F124" s="1173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173"/>
      <c r="U124" s="438"/>
      <c r="V124" s="438"/>
      <c r="W124" s="438"/>
      <c r="X124" s="438"/>
      <c r="Y124" s="438"/>
      <c r="Z124" s="438"/>
      <c r="AA124" s="438"/>
      <c r="AB124" s="438"/>
      <c r="AC124" s="438"/>
      <c r="AD124" s="438"/>
      <c r="AE124" s="438"/>
      <c r="AF124" s="438"/>
      <c r="AG124" s="438"/>
      <c r="AH124" s="438"/>
      <c r="AI124" s="438"/>
      <c r="AJ124" s="438"/>
      <c r="AK124" s="438"/>
      <c r="AL124" s="438"/>
      <c r="AM124" s="438"/>
      <c r="AN124" s="438"/>
    </row>
    <row r="125" ht="14.25" customHeight="1">
      <c r="A125" s="1"/>
      <c r="B125" s="1"/>
      <c r="C125" s="1"/>
      <c r="D125" s="1"/>
      <c r="E125" s="1"/>
      <c r="F125" s="1173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173"/>
      <c r="U125" s="438"/>
      <c r="V125" s="438"/>
      <c r="W125" s="438"/>
      <c r="X125" s="438"/>
      <c r="Y125" s="438"/>
      <c r="Z125" s="438"/>
      <c r="AA125" s="438"/>
      <c r="AB125" s="438"/>
      <c r="AC125" s="438"/>
      <c r="AD125" s="438"/>
      <c r="AE125" s="438"/>
      <c r="AF125" s="438"/>
      <c r="AG125" s="438"/>
      <c r="AH125" s="438"/>
      <c r="AI125" s="438"/>
      <c r="AJ125" s="438"/>
      <c r="AK125" s="438"/>
      <c r="AL125" s="438"/>
      <c r="AM125" s="438"/>
      <c r="AN125" s="438"/>
    </row>
    <row r="126" ht="14.25" customHeight="1">
      <c r="A126" s="1"/>
      <c r="B126" s="1"/>
      <c r="C126" s="1"/>
      <c r="D126" s="1"/>
      <c r="E126" s="1"/>
      <c r="F126" s="1173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173"/>
      <c r="U126" s="438"/>
      <c r="V126" s="438"/>
      <c r="W126" s="438"/>
      <c r="X126" s="438"/>
      <c r="Y126" s="438"/>
      <c r="Z126" s="438"/>
      <c r="AA126" s="438"/>
      <c r="AB126" s="438"/>
      <c r="AC126" s="438"/>
      <c r="AD126" s="438"/>
      <c r="AE126" s="438"/>
      <c r="AF126" s="438"/>
      <c r="AG126" s="438"/>
      <c r="AH126" s="438"/>
      <c r="AI126" s="438"/>
      <c r="AJ126" s="438"/>
      <c r="AK126" s="438"/>
      <c r="AL126" s="438"/>
      <c r="AM126" s="438"/>
      <c r="AN126" s="438"/>
    </row>
    <row r="127" ht="14.25" customHeight="1">
      <c r="A127" s="1"/>
      <c r="B127" s="1"/>
      <c r="C127" s="1"/>
      <c r="D127" s="1"/>
      <c r="E127" s="1"/>
      <c r="F127" s="1173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173"/>
      <c r="U127" s="438"/>
      <c r="V127" s="438"/>
      <c r="W127" s="438"/>
      <c r="X127" s="438"/>
      <c r="Y127" s="438"/>
      <c r="Z127" s="438"/>
      <c r="AA127" s="438"/>
      <c r="AB127" s="438"/>
      <c r="AC127" s="438"/>
      <c r="AD127" s="438"/>
      <c r="AE127" s="438"/>
      <c r="AF127" s="438"/>
      <c r="AG127" s="438"/>
      <c r="AH127" s="438"/>
      <c r="AI127" s="438"/>
      <c r="AJ127" s="438"/>
      <c r="AK127" s="438"/>
      <c r="AL127" s="438"/>
      <c r="AM127" s="438"/>
      <c r="AN127" s="438"/>
    </row>
    <row r="128" ht="14.25" customHeight="1">
      <c r="A128" s="1"/>
      <c r="B128" s="1"/>
      <c r="C128" s="1"/>
      <c r="D128" s="1"/>
      <c r="E128" s="1"/>
      <c r="F128" s="1173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173"/>
      <c r="U128" s="438"/>
      <c r="V128" s="438"/>
      <c r="W128" s="438"/>
      <c r="X128" s="438"/>
      <c r="Y128" s="438"/>
      <c r="Z128" s="438"/>
      <c r="AA128" s="438"/>
      <c r="AB128" s="438"/>
      <c r="AC128" s="438"/>
      <c r="AD128" s="438"/>
      <c r="AE128" s="438"/>
      <c r="AF128" s="438"/>
      <c r="AG128" s="438"/>
      <c r="AH128" s="438"/>
      <c r="AI128" s="438"/>
      <c r="AJ128" s="438"/>
      <c r="AK128" s="438"/>
      <c r="AL128" s="438"/>
      <c r="AM128" s="438"/>
      <c r="AN128" s="438"/>
    </row>
    <row r="129" ht="14.25" customHeight="1">
      <c r="A129" s="1"/>
      <c r="B129" s="1"/>
      <c r="C129" s="1"/>
      <c r="D129" s="1"/>
      <c r="E129" s="1"/>
      <c r="F129" s="1173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173"/>
      <c r="U129" s="438"/>
      <c r="V129" s="438"/>
      <c r="W129" s="438"/>
      <c r="X129" s="438"/>
      <c r="Y129" s="438"/>
      <c r="Z129" s="438"/>
      <c r="AA129" s="438"/>
      <c r="AB129" s="438"/>
      <c r="AC129" s="438"/>
      <c r="AD129" s="438"/>
      <c r="AE129" s="438"/>
      <c r="AF129" s="438"/>
      <c r="AG129" s="438"/>
      <c r="AH129" s="438"/>
      <c r="AI129" s="438"/>
      <c r="AJ129" s="438"/>
      <c r="AK129" s="438"/>
      <c r="AL129" s="438"/>
      <c r="AM129" s="438"/>
      <c r="AN129" s="438"/>
    </row>
    <row r="130" ht="14.25" customHeight="1">
      <c r="A130" s="1"/>
      <c r="B130" s="1"/>
      <c r="C130" s="1"/>
      <c r="D130" s="1"/>
      <c r="E130" s="1"/>
      <c r="F130" s="1173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173"/>
      <c r="U130" s="438"/>
      <c r="V130" s="438"/>
      <c r="W130" s="438"/>
      <c r="X130" s="438"/>
      <c r="Y130" s="438"/>
      <c r="Z130" s="438"/>
      <c r="AA130" s="438"/>
      <c r="AB130" s="438"/>
      <c r="AC130" s="438"/>
      <c r="AD130" s="438"/>
      <c r="AE130" s="438"/>
      <c r="AF130" s="438"/>
      <c r="AG130" s="438"/>
      <c r="AH130" s="438"/>
      <c r="AI130" s="438"/>
      <c r="AJ130" s="438"/>
      <c r="AK130" s="438"/>
      <c r="AL130" s="438"/>
      <c r="AM130" s="438"/>
      <c r="AN130" s="438"/>
    </row>
    <row r="131" ht="14.25" customHeight="1">
      <c r="A131" s="1"/>
      <c r="B131" s="1"/>
      <c r="C131" s="1"/>
      <c r="D131" s="1"/>
      <c r="E131" s="1"/>
      <c r="F131" s="1173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173"/>
      <c r="U131" s="438"/>
      <c r="V131" s="438"/>
      <c r="W131" s="438"/>
      <c r="X131" s="438"/>
      <c r="Y131" s="438"/>
      <c r="Z131" s="438"/>
      <c r="AA131" s="438"/>
      <c r="AB131" s="438"/>
      <c r="AC131" s="438"/>
      <c r="AD131" s="438"/>
      <c r="AE131" s="438"/>
      <c r="AF131" s="438"/>
      <c r="AG131" s="438"/>
      <c r="AH131" s="438"/>
      <c r="AI131" s="438"/>
      <c r="AJ131" s="438"/>
      <c r="AK131" s="438"/>
      <c r="AL131" s="438"/>
      <c r="AM131" s="438"/>
      <c r="AN131" s="438"/>
    </row>
    <row r="132" ht="14.25" customHeight="1">
      <c r="A132" s="1"/>
      <c r="B132" s="1"/>
      <c r="C132" s="1"/>
      <c r="D132" s="1"/>
      <c r="E132" s="1"/>
      <c r="F132" s="1173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173"/>
      <c r="U132" s="438"/>
      <c r="V132" s="438"/>
      <c r="W132" s="438"/>
      <c r="X132" s="438"/>
      <c r="Y132" s="438"/>
      <c r="Z132" s="438"/>
      <c r="AA132" s="438"/>
      <c r="AB132" s="438"/>
      <c r="AC132" s="438"/>
      <c r="AD132" s="438"/>
      <c r="AE132" s="438"/>
      <c r="AF132" s="438"/>
      <c r="AG132" s="438"/>
      <c r="AH132" s="438"/>
      <c r="AI132" s="438"/>
      <c r="AJ132" s="438"/>
      <c r="AK132" s="438"/>
      <c r="AL132" s="438"/>
      <c r="AM132" s="438"/>
      <c r="AN132" s="438"/>
    </row>
    <row r="133" ht="14.25" customHeight="1">
      <c r="A133" s="1"/>
      <c r="B133" s="1"/>
      <c r="C133" s="1"/>
      <c r="D133" s="1"/>
      <c r="E133" s="1"/>
      <c r="F133" s="1173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173"/>
      <c r="U133" s="438"/>
      <c r="V133" s="438"/>
      <c r="W133" s="438"/>
      <c r="X133" s="438"/>
      <c r="Y133" s="438"/>
      <c r="Z133" s="438"/>
      <c r="AA133" s="438"/>
      <c r="AB133" s="438"/>
      <c r="AC133" s="438"/>
      <c r="AD133" s="438"/>
      <c r="AE133" s="438"/>
      <c r="AF133" s="438"/>
      <c r="AG133" s="438"/>
      <c r="AH133" s="438"/>
      <c r="AI133" s="438"/>
      <c r="AJ133" s="438"/>
      <c r="AK133" s="438"/>
      <c r="AL133" s="438"/>
      <c r="AM133" s="438"/>
      <c r="AN133" s="438"/>
    </row>
    <row r="134" ht="14.25" customHeight="1">
      <c r="A134" s="1"/>
      <c r="B134" s="1"/>
      <c r="C134" s="1"/>
      <c r="D134" s="1"/>
      <c r="E134" s="1"/>
      <c r="F134" s="1173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173"/>
      <c r="U134" s="438"/>
      <c r="V134" s="438"/>
      <c r="W134" s="438"/>
      <c r="X134" s="438"/>
      <c r="Y134" s="438"/>
      <c r="Z134" s="438"/>
      <c r="AA134" s="438"/>
      <c r="AB134" s="438"/>
      <c r="AC134" s="438"/>
      <c r="AD134" s="438"/>
      <c r="AE134" s="438"/>
      <c r="AF134" s="438"/>
      <c r="AG134" s="438"/>
      <c r="AH134" s="438"/>
      <c r="AI134" s="438"/>
      <c r="AJ134" s="438"/>
      <c r="AK134" s="438"/>
      <c r="AL134" s="438"/>
      <c r="AM134" s="438"/>
      <c r="AN134" s="438"/>
    </row>
    <row r="135" ht="14.25" customHeight="1">
      <c r="A135" s="1"/>
      <c r="B135" s="1"/>
      <c r="C135" s="1"/>
      <c r="D135" s="1"/>
      <c r="E135" s="1"/>
      <c r="F135" s="1173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173"/>
      <c r="U135" s="438"/>
      <c r="V135" s="438"/>
      <c r="W135" s="438"/>
      <c r="X135" s="438"/>
      <c r="Y135" s="438"/>
      <c r="Z135" s="438"/>
      <c r="AA135" s="438"/>
      <c r="AB135" s="438"/>
      <c r="AC135" s="438"/>
      <c r="AD135" s="438"/>
      <c r="AE135" s="438"/>
      <c r="AF135" s="438"/>
      <c r="AG135" s="438"/>
      <c r="AH135" s="438"/>
      <c r="AI135" s="438"/>
      <c r="AJ135" s="438"/>
      <c r="AK135" s="438"/>
      <c r="AL135" s="438"/>
      <c r="AM135" s="438"/>
      <c r="AN135" s="438"/>
    </row>
    <row r="136" ht="14.25" customHeight="1">
      <c r="A136" s="1"/>
      <c r="B136" s="1"/>
      <c r="C136" s="1"/>
      <c r="D136" s="1"/>
      <c r="E136" s="1"/>
      <c r="F136" s="1173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173"/>
      <c r="U136" s="438"/>
      <c r="V136" s="438"/>
      <c r="W136" s="438"/>
      <c r="X136" s="438"/>
      <c r="Y136" s="438"/>
      <c r="Z136" s="438"/>
      <c r="AA136" s="438"/>
      <c r="AB136" s="438"/>
      <c r="AC136" s="438"/>
      <c r="AD136" s="438"/>
      <c r="AE136" s="438"/>
      <c r="AF136" s="438"/>
      <c r="AG136" s="438"/>
      <c r="AH136" s="438"/>
      <c r="AI136" s="438"/>
      <c r="AJ136" s="438"/>
      <c r="AK136" s="438"/>
      <c r="AL136" s="438"/>
      <c r="AM136" s="438"/>
      <c r="AN136" s="438"/>
    </row>
    <row r="137" ht="14.25" customHeight="1">
      <c r="A137" s="1"/>
      <c r="B137" s="1"/>
      <c r="C137" s="1"/>
      <c r="D137" s="1"/>
      <c r="E137" s="1"/>
      <c r="F137" s="1173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173"/>
      <c r="U137" s="438"/>
      <c r="V137" s="438"/>
      <c r="W137" s="438"/>
      <c r="X137" s="438"/>
      <c r="Y137" s="438"/>
      <c r="Z137" s="438"/>
      <c r="AA137" s="438"/>
      <c r="AB137" s="438"/>
      <c r="AC137" s="438"/>
      <c r="AD137" s="438"/>
      <c r="AE137" s="438"/>
      <c r="AF137" s="438"/>
      <c r="AG137" s="438"/>
      <c r="AH137" s="438"/>
      <c r="AI137" s="438"/>
      <c r="AJ137" s="438"/>
      <c r="AK137" s="438"/>
      <c r="AL137" s="438"/>
      <c r="AM137" s="438"/>
      <c r="AN137" s="438"/>
    </row>
    <row r="138" ht="14.25" customHeight="1">
      <c r="A138" s="1"/>
      <c r="B138" s="1"/>
      <c r="C138" s="1"/>
      <c r="D138" s="1"/>
      <c r="E138" s="1"/>
      <c r="F138" s="1173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173"/>
      <c r="U138" s="438"/>
      <c r="V138" s="438"/>
      <c r="W138" s="438"/>
      <c r="X138" s="438"/>
      <c r="Y138" s="438"/>
      <c r="Z138" s="438"/>
      <c r="AA138" s="438"/>
      <c r="AB138" s="438"/>
      <c r="AC138" s="438"/>
      <c r="AD138" s="438"/>
      <c r="AE138" s="438"/>
      <c r="AF138" s="438"/>
      <c r="AG138" s="438"/>
      <c r="AH138" s="438"/>
      <c r="AI138" s="438"/>
      <c r="AJ138" s="438"/>
      <c r="AK138" s="438"/>
      <c r="AL138" s="438"/>
      <c r="AM138" s="438"/>
      <c r="AN138" s="438"/>
    </row>
    <row r="139" ht="14.25" customHeight="1">
      <c r="A139" s="1"/>
      <c r="B139" s="1"/>
      <c r="C139" s="1"/>
      <c r="D139" s="1"/>
      <c r="E139" s="1"/>
      <c r="F139" s="1173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173"/>
      <c r="U139" s="438"/>
      <c r="V139" s="438"/>
      <c r="W139" s="438"/>
      <c r="X139" s="438"/>
      <c r="Y139" s="438"/>
      <c r="Z139" s="438"/>
      <c r="AA139" s="438"/>
      <c r="AB139" s="438"/>
      <c r="AC139" s="438"/>
      <c r="AD139" s="438"/>
      <c r="AE139" s="438"/>
      <c r="AF139" s="438"/>
      <c r="AG139" s="438"/>
      <c r="AH139" s="438"/>
      <c r="AI139" s="438"/>
      <c r="AJ139" s="438"/>
      <c r="AK139" s="438"/>
      <c r="AL139" s="438"/>
      <c r="AM139" s="438"/>
      <c r="AN139" s="438"/>
    </row>
    <row r="140" ht="14.25" customHeight="1">
      <c r="A140" s="1"/>
      <c r="B140" s="1"/>
      <c r="C140" s="1"/>
      <c r="D140" s="1"/>
      <c r="E140" s="1"/>
      <c r="F140" s="1173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173"/>
      <c r="U140" s="438"/>
      <c r="V140" s="438"/>
      <c r="W140" s="438"/>
      <c r="X140" s="438"/>
      <c r="Y140" s="438"/>
      <c r="Z140" s="438"/>
      <c r="AA140" s="438"/>
      <c r="AB140" s="438"/>
      <c r="AC140" s="438"/>
      <c r="AD140" s="438"/>
      <c r="AE140" s="438"/>
      <c r="AF140" s="438"/>
      <c r="AG140" s="438"/>
      <c r="AH140" s="438"/>
      <c r="AI140" s="438"/>
      <c r="AJ140" s="438"/>
      <c r="AK140" s="438"/>
      <c r="AL140" s="438"/>
      <c r="AM140" s="438"/>
      <c r="AN140" s="438"/>
    </row>
    <row r="141" ht="14.25" customHeight="1">
      <c r="A141" s="1"/>
      <c r="B141" s="1"/>
      <c r="C141" s="1"/>
      <c r="D141" s="1"/>
      <c r="E141" s="1"/>
      <c r="F141" s="1173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173"/>
      <c r="U141" s="438"/>
      <c r="V141" s="438"/>
      <c r="W141" s="438"/>
      <c r="X141" s="438"/>
      <c r="Y141" s="438"/>
      <c r="Z141" s="438"/>
      <c r="AA141" s="438"/>
      <c r="AB141" s="438"/>
      <c r="AC141" s="438"/>
      <c r="AD141" s="438"/>
      <c r="AE141" s="438"/>
      <c r="AF141" s="438"/>
      <c r="AG141" s="438"/>
      <c r="AH141" s="438"/>
      <c r="AI141" s="438"/>
      <c r="AJ141" s="438"/>
      <c r="AK141" s="438"/>
      <c r="AL141" s="438"/>
      <c r="AM141" s="438"/>
      <c r="AN141" s="438"/>
    </row>
    <row r="142" ht="14.25" customHeight="1">
      <c r="A142" s="1"/>
      <c r="B142" s="1"/>
      <c r="C142" s="1"/>
      <c r="D142" s="1"/>
      <c r="E142" s="1"/>
      <c r="F142" s="1173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173"/>
      <c r="U142" s="438"/>
      <c r="V142" s="438"/>
      <c r="W142" s="438"/>
      <c r="X142" s="438"/>
      <c r="Y142" s="438"/>
      <c r="Z142" s="438"/>
      <c r="AA142" s="438"/>
      <c r="AB142" s="438"/>
      <c r="AC142" s="438"/>
      <c r="AD142" s="438"/>
      <c r="AE142" s="438"/>
      <c r="AF142" s="438"/>
      <c r="AG142" s="438"/>
      <c r="AH142" s="438"/>
      <c r="AI142" s="438"/>
      <c r="AJ142" s="438"/>
      <c r="AK142" s="438"/>
      <c r="AL142" s="438"/>
      <c r="AM142" s="438"/>
      <c r="AN142" s="438"/>
    </row>
    <row r="143" ht="14.25" customHeight="1">
      <c r="A143" s="1"/>
      <c r="B143" s="1"/>
      <c r="C143" s="1"/>
      <c r="D143" s="1"/>
      <c r="E143" s="1"/>
      <c r="F143" s="1173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173"/>
      <c r="U143" s="438"/>
      <c r="V143" s="438"/>
      <c r="W143" s="438"/>
      <c r="X143" s="438"/>
      <c r="Y143" s="438"/>
      <c r="Z143" s="438"/>
      <c r="AA143" s="438"/>
      <c r="AB143" s="438"/>
      <c r="AC143" s="438"/>
      <c r="AD143" s="438"/>
      <c r="AE143" s="438"/>
      <c r="AF143" s="438"/>
      <c r="AG143" s="438"/>
      <c r="AH143" s="438"/>
      <c r="AI143" s="438"/>
      <c r="AJ143" s="438"/>
      <c r="AK143" s="438"/>
      <c r="AL143" s="438"/>
      <c r="AM143" s="438"/>
      <c r="AN143" s="438"/>
    </row>
    <row r="144" ht="14.25" customHeight="1">
      <c r="A144" s="1"/>
      <c r="B144" s="1"/>
      <c r="C144" s="1"/>
      <c r="D144" s="1"/>
      <c r="E144" s="1"/>
      <c r="F144" s="1173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173"/>
      <c r="U144" s="438"/>
      <c r="V144" s="438"/>
      <c r="W144" s="438"/>
      <c r="X144" s="438"/>
      <c r="Y144" s="438"/>
      <c r="Z144" s="438"/>
      <c r="AA144" s="438"/>
      <c r="AB144" s="438"/>
      <c r="AC144" s="438"/>
      <c r="AD144" s="438"/>
      <c r="AE144" s="438"/>
      <c r="AF144" s="438"/>
      <c r="AG144" s="438"/>
      <c r="AH144" s="438"/>
      <c r="AI144" s="438"/>
      <c r="AJ144" s="438"/>
      <c r="AK144" s="438"/>
      <c r="AL144" s="438"/>
      <c r="AM144" s="438"/>
      <c r="AN144" s="438"/>
    </row>
    <row r="145" ht="14.25" customHeight="1">
      <c r="A145" s="1"/>
      <c r="B145" s="1"/>
      <c r="C145" s="1"/>
      <c r="D145" s="1"/>
      <c r="E145" s="1"/>
      <c r="F145" s="1173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173"/>
      <c r="U145" s="438"/>
      <c r="V145" s="438"/>
      <c r="W145" s="438"/>
      <c r="X145" s="438"/>
      <c r="Y145" s="438"/>
      <c r="Z145" s="438"/>
      <c r="AA145" s="438"/>
      <c r="AB145" s="438"/>
      <c r="AC145" s="438"/>
      <c r="AD145" s="438"/>
      <c r="AE145" s="438"/>
      <c r="AF145" s="438"/>
      <c r="AG145" s="438"/>
      <c r="AH145" s="438"/>
      <c r="AI145" s="438"/>
      <c r="AJ145" s="438"/>
      <c r="AK145" s="438"/>
      <c r="AL145" s="438"/>
      <c r="AM145" s="438"/>
      <c r="AN145" s="438"/>
    </row>
    <row r="146" ht="14.25" customHeight="1">
      <c r="A146" s="1"/>
      <c r="B146" s="1"/>
      <c r="C146" s="1"/>
      <c r="D146" s="1"/>
      <c r="E146" s="1"/>
      <c r="F146" s="1173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173"/>
      <c r="U146" s="438"/>
      <c r="V146" s="438"/>
      <c r="W146" s="438"/>
      <c r="X146" s="438"/>
      <c r="Y146" s="438"/>
      <c r="Z146" s="438"/>
      <c r="AA146" s="438"/>
      <c r="AB146" s="438"/>
      <c r="AC146" s="438"/>
      <c r="AD146" s="438"/>
      <c r="AE146" s="438"/>
      <c r="AF146" s="438"/>
      <c r="AG146" s="438"/>
      <c r="AH146" s="438"/>
      <c r="AI146" s="438"/>
      <c r="AJ146" s="438"/>
      <c r="AK146" s="438"/>
      <c r="AL146" s="438"/>
      <c r="AM146" s="438"/>
      <c r="AN146" s="438"/>
    </row>
    <row r="147" ht="14.25" customHeight="1">
      <c r="A147" s="1"/>
      <c r="B147" s="1"/>
      <c r="C147" s="1"/>
      <c r="D147" s="1"/>
      <c r="E147" s="1"/>
      <c r="F147" s="1173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173"/>
      <c r="U147" s="438"/>
      <c r="V147" s="438"/>
      <c r="W147" s="438"/>
      <c r="X147" s="438"/>
      <c r="Y147" s="438"/>
      <c r="Z147" s="438"/>
      <c r="AA147" s="438"/>
      <c r="AB147" s="438"/>
      <c r="AC147" s="438"/>
      <c r="AD147" s="438"/>
      <c r="AE147" s="438"/>
      <c r="AF147" s="438"/>
      <c r="AG147" s="438"/>
      <c r="AH147" s="438"/>
      <c r="AI147" s="438"/>
      <c r="AJ147" s="438"/>
      <c r="AK147" s="438"/>
      <c r="AL147" s="438"/>
      <c r="AM147" s="438"/>
      <c r="AN147" s="438"/>
    </row>
    <row r="148" ht="14.25" customHeight="1">
      <c r="A148" s="1"/>
      <c r="B148" s="1"/>
      <c r="C148" s="1"/>
      <c r="D148" s="1"/>
      <c r="E148" s="1"/>
      <c r="F148" s="1173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173"/>
      <c r="U148" s="438"/>
      <c r="V148" s="438"/>
      <c r="W148" s="438"/>
      <c r="X148" s="438"/>
      <c r="Y148" s="438"/>
      <c r="Z148" s="438"/>
      <c r="AA148" s="438"/>
      <c r="AB148" s="438"/>
      <c r="AC148" s="438"/>
      <c r="AD148" s="438"/>
      <c r="AE148" s="438"/>
      <c r="AF148" s="438"/>
      <c r="AG148" s="438"/>
      <c r="AH148" s="438"/>
      <c r="AI148" s="438"/>
      <c r="AJ148" s="438"/>
      <c r="AK148" s="438"/>
      <c r="AL148" s="438"/>
      <c r="AM148" s="438"/>
      <c r="AN148" s="438"/>
    </row>
    <row r="149" ht="14.25" customHeight="1">
      <c r="A149" s="1"/>
      <c r="B149" s="1"/>
      <c r="C149" s="1"/>
      <c r="D149" s="1"/>
      <c r="E149" s="1"/>
      <c r="F149" s="1173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173"/>
      <c r="U149" s="438"/>
      <c r="V149" s="438"/>
      <c r="W149" s="438"/>
      <c r="X149" s="438"/>
      <c r="Y149" s="438"/>
      <c r="Z149" s="438"/>
      <c r="AA149" s="438"/>
      <c r="AB149" s="438"/>
      <c r="AC149" s="438"/>
      <c r="AD149" s="438"/>
      <c r="AE149" s="438"/>
      <c r="AF149" s="438"/>
      <c r="AG149" s="438"/>
      <c r="AH149" s="438"/>
      <c r="AI149" s="438"/>
      <c r="AJ149" s="438"/>
      <c r="AK149" s="438"/>
      <c r="AL149" s="438"/>
      <c r="AM149" s="438"/>
      <c r="AN149" s="438"/>
    </row>
    <row r="150" ht="14.25" customHeight="1">
      <c r="A150" s="1"/>
      <c r="B150" s="1"/>
      <c r="C150" s="1"/>
      <c r="D150" s="1"/>
      <c r="E150" s="1"/>
      <c r="F150" s="1173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173"/>
      <c r="U150" s="438"/>
      <c r="V150" s="438"/>
      <c r="W150" s="438"/>
      <c r="X150" s="438"/>
      <c r="Y150" s="438"/>
      <c r="Z150" s="438"/>
      <c r="AA150" s="438"/>
      <c r="AB150" s="438"/>
      <c r="AC150" s="438"/>
      <c r="AD150" s="438"/>
      <c r="AE150" s="438"/>
      <c r="AF150" s="438"/>
      <c r="AG150" s="438"/>
      <c r="AH150" s="438"/>
      <c r="AI150" s="438"/>
      <c r="AJ150" s="438"/>
      <c r="AK150" s="438"/>
      <c r="AL150" s="438"/>
      <c r="AM150" s="438"/>
      <c r="AN150" s="438"/>
    </row>
    <row r="151" ht="14.25" customHeight="1">
      <c r="A151" s="1"/>
      <c r="B151" s="1"/>
      <c r="C151" s="1"/>
      <c r="D151" s="1"/>
      <c r="E151" s="1"/>
      <c r="F151" s="117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173"/>
      <c r="U151" s="438"/>
      <c r="V151" s="438"/>
      <c r="W151" s="438"/>
      <c r="X151" s="438"/>
      <c r="Y151" s="438"/>
      <c r="Z151" s="438"/>
      <c r="AA151" s="438"/>
      <c r="AB151" s="438"/>
      <c r="AC151" s="438"/>
      <c r="AD151" s="438"/>
      <c r="AE151" s="438"/>
      <c r="AF151" s="438"/>
      <c r="AG151" s="438"/>
      <c r="AH151" s="438"/>
      <c r="AI151" s="438"/>
      <c r="AJ151" s="438"/>
      <c r="AK151" s="438"/>
      <c r="AL151" s="438"/>
      <c r="AM151" s="438"/>
      <c r="AN151" s="438"/>
    </row>
    <row r="152" ht="14.25" customHeight="1">
      <c r="A152" s="1"/>
      <c r="B152" s="1"/>
      <c r="C152" s="1"/>
      <c r="D152" s="1"/>
      <c r="E152" s="1"/>
      <c r="F152" s="1173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173"/>
      <c r="U152" s="438"/>
      <c r="V152" s="438"/>
      <c r="W152" s="438"/>
      <c r="X152" s="438"/>
      <c r="Y152" s="438"/>
      <c r="Z152" s="438"/>
      <c r="AA152" s="438"/>
      <c r="AB152" s="438"/>
      <c r="AC152" s="438"/>
      <c r="AD152" s="438"/>
      <c r="AE152" s="438"/>
      <c r="AF152" s="438"/>
      <c r="AG152" s="438"/>
      <c r="AH152" s="438"/>
      <c r="AI152" s="438"/>
      <c r="AJ152" s="438"/>
      <c r="AK152" s="438"/>
      <c r="AL152" s="438"/>
      <c r="AM152" s="438"/>
      <c r="AN152" s="438"/>
    </row>
    <row r="153" ht="14.25" customHeight="1">
      <c r="A153" s="1"/>
      <c r="B153" s="1"/>
      <c r="C153" s="1"/>
      <c r="D153" s="1"/>
      <c r="E153" s="1"/>
      <c r="F153" s="1173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173"/>
      <c r="U153" s="438"/>
      <c r="V153" s="438"/>
      <c r="W153" s="438"/>
      <c r="X153" s="438"/>
      <c r="Y153" s="438"/>
      <c r="Z153" s="438"/>
      <c r="AA153" s="438"/>
      <c r="AB153" s="438"/>
      <c r="AC153" s="438"/>
      <c r="AD153" s="438"/>
      <c r="AE153" s="438"/>
      <c r="AF153" s="438"/>
      <c r="AG153" s="438"/>
      <c r="AH153" s="438"/>
      <c r="AI153" s="438"/>
      <c r="AJ153" s="438"/>
      <c r="AK153" s="438"/>
      <c r="AL153" s="438"/>
      <c r="AM153" s="438"/>
      <c r="AN153" s="438"/>
    </row>
    <row r="154" ht="14.25" customHeight="1">
      <c r="A154" s="1"/>
      <c r="B154" s="1"/>
      <c r="C154" s="1"/>
      <c r="D154" s="1"/>
      <c r="E154" s="1"/>
      <c r="F154" s="1173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173"/>
      <c r="U154" s="438"/>
      <c r="V154" s="438"/>
      <c r="W154" s="438"/>
      <c r="X154" s="438"/>
      <c r="Y154" s="438"/>
      <c r="Z154" s="438"/>
      <c r="AA154" s="438"/>
      <c r="AB154" s="438"/>
      <c r="AC154" s="438"/>
      <c r="AD154" s="438"/>
      <c r="AE154" s="438"/>
      <c r="AF154" s="438"/>
      <c r="AG154" s="438"/>
      <c r="AH154" s="438"/>
      <c r="AI154" s="438"/>
      <c r="AJ154" s="438"/>
      <c r="AK154" s="438"/>
      <c r="AL154" s="438"/>
      <c r="AM154" s="438"/>
      <c r="AN154" s="438"/>
    </row>
    <row r="155" ht="14.25" customHeight="1">
      <c r="A155" s="1"/>
      <c r="B155" s="1"/>
      <c r="C155" s="1"/>
      <c r="D155" s="1"/>
      <c r="E155" s="1"/>
      <c r="F155" s="1173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173"/>
      <c r="U155" s="438"/>
      <c r="V155" s="438"/>
      <c r="W155" s="438"/>
      <c r="X155" s="438"/>
      <c r="Y155" s="438"/>
      <c r="Z155" s="438"/>
      <c r="AA155" s="438"/>
      <c r="AB155" s="438"/>
      <c r="AC155" s="438"/>
      <c r="AD155" s="438"/>
      <c r="AE155" s="438"/>
      <c r="AF155" s="438"/>
      <c r="AG155" s="438"/>
      <c r="AH155" s="438"/>
      <c r="AI155" s="438"/>
      <c r="AJ155" s="438"/>
      <c r="AK155" s="438"/>
      <c r="AL155" s="438"/>
      <c r="AM155" s="438"/>
      <c r="AN155" s="438"/>
    </row>
    <row r="156" ht="14.25" customHeight="1">
      <c r="A156" s="1"/>
      <c r="B156" s="1"/>
      <c r="C156" s="1"/>
      <c r="D156" s="1"/>
      <c r="E156" s="1"/>
      <c r="F156" s="1173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173"/>
      <c r="U156" s="438"/>
      <c r="V156" s="438"/>
      <c r="W156" s="438"/>
      <c r="X156" s="438"/>
      <c r="Y156" s="438"/>
      <c r="Z156" s="438"/>
      <c r="AA156" s="438"/>
      <c r="AB156" s="438"/>
      <c r="AC156" s="438"/>
      <c r="AD156" s="438"/>
      <c r="AE156" s="438"/>
      <c r="AF156" s="438"/>
      <c r="AG156" s="438"/>
      <c r="AH156" s="438"/>
      <c r="AI156" s="438"/>
      <c r="AJ156" s="438"/>
      <c r="AK156" s="438"/>
      <c r="AL156" s="438"/>
      <c r="AM156" s="438"/>
      <c r="AN156" s="438"/>
    </row>
    <row r="157" ht="14.25" customHeight="1">
      <c r="A157" s="1"/>
      <c r="B157" s="1"/>
      <c r="C157" s="1"/>
      <c r="D157" s="1"/>
      <c r="E157" s="1"/>
      <c r="F157" s="1173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173"/>
      <c r="U157" s="438"/>
      <c r="V157" s="438"/>
      <c r="W157" s="438"/>
      <c r="X157" s="438"/>
      <c r="Y157" s="438"/>
      <c r="Z157" s="438"/>
      <c r="AA157" s="438"/>
      <c r="AB157" s="438"/>
      <c r="AC157" s="438"/>
      <c r="AD157" s="438"/>
      <c r="AE157" s="438"/>
      <c r="AF157" s="438"/>
      <c r="AG157" s="438"/>
      <c r="AH157" s="438"/>
      <c r="AI157" s="438"/>
      <c r="AJ157" s="438"/>
      <c r="AK157" s="438"/>
      <c r="AL157" s="438"/>
      <c r="AM157" s="438"/>
      <c r="AN157" s="438"/>
    </row>
    <row r="158" ht="14.25" customHeight="1">
      <c r="A158" s="1"/>
      <c r="B158" s="1"/>
      <c r="C158" s="1"/>
      <c r="D158" s="1"/>
      <c r="E158" s="1"/>
      <c r="F158" s="1173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173"/>
      <c r="U158" s="438"/>
      <c r="V158" s="438"/>
      <c r="W158" s="438"/>
      <c r="X158" s="438"/>
      <c r="Y158" s="438"/>
      <c r="Z158" s="438"/>
      <c r="AA158" s="438"/>
      <c r="AB158" s="438"/>
      <c r="AC158" s="438"/>
      <c r="AD158" s="438"/>
      <c r="AE158" s="438"/>
      <c r="AF158" s="438"/>
      <c r="AG158" s="438"/>
      <c r="AH158" s="438"/>
      <c r="AI158" s="438"/>
      <c r="AJ158" s="438"/>
      <c r="AK158" s="438"/>
      <c r="AL158" s="438"/>
      <c r="AM158" s="438"/>
      <c r="AN158" s="438"/>
    </row>
    <row r="159" ht="14.25" customHeight="1">
      <c r="A159" s="1"/>
      <c r="B159" s="1"/>
      <c r="C159" s="1"/>
      <c r="D159" s="1"/>
      <c r="E159" s="1"/>
      <c r="F159" s="1173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173"/>
      <c r="U159" s="438"/>
      <c r="V159" s="438"/>
      <c r="W159" s="438"/>
      <c r="X159" s="438"/>
      <c r="Y159" s="438"/>
      <c r="Z159" s="438"/>
      <c r="AA159" s="438"/>
      <c r="AB159" s="438"/>
      <c r="AC159" s="438"/>
      <c r="AD159" s="438"/>
      <c r="AE159" s="438"/>
      <c r="AF159" s="438"/>
      <c r="AG159" s="438"/>
      <c r="AH159" s="438"/>
      <c r="AI159" s="438"/>
      <c r="AJ159" s="438"/>
      <c r="AK159" s="438"/>
      <c r="AL159" s="438"/>
      <c r="AM159" s="438"/>
      <c r="AN159" s="438"/>
    </row>
    <row r="160" ht="14.25" customHeight="1">
      <c r="A160" s="1"/>
      <c r="B160" s="1"/>
      <c r="C160" s="1"/>
      <c r="D160" s="1"/>
      <c r="E160" s="1"/>
      <c r="F160" s="1173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173"/>
      <c r="U160" s="438"/>
      <c r="V160" s="438"/>
      <c r="W160" s="438"/>
      <c r="X160" s="438"/>
      <c r="Y160" s="438"/>
      <c r="Z160" s="438"/>
      <c r="AA160" s="438"/>
      <c r="AB160" s="438"/>
      <c r="AC160" s="438"/>
      <c r="AD160" s="438"/>
      <c r="AE160" s="438"/>
      <c r="AF160" s="438"/>
      <c r="AG160" s="438"/>
      <c r="AH160" s="438"/>
      <c r="AI160" s="438"/>
      <c r="AJ160" s="438"/>
      <c r="AK160" s="438"/>
      <c r="AL160" s="438"/>
      <c r="AM160" s="438"/>
      <c r="AN160" s="438"/>
    </row>
    <row r="161" ht="14.25" customHeight="1">
      <c r="A161" s="1"/>
      <c r="B161" s="1"/>
      <c r="C161" s="1"/>
      <c r="D161" s="1"/>
      <c r="E161" s="1"/>
      <c r="F161" s="1173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173"/>
      <c r="U161" s="438"/>
      <c r="V161" s="438"/>
      <c r="W161" s="438"/>
      <c r="X161" s="438"/>
      <c r="Y161" s="438"/>
      <c r="Z161" s="438"/>
      <c r="AA161" s="438"/>
      <c r="AB161" s="438"/>
      <c r="AC161" s="438"/>
      <c r="AD161" s="438"/>
      <c r="AE161" s="438"/>
      <c r="AF161" s="438"/>
      <c r="AG161" s="438"/>
      <c r="AH161" s="438"/>
      <c r="AI161" s="438"/>
      <c r="AJ161" s="438"/>
      <c r="AK161" s="438"/>
      <c r="AL161" s="438"/>
      <c r="AM161" s="438"/>
      <c r="AN161" s="438"/>
    </row>
    <row r="162" ht="14.25" customHeight="1">
      <c r="A162" s="1"/>
      <c r="B162" s="1"/>
      <c r="C162" s="1"/>
      <c r="D162" s="1"/>
      <c r="E162" s="1"/>
      <c r="F162" s="1173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173"/>
      <c r="U162" s="438"/>
      <c r="V162" s="438"/>
      <c r="W162" s="438"/>
      <c r="X162" s="438"/>
      <c r="Y162" s="438"/>
      <c r="Z162" s="438"/>
      <c r="AA162" s="438"/>
      <c r="AB162" s="438"/>
      <c r="AC162" s="438"/>
      <c r="AD162" s="438"/>
      <c r="AE162" s="438"/>
      <c r="AF162" s="438"/>
      <c r="AG162" s="438"/>
      <c r="AH162" s="438"/>
      <c r="AI162" s="438"/>
      <c r="AJ162" s="438"/>
      <c r="AK162" s="438"/>
      <c r="AL162" s="438"/>
      <c r="AM162" s="438"/>
      <c r="AN162" s="438"/>
    </row>
    <row r="163" ht="14.25" customHeight="1">
      <c r="A163" s="1"/>
      <c r="B163" s="1"/>
      <c r="C163" s="1"/>
      <c r="D163" s="1"/>
      <c r="E163" s="1"/>
      <c r="F163" s="1173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173"/>
      <c r="U163" s="438"/>
      <c r="V163" s="438"/>
      <c r="W163" s="438"/>
      <c r="X163" s="438"/>
      <c r="Y163" s="438"/>
      <c r="Z163" s="438"/>
      <c r="AA163" s="438"/>
      <c r="AB163" s="438"/>
      <c r="AC163" s="438"/>
      <c r="AD163" s="438"/>
      <c r="AE163" s="438"/>
      <c r="AF163" s="438"/>
      <c r="AG163" s="438"/>
      <c r="AH163" s="438"/>
      <c r="AI163" s="438"/>
      <c r="AJ163" s="438"/>
      <c r="AK163" s="438"/>
      <c r="AL163" s="438"/>
      <c r="AM163" s="438"/>
      <c r="AN163" s="438"/>
    </row>
    <row r="164" ht="14.25" customHeight="1">
      <c r="A164" s="1"/>
      <c r="B164" s="1"/>
      <c r="C164" s="1"/>
      <c r="D164" s="1"/>
      <c r="E164" s="1"/>
      <c r="F164" s="1173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173"/>
      <c r="U164" s="438"/>
      <c r="V164" s="438"/>
      <c r="W164" s="438"/>
      <c r="X164" s="438"/>
      <c r="Y164" s="438"/>
      <c r="Z164" s="438"/>
      <c r="AA164" s="438"/>
      <c r="AB164" s="438"/>
      <c r="AC164" s="438"/>
      <c r="AD164" s="438"/>
      <c r="AE164" s="438"/>
      <c r="AF164" s="438"/>
      <c r="AG164" s="438"/>
      <c r="AH164" s="438"/>
      <c r="AI164" s="438"/>
      <c r="AJ164" s="438"/>
      <c r="AK164" s="438"/>
      <c r="AL164" s="438"/>
      <c r="AM164" s="438"/>
      <c r="AN164" s="438"/>
    </row>
    <row r="165" ht="14.25" customHeight="1">
      <c r="A165" s="1"/>
      <c r="B165" s="1"/>
      <c r="C165" s="1"/>
      <c r="D165" s="1"/>
      <c r="E165" s="1"/>
      <c r="F165" s="1173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173"/>
      <c r="U165" s="438"/>
      <c r="V165" s="438"/>
      <c r="W165" s="438"/>
      <c r="X165" s="438"/>
      <c r="Y165" s="438"/>
      <c r="Z165" s="438"/>
      <c r="AA165" s="438"/>
      <c r="AB165" s="438"/>
      <c r="AC165" s="438"/>
      <c r="AD165" s="438"/>
      <c r="AE165" s="438"/>
      <c r="AF165" s="438"/>
      <c r="AG165" s="438"/>
      <c r="AH165" s="438"/>
      <c r="AI165" s="438"/>
      <c r="AJ165" s="438"/>
      <c r="AK165" s="438"/>
      <c r="AL165" s="438"/>
      <c r="AM165" s="438"/>
      <c r="AN165" s="438"/>
    </row>
    <row r="166" ht="14.25" customHeight="1">
      <c r="A166" s="1"/>
      <c r="B166" s="1"/>
      <c r="C166" s="1"/>
      <c r="D166" s="1"/>
      <c r="E166" s="1"/>
      <c r="F166" s="1173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173"/>
      <c r="U166" s="438"/>
      <c r="V166" s="438"/>
      <c r="W166" s="438"/>
      <c r="X166" s="438"/>
      <c r="Y166" s="438"/>
      <c r="Z166" s="438"/>
      <c r="AA166" s="438"/>
      <c r="AB166" s="438"/>
      <c r="AC166" s="438"/>
      <c r="AD166" s="438"/>
      <c r="AE166" s="438"/>
      <c r="AF166" s="438"/>
      <c r="AG166" s="438"/>
      <c r="AH166" s="438"/>
      <c r="AI166" s="438"/>
      <c r="AJ166" s="438"/>
      <c r="AK166" s="438"/>
      <c r="AL166" s="438"/>
      <c r="AM166" s="438"/>
      <c r="AN166" s="438"/>
    </row>
    <row r="167" ht="14.25" customHeight="1">
      <c r="A167" s="1"/>
      <c r="B167" s="1"/>
      <c r="C167" s="1"/>
      <c r="D167" s="1"/>
      <c r="E167" s="1"/>
      <c r="F167" s="1173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173"/>
      <c r="U167" s="438"/>
      <c r="V167" s="438"/>
      <c r="W167" s="438"/>
      <c r="X167" s="438"/>
      <c r="Y167" s="438"/>
      <c r="Z167" s="438"/>
      <c r="AA167" s="438"/>
      <c r="AB167" s="438"/>
      <c r="AC167" s="438"/>
      <c r="AD167" s="438"/>
      <c r="AE167" s="438"/>
      <c r="AF167" s="438"/>
      <c r="AG167" s="438"/>
      <c r="AH167" s="438"/>
      <c r="AI167" s="438"/>
      <c r="AJ167" s="438"/>
      <c r="AK167" s="438"/>
      <c r="AL167" s="438"/>
      <c r="AM167" s="438"/>
      <c r="AN167" s="438"/>
    </row>
    <row r="168" ht="14.25" customHeight="1">
      <c r="A168" s="1"/>
      <c r="B168" s="1"/>
      <c r="C168" s="1"/>
      <c r="D168" s="1"/>
      <c r="E168" s="1"/>
      <c r="F168" s="1173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173"/>
      <c r="U168" s="438"/>
      <c r="V168" s="438"/>
      <c r="W168" s="438"/>
      <c r="X168" s="438"/>
      <c r="Y168" s="438"/>
      <c r="Z168" s="438"/>
      <c r="AA168" s="438"/>
      <c r="AB168" s="438"/>
      <c r="AC168" s="438"/>
      <c r="AD168" s="438"/>
      <c r="AE168" s="438"/>
      <c r="AF168" s="438"/>
      <c r="AG168" s="438"/>
      <c r="AH168" s="438"/>
      <c r="AI168" s="438"/>
      <c r="AJ168" s="438"/>
      <c r="AK168" s="438"/>
      <c r="AL168" s="438"/>
      <c r="AM168" s="438"/>
      <c r="AN168" s="438"/>
    </row>
    <row r="169" ht="14.25" customHeight="1">
      <c r="A169" s="1"/>
      <c r="B169" s="1"/>
      <c r="C169" s="1"/>
      <c r="D169" s="1"/>
      <c r="E169" s="1"/>
      <c r="F169" s="1173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173"/>
      <c r="U169" s="438"/>
      <c r="V169" s="438"/>
      <c r="W169" s="438"/>
      <c r="X169" s="438"/>
      <c r="Y169" s="438"/>
      <c r="Z169" s="438"/>
      <c r="AA169" s="438"/>
      <c r="AB169" s="438"/>
      <c r="AC169" s="438"/>
      <c r="AD169" s="438"/>
      <c r="AE169" s="438"/>
      <c r="AF169" s="438"/>
      <c r="AG169" s="438"/>
      <c r="AH169" s="438"/>
      <c r="AI169" s="438"/>
      <c r="AJ169" s="438"/>
      <c r="AK169" s="438"/>
      <c r="AL169" s="438"/>
      <c r="AM169" s="438"/>
      <c r="AN169" s="438"/>
    </row>
    <row r="170" ht="14.25" customHeight="1">
      <c r="A170" s="1"/>
      <c r="B170" s="1"/>
      <c r="C170" s="1"/>
      <c r="D170" s="1"/>
      <c r="E170" s="1"/>
      <c r="F170" s="1173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173"/>
      <c r="U170" s="438"/>
      <c r="V170" s="438"/>
      <c r="W170" s="438"/>
      <c r="X170" s="438"/>
      <c r="Y170" s="438"/>
      <c r="Z170" s="438"/>
      <c r="AA170" s="438"/>
      <c r="AB170" s="438"/>
      <c r="AC170" s="438"/>
      <c r="AD170" s="438"/>
      <c r="AE170" s="438"/>
      <c r="AF170" s="438"/>
      <c r="AG170" s="438"/>
      <c r="AH170" s="438"/>
      <c r="AI170" s="438"/>
      <c r="AJ170" s="438"/>
      <c r="AK170" s="438"/>
      <c r="AL170" s="438"/>
      <c r="AM170" s="438"/>
      <c r="AN170" s="438"/>
    </row>
    <row r="171" ht="14.25" customHeight="1">
      <c r="A171" s="1"/>
      <c r="B171" s="1"/>
      <c r="C171" s="1"/>
      <c r="D171" s="1"/>
      <c r="E171" s="1"/>
      <c r="F171" s="1173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173"/>
      <c r="U171" s="438"/>
      <c r="V171" s="438"/>
      <c r="W171" s="438"/>
      <c r="X171" s="438"/>
      <c r="Y171" s="438"/>
      <c r="Z171" s="438"/>
      <c r="AA171" s="438"/>
      <c r="AB171" s="438"/>
      <c r="AC171" s="438"/>
      <c r="AD171" s="438"/>
      <c r="AE171" s="438"/>
      <c r="AF171" s="438"/>
      <c r="AG171" s="438"/>
      <c r="AH171" s="438"/>
      <c r="AI171" s="438"/>
      <c r="AJ171" s="438"/>
      <c r="AK171" s="438"/>
      <c r="AL171" s="438"/>
      <c r="AM171" s="438"/>
      <c r="AN171" s="438"/>
    </row>
    <row r="172" ht="14.25" customHeight="1">
      <c r="A172" s="1"/>
      <c r="B172" s="1"/>
      <c r="C172" s="1"/>
      <c r="D172" s="1"/>
      <c r="E172" s="1"/>
      <c r="F172" s="1173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173"/>
      <c r="U172" s="438"/>
      <c r="V172" s="438"/>
      <c r="W172" s="438"/>
      <c r="X172" s="438"/>
      <c r="Y172" s="438"/>
      <c r="Z172" s="438"/>
      <c r="AA172" s="438"/>
      <c r="AB172" s="438"/>
      <c r="AC172" s="438"/>
      <c r="AD172" s="438"/>
      <c r="AE172" s="438"/>
      <c r="AF172" s="438"/>
      <c r="AG172" s="438"/>
      <c r="AH172" s="438"/>
      <c r="AI172" s="438"/>
      <c r="AJ172" s="438"/>
      <c r="AK172" s="438"/>
      <c r="AL172" s="438"/>
      <c r="AM172" s="438"/>
      <c r="AN172" s="438"/>
    </row>
    <row r="173" ht="14.25" customHeight="1">
      <c r="A173" s="1"/>
      <c r="B173" s="1"/>
      <c r="C173" s="1"/>
      <c r="D173" s="1"/>
      <c r="E173" s="1"/>
      <c r="F173" s="1173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173"/>
      <c r="U173" s="438"/>
      <c r="V173" s="438"/>
      <c r="W173" s="438"/>
      <c r="X173" s="438"/>
      <c r="Y173" s="438"/>
      <c r="Z173" s="438"/>
      <c r="AA173" s="438"/>
      <c r="AB173" s="438"/>
      <c r="AC173" s="438"/>
      <c r="AD173" s="438"/>
      <c r="AE173" s="438"/>
      <c r="AF173" s="438"/>
      <c r="AG173" s="438"/>
      <c r="AH173" s="438"/>
      <c r="AI173" s="438"/>
      <c r="AJ173" s="438"/>
      <c r="AK173" s="438"/>
      <c r="AL173" s="438"/>
      <c r="AM173" s="438"/>
      <c r="AN173" s="438"/>
    </row>
    <row r="174" ht="14.25" customHeight="1">
      <c r="A174" s="1"/>
      <c r="B174" s="1"/>
      <c r="C174" s="1"/>
      <c r="D174" s="1"/>
      <c r="E174" s="1"/>
      <c r="F174" s="1173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173"/>
      <c r="U174" s="438"/>
      <c r="V174" s="438"/>
      <c r="W174" s="438"/>
      <c r="X174" s="438"/>
      <c r="Y174" s="438"/>
      <c r="Z174" s="438"/>
      <c r="AA174" s="438"/>
      <c r="AB174" s="438"/>
      <c r="AC174" s="438"/>
      <c r="AD174" s="438"/>
      <c r="AE174" s="438"/>
      <c r="AF174" s="438"/>
      <c r="AG174" s="438"/>
      <c r="AH174" s="438"/>
      <c r="AI174" s="438"/>
      <c r="AJ174" s="438"/>
      <c r="AK174" s="438"/>
      <c r="AL174" s="438"/>
      <c r="AM174" s="438"/>
      <c r="AN174" s="438"/>
    </row>
    <row r="175" ht="14.25" customHeight="1">
      <c r="A175" s="1"/>
      <c r="B175" s="1"/>
      <c r="C175" s="1"/>
      <c r="D175" s="1"/>
      <c r="E175" s="1"/>
      <c r="F175" s="1173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173"/>
      <c r="U175" s="438"/>
      <c r="V175" s="438"/>
      <c r="W175" s="438"/>
      <c r="X175" s="438"/>
      <c r="Y175" s="438"/>
      <c r="Z175" s="438"/>
      <c r="AA175" s="438"/>
      <c r="AB175" s="438"/>
      <c r="AC175" s="438"/>
      <c r="AD175" s="438"/>
      <c r="AE175" s="438"/>
      <c r="AF175" s="438"/>
      <c r="AG175" s="438"/>
      <c r="AH175" s="438"/>
      <c r="AI175" s="438"/>
      <c r="AJ175" s="438"/>
      <c r="AK175" s="438"/>
      <c r="AL175" s="438"/>
      <c r="AM175" s="438"/>
      <c r="AN175" s="438"/>
    </row>
    <row r="176" ht="14.25" customHeight="1">
      <c r="A176" s="1"/>
      <c r="B176" s="1"/>
      <c r="C176" s="1"/>
      <c r="D176" s="1"/>
      <c r="E176" s="1"/>
      <c r="F176" s="1173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173"/>
      <c r="U176" s="438"/>
      <c r="V176" s="438"/>
      <c r="W176" s="438"/>
      <c r="X176" s="438"/>
      <c r="Y176" s="438"/>
      <c r="Z176" s="438"/>
      <c r="AA176" s="438"/>
      <c r="AB176" s="438"/>
      <c r="AC176" s="438"/>
      <c r="AD176" s="438"/>
      <c r="AE176" s="438"/>
      <c r="AF176" s="438"/>
      <c r="AG176" s="438"/>
      <c r="AH176" s="438"/>
      <c r="AI176" s="438"/>
      <c r="AJ176" s="438"/>
      <c r="AK176" s="438"/>
      <c r="AL176" s="438"/>
      <c r="AM176" s="438"/>
      <c r="AN176" s="438"/>
    </row>
    <row r="177" ht="14.25" customHeight="1">
      <c r="A177" s="1"/>
      <c r="B177" s="1"/>
      <c r="C177" s="1"/>
      <c r="D177" s="1"/>
      <c r="E177" s="1"/>
      <c r="F177" s="1173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173"/>
      <c r="U177" s="438"/>
      <c r="V177" s="438"/>
      <c r="W177" s="438"/>
      <c r="X177" s="438"/>
      <c r="Y177" s="438"/>
      <c r="Z177" s="438"/>
      <c r="AA177" s="438"/>
      <c r="AB177" s="438"/>
      <c r="AC177" s="438"/>
      <c r="AD177" s="438"/>
      <c r="AE177" s="438"/>
      <c r="AF177" s="438"/>
      <c r="AG177" s="438"/>
      <c r="AH177" s="438"/>
      <c r="AI177" s="438"/>
      <c r="AJ177" s="438"/>
      <c r="AK177" s="438"/>
      <c r="AL177" s="438"/>
      <c r="AM177" s="438"/>
      <c r="AN177" s="438"/>
    </row>
    <row r="178" ht="14.25" customHeight="1">
      <c r="A178" s="1"/>
      <c r="B178" s="1"/>
      <c r="C178" s="1"/>
      <c r="D178" s="1"/>
      <c r="E178" s="1"/>
      <c r="F178" s="1173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173"/>
      <c r="U178" s="438"/>
      <c r="V178" s="438"/>
      <c r="W178" s="438"/>
      <c r="X178" s="438"/>
      <c r="Y178" s="438"/>
      <c r="Z178" s="438"/>
      <c r="AA178" s="438"/>
      <c r="AB178" s="438"/>
      <c r="AC178" s="438"/>
      <c r="AD178" s="438"/>
      <c r="AE178" s="438"/>
      <c r="AF178" s="438"/>
      <c r="AG178" s="438"/>
      <c r="AH178" s="438"/>
      <c r="AI178" s="438"/>
      <c r="AJ178" s="438"/>
      <c r="AK178" s="438"/>
      <c r="AL178" s="438"/>
      <c r="AM178" s="438"/>
      <c r="AN178" s="438"/>
    </row>
    <row r="179" ht="14.25" customHeight="1">
      <c r="A179" s="1"/>
      <c r="B179" s="1"/>
      <c r="C179" s="1"/>
      <c r="D179" s="1"/>
      <c r="E179" s="1"/>
      <c r="F179" s="1173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173"/>
      <c r="U179" s="438"/>
      <c r="V179" s="438"/>
      <c r="W179" s="438"/>
      <c r="X179" s="438"/>
      <c r="Y179" s="438"/>
      <c r="Z179" s="438"/>
      <c r="AA179" s="438"/>
      <c r="AB179" s="438"/>
      <c r="AC179" s="438"/>
      <c r="AD179" s="438"/>
      <c r="AE179" s="438"/>
      <c r="AF179" s="438"/>
      <c r="AG179" s="438"/>
      <c r="AH179" s="438"/>
      <c r="AI179" s="438"/>
      <c r="AJ179" s="438"/>
      <c r="AK179" s="438"/>
      <c r="AL179" s="438"/>
      <c r="AM179" s="438"/>
      <c r="AN179" s="438"/>
    </row>
    <row r="180" ht="14.25" customHeight="1">
      <c r="A180" s="1"/>
      <c r="B180" s="1"/>
      <c r="C180" s="1"/>
      <c r="D180" s="1"/>
      <c r="E180" s="1"/>
      <c r="F180" s="1173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173"/>
      <c r="U180" s="438"/>
      <c r="V180" s="438"/>
      <c r="W180" s="438"/>
      <c r="X180" s="438"/>
      <c r="Y180" s="438"/>
      <c r="Z180" s="438"/>
      <c r="AA180" s="438"/>
      <c r="AB180" s="438"/>
      <c r="AC180" s="438"/>
      <c r="AD180" s="438"/>
      <c r="AE180" s="438"/>
      <c r="AF180" s="438"/>
      <c r="AG180" s="438"/>
      <c r="AH180" s="438"/>
      <c r="AI180" s="438"/>
      <c r="AJ180" s="438"/>
      <c r="AK180" s="438"/>
      <c r="AL180" s="438"/>
      <c r="AM180" s="438"/>
      <c r="AN180" s="438"/>
    </row>
    <row r="181" ht="14.25" customHeight="1">
      <c r="A181" s="1"/>
      <c r="B181" s="1"/>
      <c r="C181" s="1"/>
      <c r="D181" s="1"/>
      <c r="E181" s="1"/>
      <c r="F181" s="1173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173"/>
      <c r="U181" s="438"/>
      <c r="V181" s="438"/>
      <c r="W181" s="438"/>
      <c r="X181" s="438"/>
      <c r="Y181" s="438"/>
      <c r="Z181" s="438"/>
      <c r="AA181" s="438"/>
      <c r="AB181" s="438"/>
      <c r="AC181" s="438"/>
      <c r="AD181" s="438"/>
      <c r="AE181" s="438"/>
      <c r="AF181" s="438"/>
      <c r="AG181" s="438"/>
      <c r="AH181" s="438"/>
      <c r="AI181" s="438"/>
      <c r="AJ181" s="438"/>
      <c r="AK181" s="438"/>
      <c r="AL181" s="438"/>
      <c r="AM181" s="438"/>
      <c r="AN181" s="438"/>
    </row>
    <row r="182" ht="14.25" customHeight="1">
      <c r="A182" s="1"/>
      <c r="B182" s="1"/>
      <c r="C182" s="1"/>
      <c r="D182" s="1"/>
      <c r="E182" s="1"/>
      <c r="F182" s="1173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173"/>
      <c r="U182" s="438"/>
      <c r="V182" s="438"/>
      <c r="W182" s="438"/>
      <c r="X182" s="438"/>
      <c r="Y182" s="438"/>
      <c r="Z182" s="438"/>
      <c r="AA182" s="438"/>
      <c r="AB182" s="438"/>
      <c r="AC182" s="438"/>
      <c r="AD182" s="438"/>
      <c r="AE182" s="438"/>
      <c r="AF182" s="438"/>
      <c r="AG182" s="438"/>
      <c r="AH182" s="438"/>
      <c r="AI182" s="438"/>
      <c r="AJ182" s="438"/>
      <c r="AK182" s="438"/>
      <c r="AL182" s="438"/>
      <c r="AM182" s="438"/>
      <c r="AN182" s="438"/>
    </row>
    <row r="183" ht="14.25" customHeight="1">
      <c r="A183" s="1"/>
      <c r="B183" s="1"/>
      <c r="C183" s="1"/>
      <c r="D183" s="1"/>
      <c r="E183" s="1"/>
      <c r="F183" s="1173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173"/>
      <c r="U183" s="438"/>
      <c r="V183" s="438"/>
      <c r="W183" s="438"/>
      <c r="X183" s="438"/>
      <c r="Y183" s="438"/>
      <c r="Z183" s="438"/>
      <c r="AA183" s="438"/>
      <c r="AB183" s="438"/>
      <c r="AC183" s="438"/>
      <c r="AD183" s="438"/>
      <c r="AE183" s="438"/>
      <c r="AF183" s="438"/>
      <c r="AG183" s="438"/>
      <c r="AH183" s="438"/>
      <c r="AI183" s="438"/>
      <c r="AJ183" s="438"/>
      <c r="AK183" s="438"/>
      <c r="AL183" s="438"/>
      <c r="AM183" s="438"/>
      <c r="AN183" s="438"/>
    </row>
    <row r="184" ht="14.25" customHeight="1">
      <c r="A184" s="1"/>
      <c r="B184" s="1"/>
      <c r="C184" s="1"/>
      <c r="D184" s="1"/>
      <c r="E184" s="1"/>
      <c r="F184" s="1173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173"/>
      <c r="U184" s="438"/>
      <c r="V184" s="438"/>
      <c r="W184" s="438"/>
      <c r="X184" s="438"/>
      <c r="Y184" s="438"/>
      <c r="Z184" s="438"/>
      <c r="AA184" s="438"/>
      <c r="AB184" s="438"/>
      <c r="AC184" s="438"/>
      <c r="AD184" s="438"/>
      <c r="AE184" s="438"/>
      <c r="AF184" s="438"/>
      <c r="AG184" s="438"/>
      <c r="AH184" s="438"/>
      <c r="AI184" s="438"/>
      <c r="AJ184" s="438"/>
      <c r="AK184" s="438"/>
      <c r="AL184" s="438"/>
      <c r="AM184" s="438"/>
      <c r="AN184" s="438"/>
    </row>
    <row r="185" ht="14.25" customHeight="1">
      <c r="A185" s="1"/>
      <c r="B185" s="1"/>
      <c r="C185" s="1"/>
      <c r="D185" s="1"/>
      <c r="E185" s="1"/>
      <c r="F185" s="1173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173"/>
      <c r="U185" s="438"/>
      <c r="V185" s="438"/>
      <c r="W185" s="438"/>
      <c r="X185" s="438"/>
      <c r="Y185" s="438"/>
      <c r="Z185" s="438"/>
      <c r="AA185" s="438"/>
      <c r="AB185" s="438"/>
      <c r="AC185" s="438"/>
      <c r="AD185" s="438"/>
      <c r="AE185" s="438"/>
      <c r="AF185" s="438"/>
      <c r="AG185" s="438"/>
      <c r="AH185" s="438"/>
      <c r="AI185" s="438"/>
      <c r="AJ185" s="438"/>
      <c r="AK185" s="438"/>
      <c r="AL185" s="438"/>
      <c r="AM185" s="438"/>
      <c r="AN185" s="438"/>
    </row>
    <row r="186" ht="14.25" customHeight="1">
      <c r="A186" s="1"/>
      <c r="B186" s="1"/>
      <c r="C186" s="1"/>
      <c r="D186" s="1"/>
      <c r="E186" s="1"/>
      <c r="F186" s="1173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173"/>
      <c r="U186" s="438"/>
      <c r="V186" s="438"/>
      <c r="W186" s="438"/>
      <c r="X186" s="438"/>
      <c r="Y186" s="438"/>
      <c r="Z186" s="438"/>
      <c r="AA186" s="438"/>
      <c r="AB186" s="438"/>
      <c r="AC186" s="438"/>
      <c r="AD186" s="438"/>
      <c r="AE186" s="438"/>
      <c r="AF186" s="438"/>
      <c r="AG186" s="438"/>
      <c r="AH186" s="438"/>
      <c r="AI186" s="438"/>
      <c r="AJ186" s="438"/>
      <c r="AK186" s="438"/>
      <c r="AL186" s="438"/>
      <c r="AM186" s="438"/>
      <c r="AN186" s="438"/>
    </row>
    <row r="187" ht="14.25" customHeight="1">
      <c r="A187" s="1"/>
      <c r="B187" s="1"/>
      <c r="C187" s="1"/>
      <c r="D187" s="1"/>
      <c r="E187" s="1"/>
      <c r="F187" s="1173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173"/>
      <c r="U187" s="438"/>
      <c r="V187" s="438"/>
      <c r="W187" s="438"/>
      <c r="X187" s="438"/>
      <c r="Y187" s="438"/>
      <c r="Z187" s="438"/>
      <c r="AA187" s="438"/>
      <c r="AB187" s="438"/>
      <c r="AC187" s="438"/>
      <c r="AD187" s="438"/>
      <c r="AE187" s="438"/>
      <c r="AF187" s="438"/>
      <c r="AG187" s="438"/>
      <c r="AH187" s="438"/>
      <c r="AI187" s="438"/>
      <c r="AJ187" s="438"/>
      <c r="AK187" s="438"/>
      <c r="AL187" s="438"/>
      <c r="AM187" s="438"/>
      <c r="AN187" s="438"/>
    </row>
    <row r="188" ht="14.25" customHeight="1">
      <c r="A188" s="1"/>
      <c r="B188" s="1"/>
      <c r="C188" s="1"/>
      <c r="D188" s="1"/>
      <c r="E188" s="1"/>
      <c r="F188" s="1173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173"/>
      <c r="U188" s="438"/>
      <c r="V188" s="438"/>
      <c r="W188" s="438"/>
      <c r="X188" s="438"/>
      <c r="Y188" s="438"/>
      <c r="Z188" s="438"/>
      <c r="AA188" s="438"/>
      <c r="AB188" s="438"/>
      <c r="AC188" s="438"/>
      <c r="AD188" s="438"/>
      <c r="AE188" s="438"/>
      <c r="AF188" s="438"/>
      <c r="AG188" s="438"/>
      <c r="AH188" s="438"/>
      <c r="AI188" s="438"/>
      <c r="AJ188" s="438"/>
      <c r="AK188" s="438"/>
      <c r="AL188" s="438"/>
      <c r="AM188" s="438"/>
      <c r="AN188" s="438"/>
    </row>
    <row r="189" ht="14.25" customHeight="1">
      <c r="A189" s="1"/>
      <c r="B189" s="1"/>
      <c r="C189" s="1"/>
      <c r="D189" s="1"/>
      <c r="E189" s="1"/>
      <c r="F189" s="1173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173"/>
      <c r="U189" s="438"/>
      <c r="V189" s="438"/>
      <c r="W189" s="438"/>
      <c r="X189" s="438"/>
      <c r="Y189" s="438"/>
      <c r="Z189" s="438"/>
      <c r="AA189" s="438"/>
      <c r="AB189" s="438"/>
      <c r="AC189" s="438"/>
      <c r="AD189" s="438"/>
      <c r="AE189" s="438"/>
      <c r="AF189" s="438"/>
      <c r="AG189" s="438"/>
      <c r="AH189" s="438"/>
      <c r="AI189" s="438"/>
      <c r="AJ189" s="438"/>
      <c r="AK189" s="438"/>
      <c r="AL189" s="438"/>
      <c r="AM189" s="438"/>
      <c r="AN189" s="438"/>
    </row>
    <row r="190" ht="14.25" customHeight="1">
      <c r="A190" s="1"/>
      <c r="B190" s="1"/>
      <c r="C190" s="1"/>
      <c r="D190" s="1"/>
      <c r="E190" s="1"/>
      <c r="F190" s="1173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173"/>
      <c r="U190" s="438"/>
      <c r="V190" s="438"/>
      <c r="W190" s="438"/>
      <c r="X190" s="438"/>
      <c r="Y190" s="438"/>
      <c r="Z190" s="438"/>
      <c r="AA190" s="438"/>
      <c r="AB190" s="438"/>
      <c r="AC190" s="438"/>
      <c r="AD190" s="438"/>
      <c r="AE190" s="438"/>
      <c r="AF190" s="438"/>
      <c r="AG190" s="438"/>
      <c r="AH190" s="438"/>
      <c r="AI190" s="438"/>
      <c r="AJ190" s="438"/>
      <c r="AK190" s="438"/>
      <c r="AL190" s="438"/>
      <c r="AM190" s="438"/>
      <c r="AN190" s="438"/>
    </row>
    <row r="191" ht="14.25" customHeight="1">
      <c r="A191" s="1"/>
      <c r="B191" s="1"/>
      <c r="C191" s="1"/>
      <c r="D191" s="1"/>
      <c r="E191" s="1"/>
      <c r="F191" s="1173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173"/>
      <c r="U191" s="438"/>
      <c r="V191" s="438"/>
      <c r="W191" s="438"/>
      <c r="X191" s="438"/>
      <c r="Y191" s="438"/>
      <c r="Z191" s="438"/>
      <c r="AA191" s="438"/>
      <c r="AB191" s="438"/>
      <c r="AC191" s="438"/>
      <c r="AD191" s="438"/>
      <c r="AE191" s="438"/>
      <c r="AF191" s="438"/>
      <c r="AG191" s="438"/>
      <c r="AH191" s="438"/>
      <c r="AI191" s="438"/>
      <c r="AJ191" s="438"/>
      <c r="AK191" s="438"/>
      <c r="AL191" s="438"/>
      <c r="AM191" s="438"/>
      <c r="AN191" s="438"/>
    </row>
    <row r="192" ht="14.25" customHeight="1">
      <c r="A192" s="1"/>
      <c r="B192" s="1"/>
      <c r="C192" s="1"/>
      <c r="D192" s="1"/>
      <c r="E192" s="1"/>
      <c r="F192" s="1173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173"/>
      <c r="U192" s="438"/>
      <c r="V192" s="438"/>
      <c r="W192" s="438"/>
      <c r="X192" s="438"/>
      <c r="Y192" s="438"/>
      <c r="Z192" s="438"/>
      <c r="AA192" s="438"/>
      <c r="AB192" s="438"/>
      <c r="AC192" s="438"/>
      <c r="AD192" s="438"/>
      <c r="AE192" s="438"/>
      <c r="AF192" s="438"/>
      <c r="AG192" s="438"/>
      <c r="AH192" s="438"/>
      <c r="AI192" s="438"/>
      <c r="AJ192" s="438"/>
      <c r="AK192" s="438"/>
      <c r="AL192" s="438"/>
      <c r="AM192" s="438"/>
      <c r="AN192" s="438"/>
    </row>
    <row r="193" ht="14.25" customHeight="1">
      <c r="A193" s="1"/>
      <c r="B193" s="1"/>
      <c r="C193" s="1"/>
      <c r="D193" s="1"/>
      <c r="E193" s="1"/>
      <c r="F193" s="1173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173"/>
      <c r="U193" s="438"/>
      <c r="V193" s="438"/>
      <c r="W193" s="438"/>
      <c r="X193" s="438"/>
      <c r="Y193" s="438"/>
      <c r="Z193" s="438"/>
      <c r="AA193" s="438"/>
      <c r="AB193" s="438"/>
      <c r="AC193" s="438"/>
      <c r="AD193" s="438"/>
      <c r="AE193" s="438"/>
      <c r="AF193" s="438"/>
      <c r="AG193" s="438"/>
      <c r="AH193" s="438"/>
      <c r="AI193" s="438"/>
      <c r="AJ193" s="438"/>
      <c r="AK193" s="438"/>
      <c r="AL193" s="438"/>
      <c r="AM193" s="438"/>
      <c r="AN193" s="438"/>
    </row>
    <row r="194" ht="14.25" customHeight="1">
      <c r="A194" s="1"/>
      <c r="B194" s="1"/>
      <c r="C194" s="1"/>
      <c r="D194" s="1"/>
      <c r="E194" s="1"/>
      <c r="F194" s="1173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173"/>
      <c r="U194" s="438"/>
      <c r="V194" s="438"/>
      <c r="W194" s="438"/>
      <c r="X194" s="438"/>
      <c r="Y194" s="438"/>
      <c r="Z194" s="438"/>
      <c r="AA194" s="438"/>
      <c r="AB194" s="438"/>
      <c r="AC194" s="438"/>
      <c r="AD194" s="438"/>
      <c r="AE194" s="438"/>
      <c r="AF194" s="438"/>
      <c r="AG194" s="438"/>
      <c r="AH194" s="438"/>
      <c r="AI194" s="438"/>
      <c r="AJ194" s="438"/>
      <c r="AK194" s="438"/>
      <c r="AL194" s="438"/>
      <c r="AM194" s="438"/>
      <c r="AN194" s="438"/>
    </row>
    <row r="195" ht="14.25" customHeight="1">
      <c r="A195" s="1"/>
      <c r="B195" s="1"/>
      <c r="C195" s="1"/>
      <c r="D195" s="1"/>
      <c r="E195" s="1"/>
      <c r="F195" s="1173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173"/>
      <c r="U195" s="438"/>
      <c r="V195" s="438"/>
      <c r="W195" s="438"/>
      <c r="X195" s="438"/>
      <c r="Y195" s="438"/>
      <c r="Z195" s="438"/>
      <c r="AA195" s="438"/>
      <c r="AB195" s="438"/>
      <c r="AC195" s="438"/>
      <c r="AD195" s="438"/>
      <c r="AE195" s="438"/>
      <c r="AF195" s="438"/>
      <c r="AG195" s="438"/>
      <c r="AH195" s="438"/>
      <c r="AI195" s="438"/>
      <c r="AJ195" s="438"/>
      <c r="AK195" s="438"/>
      <c r="AL195" s="438"/>
      <c r="AM195" s="438"/>
      <c r="AN195" s="438"/>
    </row>
    <row r="196" ht="14.25" customHeight="1">
      <c r="A196" s="1"/>
      <c r="B196" s="1"/>
      <c r="C196" s="1"/>
      <c r="D196" s="1"/>
      <c r="E196" s="1"/>
      <c r="F196" s="1173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173"/>
      <c r="U196" s="438"/>
      <c r="V196" s="438"/>
      <c r="W196" s="438"/>
      <c r="X196" s="438"/>
      <c r="Y196" s="438"/>
      <c r="Z196" s="438"/>
      <c r="AA196" s="438"/>
      <c r="AB196" s="438"/>
      <c r="AC196" s="438"/>
      <c r="AD196" s="438"/>
      <c r="AE196" s="438"/>
      <c r="AF196" s="438"/>
      <c r="AG196" s="438"/>
      <c r="AH196" s="438"/>
      <c r="AI196" s="438"/>
      <c r="AJ196" s="438"/>
      <c r="AK196" s="438"/>
      <c r="AL196" s="438"/>
      <c r="AM196" s="438"/>
      <c r="AN196" s="438"/>
    </row>
    <row r="197" ht="14.25" customHeight="1">
      <c r="A197" s="1"/>
      <c r="B197" s="1"/>
      <c r="C197" s="1"/>
      <c r="D197" s="1"/>
      <c r="E197" s="1"/>
      <c r="F197" s="1173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173"/>
      <c r="U197" s="438"/>
      <c r="V197" s="438"/>
      <c r="W197" s="438"/>
      <c r="X197" s="438"/>
      <c r="Y197" s="438"/>
      <c r="Z197" s="438"/>
      <c r="AA197" s="438"/>
      <c r="AB197" s="438"/>
      <c r="AC197" s="438"/>
      <c r="AD197" s="438"/>
      <c r="AE197" s="438"/>
      <c r="AF197" s="438"/>
      <c r="AG197" s="438"/>
      <c r="AH197" s="438"/>
      <c r="AI197" s="438"/>
      <c r="AJ197" s="438"/>
      <c r="AK197" s="438"/>
      <c r="AL197" s="438"/>
      <c r="AM197" s="438"/>
      <c r="AN197" s="438"/>
    </row>
    <row r="198" ht="14.25" customHeight="1">
      <c r="A198" s="1"/>
      <c r="B198" s="1"/>
      <c r="C198" s="1"/>
      <c r="D198" s="1"/>
      <c r="E198" s="1"/>
      <c r="F198" s="1173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173"/>
      <c r="U198" s="438"/>
      <c r="V198" s="438"/>
      <c r="W198" s="438"/>
      <c r="X198" s="438"/>
      <c r="Y198" s="438"/>
      <c r="Z198" s="438"/>
      <c r="AA198" s="438"/>
      <c r="AB198" s="438"/>
      <c r="AC198" s="438"/>
      <c r="AD198" s="438"/>
      <c r="AE198" s="438"/>
      <c r="AF198" s="438"/>
      <c r="AG198" s="438"/>
      <c r="AH198" s="438"/>
      <c r="AI198" s="438"/>
      <c r="AJ198" s="438"/>
      <c r="AK198" s="438"/>
      <c r="AL198" s="438"/>
      <c r="AM198" s="438"/>
      <c r="AN198" s="438"/>
    </row>
    <row r="199" ht="14.25" customHeight="1">
      <c r="A199" s="1"/>
      <c r="B199" s="1"/>
      <c r="C199" s="1"/>
      <c r="D199" s="1"/>
      <c r="E199" s="1"/>
      <c r="F199" s="1173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173"/>
      <c r="U199" s="438"/>
      <c r="V199" s="438"/>
      <c r="W199" s="438"/>
      <c r="X199" s="438"/>
      <c r="Y199" s="438"/>
      <c r="Z199" s="438"/>
      <c r="AA199" s="438"/>
      <c r="AB199" s="438"/>
      <c r="AC199" s="438"/>
      <c r="AD199" s="438"/>
      <c r="AE199" s="438"/>
      <c r="AF199" s="438"/>
      <c r="AG199" s="438"/>
      <c r="AH199" s="438"/>
      <c r="AI199" s="438"/>
      <c r="AJ199" s="438"/>
      <c r="AK199" s="438"/>
      <c r="AL199" s="438"/>
      <c r="AM199" s="438"/>
      <c r="AN199" s="438"/>
    </row>
    <row r="200" ht="14.25" customHeight="1">
      <c r="A200" s="1"/>
      <c r="B200" s="1"/>
      <c r="C200" s="1"/>
      <c r="D200" s="1"/>
      <c r="E200" s="1"/>
      <c r="F200" s="117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173"/>
      <c r="U200" s="438"/>
      <c r="V200" s="438"/>
      <c r="W200" s="438"/>
      <c r="X200" s="438"/>
      <c r="Y200" s="438"/>
      <c r="Z200" s="438"/>
      <c r="AA200" s="438"/>
      <c r="AB200" s="438"/>
      <c r="AC200" s="438"/>
      <c r="AD200" s="438"/>
      <c r="AE200" s="438"/>
      <c r="AF200" s="438"/>
      <c r="AG200" s="438"/>
      <c r="AH200" s="438"/>
      <c r="AI200" s="438"/>
      <c r="AJ200" s="438"/>
      <c r="AK200" s="438"/>
      <c r="AL200" s="438"/>
      <c r="AM200" s="438"/>
      <c r="AN200" s="438"/>
    </row>
    <row r="201" ht="14.25" customHeight="1">
      <c r="A201" s="1"/>
      <c r="B201" s="1"/>
      <c r="C201" s="1"/>
      <c r="D201" s="1"/>
      <c r="E201" s="1"/>
      <c r="F201" s="1173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173"/>
      <c r="U201" s="438"/>
      <c r="V201" s="438"/>
      <c r="W201" s="438"/>
      <c r="X201" s="438"/>
      <c r="Y201" s="438"/>
      <c r="Z201" s="438"/>
      <c r="AA201" s="438"/>
      <c r="AB201" s="438"/>
      <c r="AC201" s="438"/>
      <c r="AD201" s="438"/>
      <c r="AE201" s="438"/>
      <c r="AF201" s="438"/>
      <c r="AG201" s="438"/>
      <c r="AH201" s="438"/>
      <c r="AI201" s="438"/>
      <c r="AJ201" s="438"/>
      <c r="AK201" s="438"/>
      <c r="AL201" s="438"/>
      <c r="AM201" s="438"/>
      <c r="AN201" s="438"/>
    </row>
    <row r="202" ht="14.25" customHeight="1">
      <c r="A202" s="1"/>
      <c r="B202" s="1"/>
      <c r="C202" s="1"/>
      <c r="D202" s="1"/>
      <c r="E202" s="1"/>
      <c r="F202" s="1173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173"/>
      <c r="U202" s="438"/>
      <c r="V202" s="438"/>
      <c r="W202" s="438"/>
      <c r="X202" s="438"/>
      <c r="Y202" s="438"/>
      <c r="Z202" s="438"/>
      <c r="AA202" s="438"/>
      <c r="AB202" s="438"/>
      <c r="AC202" s="438"/>
      <c r="AD202" s="438"/>
      <c r="AE202" s="438"/>
      <c r="AF202" s="438"/>
      <c r="AG202" s="438"/>
      <c r="AH202" s="438"/>
      <c r="AI202" s="438"/>
      <c r="AJ202" s="438"/>
      <c r="AK202" s="438"/>
      <c r="AL202" s="438"/>
      <c r="AM202" s="438"/>
      <c r="AN202" s="438"/>
    </row>
    <row r="203" ht="14.25" customHeight="1">
      <c r="A203" s="1"/>
      <c r="B203" s="1"/>
      <c r="C203" s="1"/>
      <c r="D203" s="1"/>
      <c r="E203" s="1"/>
      <c r="F203" s="1173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173"/>
      <c r="U203" s="438"/>
      <c r="V203" s="438"/>
      <c r="W203" s="438"/>
      <c r="X203" s="438"/>
      <c r="Y203" s="438"/>
      <c r="Z203" s="438"/>
      <c r="AA203" s="438"/>
      <c r="AB203" s="438"/>
      <c r="AC203" s="438"/>
      <c r="AD203" s="438"/>
      <c r="AE203" s="438"/>
      <c r="AF203" s="438"/>
      <c r="AG203" s="438"/>
      <c r="AH203" s="438"/>
      <c r="AI203" s="438"/>
      <c r="AJ203" s="438"/>
      <c r="AK203" s="438"/>
      <c r="AL203" s="438"/>
      <c r="AM203" s="438"/>
      <c r="AN203" s="438"/>
    </row>
    <row r="204" ht="14.25" customHeight="1">
      <c r="A204" s="1"/>
      <c r="B204" s="1"/>
      <c r="C204" s="1"/>
      <c r="D204" s="1"/>
      <c r="E204" s="1"/>
      <c r="F204" s="1173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173"/>
      <c r="U204" s="438"/>
      <c r="V204" s="438"/>
      <c r="W204" s="438"/>
      <c r="X204" s="438"/>
      <c r="Y204" s="438"/>
      <c r="Z204" s="438"/>
      <c r="AA204" s="438"/>
      <c r="AB204" s="438"/>
      <c r="AC204" s="438"/>
      <c r="AD204" s="438"/>
      <c r="AE204" s="438"/>
      <c r="AF204" s="438"/>
      <c r="AG204" s="438"/>
      <c r="AH204" s="438"/>
      <c r="AI204" s="438"/>
      <c r="AJ204" s="438"/>
      <c r="AK204" s="438"/>
      <c r="AL204" s="438"/>
      <c r="AM204" s="438"/>
      <c r="AN204" s="438"/>
    </row>
    <row r="205" ht="14.25" customHeight="1">
      <c r="A205" s="1"/>
      <c r="B205" s="1"/>
      <c r="C205" s="1"/>
      <c r="D205" s="1"/>
      <c r="E205" s="1"/>
      <c r="F205" s="1173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173"/>
      <c r="U205" s="438"/>
      <c r="V205" s="438"/>
      <c r="W205" s="438"/>
      <c r="X205" s="438"/>
      <c r="Y205" s="438"/>
      <c r="Z205" s="438"/>
      <c r="AA205" s="438"/>
      <c r="AB205" s="438"/>
      <c r="AC205" s="438"/>
      <c r="AD205" s="438"/>
      <c r="AE205" s="438"/>
      <c r="AF205" s="438"/>
      <c r="AG205" s="438"/>
      <c r="AH205" s="438"/>
      <c r="AI205" s="438"/>
      <c r="AJ205" s="438"/>
      <c r="AK205" s="438"/>
      <c r="AL205" s="438"/>
      <c r="AM205" s="438"/>
      <c r="AN205" s="438"/>
    </row>
    <row r="206" ht="14.25" customHeight="1">
      <c r="A206" s="1"/>
      <c r="B206" s="1"/>
      <c r="C206" s="1"/>
      <c r="D206" s="1"/>
      <c r="E206" s="1"/>
      <c r="F206" s="1173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173"/>
      <c r="U206" s="438"/>
      <c r="V206" s="438"/>
      <c r="W206" s="438"/>
      <c r="X206" s="438"/>
      <c r="Y206" s="438"/>
      <c r="Z206" s="438"/>
      <c r="AA206" s="438"/>
      <c r="AB206" s="438"/>
      <c r="AC206" s="438"/>
      <c r="AD206" s="438"/>
      <c r="AE206" s="438"/>
      <c r="AF206" s="438"/>
      <c r="AG206" s="438"/>
      <c r="AH206" s="438"/>
      <c r="AI206" s="438"/>
      <c r="AJ206" s="438"/>
      <c r="AK206" s="438"/>
      <c r="AL206" s="438"/>
      <c r="AM206" s="438"/>
      <c r="AN206" s="438"/>
    </row>
    <row r="207" ht="14.25" customHeight="1">
      <c r="A207" s="1"/>
      <c r="B207" s="1"/>
      <c r="C207" s="1"/>
      <c r="D207" s="1"/>
      <c r="E207" s="1"/>
      <c r="F207" s="1173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173"/>
      <c r="U207" s="438"/>
      <c r="V207" s="438"/>
      <c r="W207" s="438"/>
      <c r="X207" s="438"/>
      <c r="Y207" s="438"/>
      <c r="Z207" s="438"/>
      <c r="AA207" s="438"/>
      <c r="AB207" s="438"/>
      <c r="AC207" s="438"/>
      <c r="AD207" s="438"/>
      <c r="AE207" s="438"/>
      <c r="AF207" s="438"/>
      <c r="AG207" s="438"/>
      <c r="AH207" s="438"/>
      <c r="AI207" s="438"/>
      <c r="AJ207" s="438"/>
      <c r="AK207" s="438"/>
      <c r="AL207" s="438"/>
      <c r="AM207" s="438"/>
      <c r="AN207" s="438"/>
    </row>
    <row r="208" ht="14.25" customHeight="1">
      <c r="A208" s="1"/>
      <c r="B208" s="1"/>
      <c r="C208" s="1"/>
      <c r="D208" s="1"/>
      <c r="E208" s="1"/>
      <c r="F208" s="1173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173"/>
      <c r="U208" s="438"/>
      <c r="V208" s="438"/>
      <c r="W208" s="438"/>
      <c r="X208" s="438"/>
      <c r="Y208" s="438"/>
      <c r="Z208" s="438"/>
      <c r="AA208" s="438"/>
      <c r="AB208" s="438"/>
      <c r="AC208" s="438"/>
      <c r="AD208" s="438"/>
      <c r="AE208" s="438"/>
      <c r="AF208" s="438"/>
      <c r="AG208" s="438"/>
      <c r="AH208" s="438"/>
      <c r="AI208" s="438"/>
      <c r="AJ208" s="438"/>
      <c r="AK208" s="438"/>
      <c r="AL208" s="438"/>
      <c r="AM208" s="438"/>
      <c r="AN208" s="438"/>
    </row>
    <row r="209" ht="14.25" customHeight="1">
      <c r="A209" s="1"/>
      <c r="B209" s="1"/>
      <c r="C209" s="1"/>
      <c r="D209" s="1"/>
      <c r="E209" s="1"/>
      <c r="F209" s="1173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173"/>
      <c r="U209" s="438"/>
      <c r="V209" s="438"/>
      <c r="W209" s="438"/>
      <c r="X209" s="438"/>
      <c r="Y209" s="438"/>
      <c r="Z209" s="438"/>
      <c r="AA209" s="438"/>
      <c r="AB209" s="438"/>
      <c r="AC209" s="438"/>
      <c r="AD209" s="438"/>
      <c r="AE209" s="438"/>
      <c r="AF209" s="438"/>
      <c r="AG209" s="438"/>
      <c r="AH209" s="438"/>
      <c r="AI209" s="438"/>
      <c r="AJ209" s="438"/>
      <c r="AK209" s="438"/>
      <c r="AL209" s="438"/>
      <c r="AM209" s="438"/>
      <c r="AN209" s="438"/>
    </row>
    <row r="210" ht="14.25" customHeight="1">
      <c r="A210" s="1"/>
      <c r="B210" s="1"/>
      <c r="C210" s="1"/>
      <c r="D210" s="1"/>
      <c r="E210" s="1"/>
      <c r="F210" s="1173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173"/>
      <c r="U210" s="438"/>
      <c r="V210" s="438"/>
      <c r="W210" s="438"/>
      <c r="X210" s="438"/>
      <c r="Y210" s="438"/>
      <c r="Z210" s="438"/>
      <c r="AA210" s="438"/>
      <c r="AB210" s="438"/>
      <c r="AC210" s="438"/>
      <c r="AD210" s="438"/>
      <c r="AE210" s="438"/>
      <c r="AF210" s="438"/>
      <c r="AG210" s="438"/>
      <c r="AH210" s="438"/>
      <c r="AI210" s="438"/>
      <c r="AJ210" s="438"/>
      <c r="AK210" s="438"/>
      <c r="AL210" s="438"/>
      <c r="AM210" s="438"/>
      <c r="AN210" s="438"/>
    </row>
    <row r="211" ht="14.25" customHeight="1">
      <c r="A211" s="1"/>
      <c r="B211" s="1"/>
      <c r="C211" s="1"/>
      <c r="D211" s="1"/>
      <c r="E211" s="1"/>
      <c r="F211" s="1173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173"/>
      <c r="U211" s="438"/>
      <c r="V211" s="438"/>
      <c r="W211" s="438"/>
      <c r="X211" s="438"/>
      <c r="Y211" s="438"/>
      <c r="Z211" s="438"/>
      <c r="AA211" s="438"/>
      <c r="AB211" s="438"/>
      <c r="AC211" s="438"/>
      <c r="AD211" s="438"/>
      <c r="AE211" s="438"/>
      <c r="AF211" s="438"/>
      <c r="AG211" s="438"/>
      <c r="AH211" s="438"/>
      <c r="AI211" s="438"/>
      <c r="AJ211" s="438"/>
      <c r="AK211" s="438"/>
      <c r="AL211" s="438"/>
      <c r="AM211" s="438"/>
      <c r="AN211" s="438"/>
    </row>
    <row r="212" ht="14.25" customHeight="1">
      <c r="A212" s="1"/>
      <c r="B212" s="1"/>
      <c r="C212" s="1"/>
      <c r="D212" s="1"/>
      <c r="E212" s="1"/>
      <c r="F212" s="1173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173"/>
      <c r="U212" s="438"/>
      <c r="V212" s="438"/>
      <c r="W212" s="438"/>
      <c r="X212" s="438"/>
      <c r="Y212" s="438"/>
      <c r="Z212" s="438"/>
      <c r="AA212" s="438"/>
      <c r="AB212" s="438"/>
      <c r="AC212" s="438"/>
      <c r="AD212" s="438"/>
      <c r="AE212" s="438"/>
      <c r="AF212" s="438"/>
      <c r="AG212" s="438"/>
      <c r="AH212" s="438"/>
      <c r="AI212" s="438"/>
      <c r="AJ212" s="438"/>
      <c r="AK212" s="438"/>
      <c r="AL212" s="438"/>
      <c r="AM212" s="438"/>
      <c r="AN212" s="438"/>
    </row>
    <row r="213" ht="14.25" customHeight="1">
      <c r="A213" s="1"/>
      <c r="B213" s="1"/>
      <c r="C213" s="1"/>
      <c r="D213" s="1"/>
      <c r="E213" s="1"/>
      <c r="F213" s="1173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173"/>
      <c r="U213" s="438"/>
      <c r="V213" s="438"/>
      <c r="W213" s="438"/>
      <c r="X213" s="438"/>
      <c r="Y213" s="438"/>
      <c r="Z213" s="438"/>
      <c r="AA213" s="438"/>
      <c r="AB213" s="438"/>
      <c r="AC213" s="438"/>
      <c r="AD213" s="438"/>
      <c r="AE213" s="438"/>
      <c r="AF213" s="438"/>
      <c r="AG213" s="438"/>
      <c r="AH213" s="438"/>
      <c r="AI213" s="438"/>
      <c r="AJ213" s="438"/>
      <c r="AK213" s="438"/>
      <c r="AL213" s="438"/>
      <c r="AM213" s="438"/>
      <c r="AN213" s="438"/>
    </row>
    <row r="214" ht="14.25" customHeight="1">
      <c r="A214" s="1"/>
      <c r="B214" s="1"/>
      <c r="C214" s="1"/>
      <c r="D214" s="1"/>
      <c r="E214" s="1"/>
      <c r="F214" s="1173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173"/>
      <c r="U214" s="438"/>
      <c r="V214" s="438"/>
      <c r="W214" s="438"/>
      <c r="X214" s="438"/>
      <c r="Y214" s="438"/>
      <c r="Z214" s="438"/>
      <c r="AA214" s="438"/>
      <c r="AB214" s="438"/>
      <c r="AC214" s="438"/>
      <c r="AD214" s="438"/>
      <c r="AE214" s="438"/>
      <c r="AF214" s="438"/>
      <c r="AG214" s="438"/>
      <c r="AH214" s="438"/>
      <c r="AI214" s="438"/>
      <c r="AJ214" s="438"/>
      <c r="AK214" s="438"/>
      <c r="AL214" s="438"/>
      <c r="AM214" s="438"/>
      <c r="AN214" s="438"/>
    </row>
    <row r="215" ht="14.25" customHeight="1">
      <c r="A215" s="1"/>
      <c r="B215" s="1"/>
      <c r="C215" s="1"/>
      <c r="D215" s="1"/>
      <c r="E215" s="1"/>
      <c r="F215" s="1173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173"/>
      <c r="U215" s="438"/>
      <c r="V215" s="438"/>
      <c r="W215" s="438"/>
      <c r="X215" s="438"/>
      <c r="Y215" s="438"/>
      <c r="Z215" s="438"/>
      <c r="AA215" s="438"/>
      <c r="AB215" s="438"/>
      <c r="AC215" s="438"/>
      <c r="AD215" s="438"/>
      <c r="AE215" s="438"/>
      <c r="AF215" s="438"/>
      <c r="AG215" s="438"/>
      <c r="AH215" s="438"/>
      <c r="AI215" s="438"/>
      <c r="AJ215" s="438"/>
      <c r="AK215" s="438"/>
      <c r="AL215" s="438"/>
      <c r="AM215" s="438"/>
      <c r="AN215" s="438"/>
    </row>
    <row r="216" ht="14.25" customHeight="1">
      <c r="A216" s="1"/>
      <c r="B216" s="1"/>
      <c r="C216" s="1"/>
      <c r="D216" s="1"/>
      <c r="E216" s="1"/>
      <c r="F216" s="1173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173"/>
      <c r="U216" s="438"/>
      <c r="V216" s="438"/>
      <c r="W216" s="438"/>
      <c r="X216" s="438"/>
      <c r="Y216" s="438"/>
      <c r="Z216" s="438"/>
      <c r="AA216" s="438"/>
      <c r="AB216" s="438"/>
      <c r="AC216" s="438"/>
      <c r="AD216" s="438"/>
      <c r="AE216" s="438"/>
      <c r="AF216" s="438"/>
      <c r="AG216" s="438"/>
      <c r="AH216" s="438"/>
      <c r="AI216" s="438"/>
      <c r="AJ216" s="438"/>
      <c r="AK216" s="438"/>
      <c r="AL216" s="438"/>
      <c r="AM216" s="438"/>
      <c r="AN216" s="438"/>
    </row>
    <row r="217" ht="14.25" customHeight="1">
      <c r="A217" s="1"/>
      <c r="B217" s="1"/>
      <c r="C217" s="1"/>
      <c r="D217" s="1"/>
      <c r="E217" s="1"/>
      <c r="F217" s="1173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173"/>
      <c r="U217" s="438"/>
      <c r="V217" s="438"/>
      <c r="W217" s="438"/>
      <c r="X217" s="438"/>
      <c r="Y217" s="438"/>
      <c r="Z217" s="438"/>
      <c r="AA217" s="438"/>
      <c r="AB217" s="438"/>
      <c r="AC217" s="438"/>
      <c r="AD217" s="438"/>
      <c r="AE217" s="438"/>
      <c r="AF217" s="438"/>
      <c r="AG217" s="438"/>
      <c r="AH217" s="438"/>
      <c r="AI217" s="438"/>
      <c r="AJ217" s="438"/>
      <c r="AK217" s="438"/>
      <c r="AL217" s="438"/>
      <c r="AM217" s="438"/>
      <c r="AN217" s="438"/>
    </row>
    <row r="218" ht="14.25" customHeight="1">
      <c r="A218" s="1"/>
      <c r="B218" s="1"/>
      <c r="C218" s="1"/>
      <c r="D218" s="1"/>
      <c r="E218" s="1"/>
      <c r="F218" s="1173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173"/>
      <c r="U218" s="438"/>
      <c r="V218" s="438"/>
      <c r="W218" s="438"/>
      <c r="X218" s="438"/>
      <c r="Y218" s="438"/>
      <c r="Z218" s="438"/>
      <c r="AA218" s="438"/>
      <c r="AB218" s="438"/>
      <c r="AC218" s="438"/>
      <c r="AD218" s="438"/>
      <c r="AE218" s="438"/>
      <c r="AF218" s="438"/>
      <c r="AG218" s="438"/>
      <c r="AH218" s="438"/>
      <c r="AI218" s="438"/>
      <c r="AJ218" s="438"/>
      <c r="AK218" s="438"/>
      <c r="AL218" s="438"/>
      <c r="AM218" s="438"/>
      <c r="AN218" s="438"/>
    </row>
    <row r="219" ht="14.25" customHeight="1">
      <c r="A219" s="1"/>
      <c r="B219" s="1"/>
      <c r="C219" s="1"/>
      <c r="D219" s="1"/>
      <c r="E219" s="1"/>
      <c r="F219" s="1173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173"/>
      <c r="U219" s="438"/>
      <c r="V219" s="438"/>
      <c r="W219" s="438"/>
      <c r="X219" s="438"/>
      <c r="Y219" s="438"/>
      <c r="Z219" s="438"/>
      <c r="AA219" s="438"/>
      <c r="AB219" s="438"/>
      <c r="AC219" s="438"/>
      <c r="AD219" s="438"/>
      <c r="AE219" s="438"/>
      <c r="AF219" s="438"/>
      <c r="AG219" s="438"/>
      <c r="AH219" s="438"/>
      <c r="AI219" s="438"/>
      <c r="AJ219" s="438"/>
      <c r="AK219" s="438"/>
      <c r="AL219" s="438"/>
      <c r="AM219" s="438"/>
      <c r="AN219" s="438"/>
    </row>
    <row r="220" ht="14.25" customHeight="1">
      <c r="A220" s="1"/>
      <c r="B220" s="1"/>
      <c r="C220" s="1"/>
      <c r="D220" s="1"/>
      <c r="E220" s="1"/>
      <c r="F220" s="1173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173"/>
      <c r="U220" s="438"/>
      <c r="V220" s="438"/>
      <c r="W220" s="438"/>
      <c r="X220" s="438"/>
      <c r="Y220" s="438"/>
      <c r="Z220" s="438"/>
      <c r="AA220" s="438"/>
      <c r="AB220" s="438"/>
      <c r="AC220" s="438"/>
      <c r="AD220" s="438"/>
      <c r="AE220" s="438"/>
      <c r="AF220" s="438"/>
      <c r="AG220" s="438"/>
      <c r="AH220" s="438"/>
      <c r="AI220" s="438"/>
      <c r="AJ220" s="438"/>
      <c r="AK220" s="438"/>
      <c r="AL220" s="438"/>
      <c r="AM220" s="438"/>
      <c r="AN220" s="438"/>
    </row>
    <row r="221" ht="14.25" customHeight="1">
      <c r="A221" s="1"/>
      <c r="B221" s="1"/>
      <c r="C221" s="1"/>
      <c r="D221" s="1"/>
      <c r="E221" s="1"/>
      <c r="F221" s="1173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173"/>
      <c r="U221" s="438"/>
      <c r="V221" s="438"/>
      <c r="W221" s="438"/>
      <c r="X221" s="438"/>
      <c r="Y221" s="438"/>
      <c r="Z221" s="438"/>
      <c r="AA221" s="438"/>
      <c r="AB221" s="438"/>
      <c r="AC221" s="438"/>
      <c r="AD221" s="438"/>
      <c r="AE221" s="438"/>
      <c r="AF221" s="438"/>
      <c r="AG221" s="438"/>
      <c r="AH221" s="438"/>
      <c r="AI221" s="438"/>
      <c r="AJ221" s="438"/>
      <c r="AK221" s="438"/>
      <c r="AL221" s="438"/>
      <c r="AM221" s="438"/>
      <c r="AN221" s="438"/>
    </row>
    <row r="222" ht="14.25" customHeight="1">
      <c r="A222" s="1"/>
      <c r="B222" s="1"/>
      <c r="C222" s="1"/>
      <c r="D222" s="1"/>
      <c r="E222" s="1"/>
      <c r="F222" s="1173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173"/>
      <c r="U222" s="438"/>
      <c r="V222" s="438"/>
      <c r="W222" s="438"/>
      <c r="X222" s="438"/>
      <c r="Y222" s="438"/>
      <c r="Z222" s="438"/>
      <c r="AA222" s="438"/>
      <c r="AB222" s="438"/>
      <c r="AC222" s="438"/>
      <c r="AD222" s="438"/>
      <c r="AE222" s="438"/>
      <c r="AF222" s="438"/>
      <c r="AG222" s="438"/>
      <c r="AH222" s="438"/>
      <c r="AI222" s="438"/>
      <c r="AJ222" s="438"/>
      <c r="AK222" s="438"/>
      <c r="AL222" s="438"/>
      <c r="AM222" s="438"/>
      <c r="AN222" s="438"/>
    </row>
    <row r="223" ht="14.25" customHeight="1">
      <c r="A223" s="1"/>
      <c r="B223" s="1"/>
      <c r="C223" s="1"/>
      <c r="D223" s="1"/>
      <c r="E223" s="1"/>
      <c r="F223" s="1173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173"/>
      <c r="U223" s="438"/>
      <c r="V223" s="438"/>
      <c r="W223" s="438"/>
      <c r="X223" s="438"/>
      <c r="Y223" s="438"/>
      <c r="Z223" s="438"/>
      <c r="AA223" s="438"/>
      <c r="AB223" s="438"/>
      <c r="AC223" s="438"/>
      <c r="AD223" s="438"/>
      <c r="AE223" s="438"/>
      <c r="AF223" s="438"/>
      <c r="AG223" s="438"/>
      <c r="AH223" s="438"/>
      <c r="AI223" s="438"/>
      <c r="AJ223" s="438"/>
      <c r="AK223" s="438"/>
      <c r="AL223" s="438"/>
      <c r="AM223" s="438"/>
      <c r="AN223" s="438"/>
    </row>
    <row r="224" ht="14.25" customHeight="1">
      <c r="A224" s="1"/>
      <c r="B224" s="1"/>
      <c r="C224" s="1"/>
      <c r="D224" s="1"/>
      <c r="E224" s="1"/>
      <c r="F224" s="1173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173"/>
      <c r="U224" s="438"/>
      <c r="V224" s="438"/>
      <c r="W224" s="438"/>
      <c r="X224" s="438"/>
      <c r="Y224" s="438"/>
      <c r="Z224" s="438"/>
      <c r="AA224" s="438"/>
      <c r="AB224" s="438"/>
      <c r="AC224" s="438"/>
      <c r="AD224" s="438"/>
      <c r="AE224" s="438"/>
      <c r="AF224" s="438"/>
      <c r="AG224" s="438"/>
      <c r="AH224" s="438"/>
      <c r="AI224" s="438"/>
      <c r="AJ224" s="438"/>
      <c r="AK224" s="438"/>
      <c r="AL224" s="438"/>
      <c r="AM224" s="438"/>
      <c r="AN224" s="438"/>
    </row>
    <row r="225" ht="14.25" customHeight="1">
      <c r="A225" s="1"/>
      <c r="B225" s="1"/>
      <c r="C225" s="1"/>
      <c r="D225" s="1"/>
      <c r="E225" s="1"/>
      <c r="F225" s="1173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173"/>
      <c r="U225" s="438"/>
      <c r="V225" s="438"/>
      <c r="W225" s="438"/>
      <c r="X225" s="438"/>
      <c r="Y225" s="438"/>
      <c r="Z225" s="438"/>
      <c r="AA225" s="438"/>
      <c r="AB225" s="438"/>
      <c r="AC225" s="438"/>
      <c r="AD225" s="438"/>
      <c r="AE225" s="438"/>
      <c r="AF225" s="438"/>
      <c r="AG225" s="438"/>
      <c r="AH225" s="438"/>
      <c r="AI225" s="438"/>
      <c r="AJ225" s="438"/>
      <c r="AK225" s="438"/>
      <c r="AL225" s="438"/>
      <c r="AM225" s="438"/>
      <c r="AN225" s="438"/>
    </row>
    <row r="226" ht="14.25" customHeight="1">
      <c r="A226" s="1"/>
      <c r="B226" s="1"/>
      <c r="C226" s="1"/>
      <c r="D226" s="1"/>
      <c r="E226" s="1"/>
      <c r="F226" s="1173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173"/>
      <c r="U226" s="438"/>
      <c r="V226" s="438"/>
      <c r="W226" s="438"/>
      <c r="X226" s="438"/>
      <c r="Y226" s="438"/>
      <c r="Z226" s="438"/>
      <c r="AA226" s="438"/>
      <c r="AB226" s="438"/>
      <c r="AC226" s="438"/>
      <c r="AD226" s="438"/>
      <c r="AE226" s="438"/>
      <c r="AF226" s="438"/>
      <c r="AG226" s="438"/>
      <c r="AH226" s="438"/>
      <c r="AI226" s="438"/>
      <c r="AJ226" s="438"/>
      <c r="AK226" s="438"/>
      <c r="AL226" s="438"/>
      <c r="AM226" s="438"/>
      <c r="AN226" s="438"/>
    </row>
    <row r="227" ht="14.25" customHeight="1">
      <c r="A227" s="1"/>
      <c r="B227" s="1"/>
      <c r="C227" s="1"/>
      <c r="D227" s="1"/>
      <c r="E227" s="1"/>
      <c r="F227" s="1173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173"/>
      <c r="U227" s="438"/>
      <c r="V227" s="438"/>
      <c r="W227" s="438"/>
      <c r="X227" s="438"/>
      <c r="Y227" s="438"/>
      <c r="Z227" s="438"/>
      <c r="AA227" s="438"/>
      <c r="AB227" s="438"/>
      <c r="AC227" s="438"/>
      <c r="AD227" s="438"/>
      <c r="AE227" s="438"/>
      <c r="AF227" s="438"/>
      <c r="AG227" s="438"/>
      <c r="AH227" s="438"/>
      <c r="AI227" s="438"/>
      <c r="AJ227" s="438"/>
      <c r="AK227" s="438"/>
      <c r="AL227" s="438"/>
      <c r="AM227" s="438"/>
      <c r="AN227" s="438"/>
    </row>
    <row r="228" ht="14.25" customHeight="1">
      <c r="A228" s="1"/>
      <c r="B228" s="1"/>
      <c r="C228" s="1"/>
      <c r="D228" s="1"/>
      <c r="E228" s="1"/>
      <c r="F228" s="1173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173"/>
      <c r="U228" s="438"/>
      <c r="V228" s="438"/>
      <c r="W228" s="438"/>
      <c r="X228" s="438"/>
      <c r="Y228" s="438"/>
      <c r="Z228" s="438"/>
      <c r="AA228" s="438"/>
      <c r="AB228" s="438"/>
      <c r="AC228" s="438"/>
      <c r="AD228" s="438"/>
      <c r="AE228" s="438"/>
      <c r="AF228" s="438"/>
      <c r="AG228" s="438"/>
      <c r="AH228" s="438"/>
      <c r="AI228" s="438"/>
      <c r="AJ228" s="438"/>
      <c r="AK228" s="438"/>
      <c r="AL228" s="438"/>
      <c r="AM228" s="438"/>
      <c r="AN228" s="438"/>
    </row>
    <row r="229" ht="14.25" customHeight="1">
      <c r="A229" s="1"/>
      <c r="B229" s="1"/>
      <c r="C229" s="1"/>
      <c r="D229" s="1"/>
      <c r="E229" s="1"/>
      <c r="F229" s="1173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173"/>
      <c r="U229" s="438"/>
      <c r="V229" s="438"/>
      <c r="W229" s="438"/>
      <c r="X229" s="438"/>
      <c r="Y229" s="438"/>
      <c r="Z229" s="438"/>
      <c r="AA229" s="438"/>
      <c r="AB229" s="438"/>
      <c r="AC229" s="438"/>
      <c r="AD229" s="438"/>
      <c r="AE229" s="438"/>
      <c r="AF229" s="438"/>
      <c r="AG229" s="438"/>
      <c r="AH229" s="438"/>
      <c r="AI229" s="438"/>
      <c r="AJ229" s="438"/>
      <c r="AK229" s="438"/>
      <c r="AL229" s="438"/>
      <c r="AM229" s="438"/>
      <c r="AN229" s="438"/>
    </row>
    <row r="230" ht="14.25" customHeight="1">
      <c r="A230" s="1"/>
      <c r="B230" s="1"/>
      <c r="C230" s="1"/>
      <c r="D230" s="1"/>
      <c r="E230" s="1"/>
      <c r="F230" s="1173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173"/>
      <c r="U230" s="438"/>
      <c r="V230" s="438"/>
      <c r="W230" s="438"/>
      <c r="X230" s="438"/>
      <c r="Y230" s="438"/>
      <c r="Z230" s="438"/>
      <c r="AA230" s="438"/>
      <c r="AB230" s="438"/>
      <c r="AC230" s="438"/>
      <c r="AD230" s="438"/>
      <c r="AE230" s="438"/>
      <c r="AF230" s="438"/>
      <c r="AG230" s="438"/>
      <c r="AH230" s="438"/>
      <c r="AI230" s="438"/>
      <c r="AJ230" s="438"/>
      <c r="AK230" s="438"/>
      <c r="AL230" s="438"/>
      <c r="AM230" s="438"/>
      <c r="AN230" s="438"/>
    </row>
    <row r="231" ht="14.25" customHeight="1">
      <c r="A231" s="1"/>
      <c r="B231" s="1"/>
      <c r="C231" s="1"/>
      <c r="D231" s="1"/>
      <c r="E231" s="1"/>
      <c r="F231" s="1173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173"/>
      <c r="U231" s="438"/>
      <c r="V231" s="438"/>
      <c r="W231" s="438"/>
      <c r="X231" s="438"/>
      <c r="Y231" s="438"/>
      <c r="Z231" s="438"/>
      <c r="AA231" s="438"/>
      <c r="AB231" s="438"/>
      <c r="AC231" s="438"/>
      <c r="AD231" s="438"/>
      <c r="AE231" s="438"/>
      <c r="AF231" s="438"/>
      <c r="AG231" s="438"/>
      <c r="AH231" s="438"/>
      <c r="AI231" s="438"/>
      <c r="AJ231" s="438"/>
      <c r="AK231" s="438"/>
      <c r="AL231" s="438"/>
      <c r="AM231" s="438"/>
      <c r="AN231" s="438"/>
    </row>
    <row r="232" ht="14.25" customHeight="1">
      <c r="A232" s="1"/>
      <c r="B232" s="1"/>
      <c r="C232" s="1"/>
      <c r="D232" s="1"/>
      <c r="E232" s="1"/>
      <c r="F232" s="1173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173"/>
      <c r="U232" s="438"/>
      <c r="V232" s="438"/>
      <c r="W232" s="438"/>
      <c r="X232" s="438"/>
      <c r="Y232" s="438"/>
      <c r="Z232" s="438"/>
      <c r="AA232" s="438"/>
      <c r="AB232" s="438"/>
      <c r="AC232" s="438"/>
      <c r="AD232" s="438"/>
      <c r="AE232" s="438"/>
      <c r="AF232" s="438"/>
      <c r="AG232" s="438"/>
      <c r="AH232" s="438"/>
      <c r="AI232" s="438"/>
      <c r="AJ232" s="438"/>
      <c r="AK232" s="438"/>
      <c r="AL232" s="438"/>
      <c r="AM232" s="438"/>
      <c r="AN232" s="438"/>
    </row>
    <row r="233" ht="14.25" customHeight="1">
      <c r="A233" s="1"/>
      <c r="B233" s="1"/>
      <c r="C233" s="1"/>
      <c r="D233" s="1"/>
      <c r="E233" s="1"/>
      <c r="F233" s="1173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173"/>
      <c r="U233" s="438"/>
      <c r="V233" s="438"/>
      <c r="W233" s="438"/>
      <c r="X233" s="438"/>
      <c r="Y233" s="438"/>
      <c r="Z233" s="438"/>
      <c r="AA233" s="438"/>
      <c r="AB233" s="438"/>
      <c r="AC233" s="438"/>
      <c r="AD233" s="438"/>
      <c r="AE233" s="438"/>
      <c r="AF233" s="438"/>
      <c r="AG233" s="438"/>
      <c r="AH233" s="438"/>
      <c r="AI233" s="438"/>
      <c r="AJ233" s="438"/>
      <c r="AK233" s="438"/>
      <c r="AL233" s="438"/>
      <c r="AM233" s="438"/>
      <c r="AN233" s="438"/>
    </row>
    <row r="234" ht="14.25" customHeight="1">
      <c r="A234" s="1"/>
      <c r="B234" s="1"/>
      <c r="C234" s="1"/>
      <c r="D234" s="1"/>
      <c r="E234" s="1"/>
      <c r="F234" s="1173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173"/>
      <c r="U234" s="438"/>
      <c r="V234" s="438"/>
      <c r="W234" s="438"/>
      <c r="X234" s="438"/>
      <c r="Y234" s="438"/>
      <c r="Z234" s="438"/>
      <c r="AA234" s="438"/>
      <c r="AB234" s="438"/>
      <c r="AC234" s="438"/>
      <c r="AD234" s="438"/>
      <c r="AE234" s="438"/>
      <c r="AF234" s="438"/>
      <c r="AG234" s="438"/>
      <c r="AH234" s="438"/>
      <c r="AI234" s="438"/>
      <c r="AJ234" s="438"/>
      <c r="AK234" s="438"/>
      <c r="AL234" s="438"/>
      <c r="AM234" s="438"/>
      <c r="AN234" s="438"/>
    </row>
    <row r="235" ht="14.25" customHeight="1">
      <c r="A235" s="1"/>
      <c r="B235" s="1"/>
      <c r="C235" s="1"/>
      <c r="D235" s="1"/>
      <c r="E235" s="1"/>
      <c r="F235" s="1173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173"/>
      <c r="U235" s="438"/>
      <c r="V235" s="438"/>
      <c r="W235" s="438"/>
      <c r="X235" s="438"/>
      <c r="Y235" s="438"/>
      <c r="Z235" s="438"/>
      <c r="AA235" s="438"/>
      <c r="AB235" s="438"/>
      <c r="AC235" s="438"/>
      <c r="AD235" s="438"/>
      <c r="AE235" s="438"/>
      <c r="AF235" s="438"/>
      <c r="AG235" s="438"/>
      <c r="AH235" s="438"/>
      <c r="AI235" s="438"/>
      <c r="AJ235" s="438"/>
      <c r="AK235" s="438"/>
      <c r="AL235" s="438"/>
      <c r="AM235" s="438"/>
      <c r="AN235" s="438"/>
    </row>
    <row r="236" ht="14.25" customHeight="1">
      <c r="A236" s="1"/>
      <c r="B236" s="1"/>
      <c r="C236" s="1"/>
      <c r="D236" s="1"/>
      <c r="E236" s="1"/>
      <c r="F236" s="1173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173"/>
      <c r="U236" s="438"/>
      <c r="V236" s="438"/>
      <c r="W236" s="438"/>
      <c r="X236" s="438"/>
      <c r="Y236" s="438"/>
      <c r="Z236" s="438"/>
      <c r="AA236" s="438"/>
      <c r="AB236" s="438"/>
      <c r="AC236" s="438"/>
      <c r="AD236" s="438"/>
      <c r="AE236" s="438"/>
      <c r="AF236" s="438"/>
      <c r="AG236" s="438"/>
      <c r="AH236" s="438"/>
      <c r="AI236" s="438"/>
      <c r="AJ236" s="438"/>
      <c r="AK236" s="438"/>
      <c r="AL236" s="438"/>
      <c r="AM236" s="438"/>
      <c r="AN236" s="438"/>
    </row>
    <row r="237" ht="14.25" customHeight="1">
      <c r="A237" s="1"/>
      <c r="B237" s="1"/>
      <c r="C237" s="1"/>
      <c r="D237" s="1"/>
      <c r="E237" s="1"/>
      <c r="F237" s="1173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173"/>
      <c r="U237" s="438"/>
      <c r="V237" s="438"/>
      <c r="W237" s="438"/>
      <c r="X237" s="438"/>
      <c r="Y237" s="438"/>
      <c r="Z237" s="438"/>
      <c r="AA237" s="438"/>
      <c r="AB237" s="438"/>
      <c r="AC237" s="438"/>
      <c r="AD237" s="438"/>
      <c r="AE237" s="438"/>
      <c r="AF237" s="438"/>
      <c r="AG237" s="438"/>
      <c r="AH237" s="438"/>
      <c r="AI237" s="438"/>
      <c r="AJ237" s="438"/>
      <c r="AK237" s="438"/>
      <c r="AL237" s="438"/>
      <c r="AM237" s="438"/>
      <c r="AN237" s="438"/>
    </row>
    <row r="238" ht="14.25" customHeight="1">
      <c r="A238" s="1"/>
      <c r="B238" s="1"/>
      <c r="C238" s="1"/>
      <c r="D238" s="1"/>
      <c r="E238" s="1"/>
      <c r="F238" s="1173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173"/>
      <c r="U238" s="438"/>
      <c r="V238" s="438"/>
      <c r="W238" s="438"/>
      <c r="X238" s="438"/>
      <c r="Y238" s="438"/>
      <c r="Z238" s="438"/>
      <c r="AA238" s="438"/>
      <c r="AB238" s="438"/>
      <c r="AC238" s="438"/>
      <c r="AD238" s="438"/>
      <c r="AE238" s="438"/>
      <c r="AF238" s="438"/>
      <c r="AG238" s="438"/>
      <c r="AH238" s="438"/>
      <c r="AI238" s="438"/>
      <c r="AJ238" s="438"/>
      <c r="AK238" s="438"/>
      <c r="AL238" s="438"/>
      <c r="AM238" s="438"/>
      <c r="AN238" s="438"/>
    </row>
    <row r="239" ht="14.25" customHeight="1">
      <c r="A239" s="1"/>
      <c r="B239" s="1"/>
      <c r="C239" s="1"/>
      <c r="D239" s="1"/>
      <c r="E239" s="1"/>
      <c r="F239" s="1173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173"/>
      <c r="U239" s="438"/>
      <c r="V239" s="438"/>
      <c r="W239" s="438"/>
      <c r="X239" s="438"/>
      <c r="Y239" s="438"/>
      <c r="Z239" s="438"/>
      <c r="AA239" s="438"/>
      <c r="AB239" s="438"/>
      <c r="AC239" s="438"/>
      <c r="AD239" s="438"/>
      <c r="AE239" s="438"/>
      <c r="AF239" s="438"/>
      <c r="AG239" s="438"/>
      <c r="AH239" s="438"/>
      <c r="AI239" s="438"/>
      <c r="AJ239" s="438"/>
      <c r="AK239" s="438"/>
      <c r="AL239" s="438"/>
      <c r="AM239" s="438"/>
      <c r="AN239" s="438"/>
    </row>
    <row r="240" ht="14.25" customHeight="1">
      <c r="A240" s="1"/>
      <c r="B240" s="1"/>
      <c r="C240" s="1"/>
      <c r="D240" s="1"/>
      <c r="E240" s="1"/>
      <c r="F240" s="1173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173"/>
      <c r="U240" s="438"/>
      <c r="V240" s="438"/>
      <c r="W240" s="438"/>
      <c r="X240" s="438"/>
      <c r="Y240" s="438"/>
      <c r="Z240" s="438"/>
      <c r="AA240" s="438"/>
      <c r="AB240" s="438"/>
      <c r="AC240" s="438"/>
      <c r="AD240" s="438"/>
      <c r="AE240" s="438"/>
      <c r="AF240" s="438"/>
      <c r="AG240" s="438"/>
      <c r="AH240" s="438"/>
      <c r="AI240" s="438"/>
      <c r="AJ240" s="438"/>
      <c r="AK240" s="438"/>
      <c r="AL240" s="438"/>
      <c r="AM240" s="438"/>
      <c r="AN240" s="438"/>
    </row>
    <row r="241" ht="14.25" customHeight="1">
      <c r="A241" s="1"/>
      <c r="B241" s="1"/>
      <c r="C241" s="1"/>
      <c r="D241" s="1"/>
      <c r="E241" s="1"/>
      <c r="F241" s="1173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173"/>
      <c r="U241" s="438"/>
      <c r="V241" s="438"/>
      <c r="W241" s="438"/>
      <c r="X241" s="438"/>
      <c r="Y241" s="438"/>
      <c r="Z241" s="438"/>
      <c r="AA241" s="438"/>
      <c r="AB241" s="438"/>
      <c r="AC241" s="438"/>
      <c r="AD241" s="438"/>
      <c r="AE241" s="438"/>
      <c r="AF241" s="438"/>
      <c r="AG241" s="438"/>
      <c r="AH241" s="438"/>
      <c r="AI241" s="438"/>
      <c r="AJ241" s="438"/>
      <c r="AK241" s="438"/>
      <c r="AL241" s="438"/>
      <c r="AM241" s="438"/>
      <c r="AN241" s="438"/>
    </row>
    <row r="242" ht="14.25" customHeight="1">
      <c r="A242" s="1"/>
      <c r="B242" s="1"/>
      <c r="C242" s="1"/>
      <c r="D242" s="1"/>
      <c r="E242" s="1"/>
      <c r="F242" s="1173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173"/>
      <c r="U242" s="438"/>
      <c r="V242" s="438"/>
      <c r="W242" s="438"/>
      <c r="X242" s="438"/>
      <c r="Y242" s="438"/>
      <c r="Z242" s="438"/>
      <c r="AA242" s="438"/>
      <c r="AB242" s="438"/>
      <c r="AC242" s="438"/>
      <c r="AD242" s="438"/>
      <c r="AE242" s="438"/>
      <c r="AF242" s="438"/>
      <c r="AG242" s="438"/>
      <c r="AH242" s="438"/>
      <c r="AI242" s="438"/>
      <c r="AJ242" s="438"/>
      <c r="AK242" s="438"/>
      <c r="AL242" s="438"/>
      <c r="AM242" s="438"/>
      <c r="AN242" s="438"/>
    </row>
    <row r="243" ht="14.25" customHeight="1">
      <c r="A243" s="1"/>
      <c r="B243" s="1"/>
      <c r="C243" s="1"/>
      <c r="D243" s="1"/>
      <c r="E243" s="1"/>
      <c r="F243" s="1173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173"/>
      <c r="U243" s="438"/>
      <c r="V243" s="438"/>
      <c r="W243" s="438"/>
      <c r="X243" s="438"/>
      <c r="Y243" s="438"/>
      <c r="Z243" s="438"/>
      <c r="AA243" s="438"/>
      <c r="AB243" s="438"/>
      <c r="AC243" s="438"/>
      <c r="AD243" s="438"/>
      <c r="AE243" s="438"/>
      <c r="AF243" s="438"/>
      <c r="AG243" s="438"/>
      <c r="AH243" s="438"/>
      <c r="AI243" s="438"/>
      <c r="AJ243" s="438"/>
      <c r="AK243" s="438"/>
      <c r="AL243" s="438"/>
      <c r="AM243" s="438"/>
      <c r="AN243" s="438"/>
    </row>
    <row r="244" ht="14.25" customHeight="1">
      <c r="A244" s="1"/>
      <c r="B244" s="1"/>
      <c r="C244" s="1"/>
      <c r="D244" s="1"/>
      <c r="E244" s="1"/>
      <c r="F244" s="1173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173"/>
      <c r="U244" s="438"/>
      <c r="V244" s="438"/>
      <c r="W244" s="438"/>
      <c r="X244" s="438"/>
      <c r="Y244" s="438"/>
      <c r="Z244" s="438"/>
      <c r="AA244" s="438"/>
      <c r="AB244" s="438"/>
      <c r="AC244" s="438"/>
      <c r="AD244" s="438"/>
      <c r="AE244" s="438"/>
      <c r="AF244" s="438"/>
      <c r="AG244" s="438"/>
      <c r="AH244" s="438"/>
      <c r="AI244" s="438"/>
      <c r="AJ244" s="438"/>
      <c r="AK244" s="438"/>
      <c r="AL244" s="438"/>
      <c r="AM244" s="438"/>
      <c r="AN244" s="438"/>
    </row>
    <row r="245" ht="14.25" customHeight="1">
      <c r="A245" s="1"/>
      <c r="B245" s="1"/>
      <c r="C245" s="1"/>
      <c r="D245" s="1"/>
      <c r="E245" s="1"/>
      <c r="F245" s="1173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173"/>
      <c r="U245" s="438"/>
      <c r="V245" s="438"/>
      <c r="W245" s="438"/>
      <c r="X245" s="438"/>
      <c r="Y245" s="438"/>
      <c r="Z245" s="438"/>
      <c r="AA245" s="438"/>
      <c r="AB245" s="438"/>
      <c r="AC245" s="438"/>
      <c r="AD245" s="438"/>
      <c r="AE245" s="438"/>
      <c r="AF245" s="438"/>
      <c r="AG245" s="438"/>
      <c r="AH245" s="438"/>
      <c r="AI245" s="438"/>
      <c r="AJ245" s="438"/>
      <c r="AK245" s="438"/>
      <c r="AL245" s="438"/>
      <c r="AM245" s="438"/>
      <c r="AN245" s="438"/>
    </row>
    <row r="246" ht="14.25" customHeight="1">
      <c r="A246" s="1"/>
      <c r="B246" s="1"/>
      <c r="C246" s="1"/>
      <c r="D246" s="1"/>
      <c r="E246" s="1"/>
      <c r="F246" s="1173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173"/>
      <c r="U246" s="438"/>
      <c r="V246" s="438"/>
      <c r="W246" s="438"/>
      <c r="X246" s="438"/>
      <c r="Y246" s="438"/>
      <c r="Z246" s="438"/>
      <c r="AA246" s="438"/>
      <c r="AB246" s="438"/>
      <c r="AC246" s="438"/>
      <c r="AD246" s="438"/>
      <c r="AE246" s="438"/>
      <c r="AF246" s="438"/>
      <c r="AG246" s="438"/>
      <c r="AH246" s="438"/>
      <c r="AI246" s="438"/>
      <c r="AJ246" s="438"/>
      <c r="AK246" s="438"/>
      <c r="AL246" s="438"/>
      <c r="AM246" s="438"/>
      <c r="AN246" s="438"/>
    </row>
    <row r="247" ht="14.25" customHeight="1">
      <c r="A247" s="1"/>
      <c r="B247" s="1"/>
      <c r="C247" s="1"/>
      <c r="D247" s="1"/>
      <c r="E247" s="1"/>
      <c r="F247" s="1173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173"/>
      <c r="U247" s="438"/>
      <c r="V247" s="438"/>
      <c r="W247" s="438"/>
      <c r="X247" s="438"/>
      <c r="Y247" s="438"/>
      <c r="Z247" s="438"/>
      <c r="AA247" s="438"/>
      <c r="AB247" s="438"/>
      <c r="AC247" s="438"/>
      <c r="AD247" s="438"/>
      <c r="AE247" s="438"/>
      <c r="AF247" s="438"/>
      <c r="AG247" s="438"/>
      <c r="AH247" s="438"/>
      <c r="AI247" s="438"/>
      <c r="AJ247" s="438"/>
      <c r="AK247" s="438"/>
      <c r="AL247" s="438"/>
      <c r="AM247" s="438"/>
      <c r="AN247" s="438"/>
    </row>
    <row r="248" ht="14.25" customHeight="1">
      <c r="A248" s="1"/>
      <c r="B248" s="1"/>
      <c r="C248" s="1"/>
      <c r="D248" s="1"/>
      <c r="E248" s="1"/>
      <c r="F248" s="1173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173"/>
      <c r="U248" s="438"/>
      <c r="V248" s="438"/>
      <c r="W248" s="438"/>
      <c r="X248" s="438"/>
      <c r="Y248" s="438"/>
      <c r="Z248" s="438"/>
      <c r="AA248" s="438"/>
      <c r="AB248" s="438"/>
      <c r="AC248" s="438"/>
      <c r="AD248" s="438"/>
      <c r="AE248" s="438"/>
      <c r="AF248" s="438"/>
      <c r="AG248" s="438"/>
      <c r="AH248" s="438"/>
      <c r="AI248" s="438"/>
      <c r="AJ248" s="438"/>
      <c r="AK248" s="438"/>
      <c r="AL248" s="438"/>
      <c r="AM248" s="438"/>
      <c r="AN248" s="438"/>
    </row>
    <row r="249" ht="14.25" customHeight="1">
      <c r="A249" s="1"/>
      <c r="B249" s="1"/>
      <c r="C249" s="1"/>
      <c r="D249" s="1"/>
      <c r="E249" s="1"/>
      <c r="F249" s="1173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173"/>
      <c r="U249" s="438"/>
      <c r="V249" s="438"/>
      <c r="W249" s="438"/>
      <c r="X249" s="438"/>
      <c r="Y249" s="438"/>
      <c r="Z249" s="438"/>
      <c r="AA249" s="438"/>
      <c r="AB249" s="438"/>
      <c r="AC249" s="438"/>
      <c r="AD249" s="438"/>
      <c r="AE249" s="438"/>
      <c r="AF249" s="438"/>
      <c r="AG249" s="438"/>
      <c r="AH249" s="438"/>
      <c r="AI249" s="438"/>
      <c r="AJ249" s="438"/>
      <c r="AK249" s="438"/>
      <c r="AL249" s="438"/>
      <c r="AM249" s="438"/>
      <c r="AN249" s="438"/>
    </row>
    <row r="250" ht="14.25" customHeight="1">
      <c r="A250" s="1"/>
      <c r="B250" s="1"/>
      <c r="C250" s="1"/>
      <c r="D250" s="1"/>
      <c r="E250" s="1"/>
      <c r="F250" s="1173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173"/>
      <c r="U250" s="438"/>
      <c r="V250" s="438"/>
      <c r="W250" s="438"/>
      <c r="X250" s="438"/>
      <c r="Y250" s="438"/>
      <c r="Z250" s="438"/>
      <c r="AA250" s="438"/>
      <c r="AB250" s="438"/>
      <c r="AC250" s="438"/>
      <c r="AD250" s="438"/>
      <c r="AE250" s="438"/>
      <c r="AF250" s="438"/>
      <c r="AG250" s="438"/>
      <c r="AH250" s="438"/>
      <c r="AI250" s="438"/>
      <c r="AJ250" s="438"/>
      <c r="AK250" s="438"/>
      <c r="AL250" s="438"/>
      <c r="AM250" s="438"/>
      <c r="AN250" s="438"/>
    </row>
    <row r="251" ht="14.25" customHeight="1">
      <c r="A251" s="1"/>
      <c r="B251" s="1"/>
      <c r="C251" s="1"/>
      <c r="D251" s="1"/>
      <c r="E251" s="1"/>
      <c r="F251" s="1173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173"/>
      <c r="U251" s="438"/>
      <c r="V251" s="438"/>
      <c r="W251" s="438"/>
      <c r="X251" s="438"/>
      <c r="Y251" s="438"/>
      <c r="Z251" s="438"/>
      <c r="AA251" s="438"/>
      <c r="AB251" s="438"/>
      <c r="AC251" s="438"/>
      <c r="AD251" s="438"/>
      <c r="AE251" s="438"/>
      <c r="AF251" s="438"/>
      <c r="AG251" s="438"/>
      <c r="AH251" s="438"/>
      <c r="AI251" s="438"/>
      <c r="AJ251" s="438"/>
      <c r="AK251" s="438"/>
      <c r="AL251" s="438"/>
      <c r="AM251" s="438"/>
      <c r="AN251" s="438"/>
    </row>
    <row r="252" ht="14.25" customHeight="1">
      <c r="A252" s="1"/>
      <c r="B252" s="1"/>
      <c r="C252" s="1"/>
      <c r="D252" s="1"/>
      <c r="E252" s="1"/>
      <c r="F252" s="1173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173"/>
      <c r="U252" s="438"/>
      <c r="V252" s="438"/>
      <c r="W252" s="438"/>
      <c r="X252" s="438"/>
      <c r="Y252" s="438"/>
      <c r="Z252" s="438"/>
      <c r="AA252" s="438"/>
      <c r="AB252" s="438"/>
      <c r="AC252" s="438"/>
      <c r="AD252" s="438"/>
      <c r="AE252" s="438"/>
      <c r="AF252" s="438"/>
      <c r="AG252" s="438"/>
      <c r="AH252" s="438"/>
      <c r="AI252" s="438"/>
      <c r="AJ252" s="438"/>
      <c r="AK252" s="438"/>
      <c r="AL252" s="438"/>
      <c r="AM252" s="438"/>
      <c r="AN252" s="438"/>
    </row>
    <row r="253" ht="14.25" customHeight="1">
      <c r="A253" s="1"/>
      <c r="B253" s="1"/>
      <c r="C253" s="1"/>
      <c r="D253" s="1"/>
      <c r="E253" s="1"/>
      <c r="F253" s="1173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173"/>
      <c r="U253" s="438"/>
      <c r="V253" s="438"/>
      <c r="W253" s="438"/>
      <c r="X253" s="438"/>
      <c r="Y253" s="438"/>
      <c r="Z253" s="438"/>
      <c r="AA253" s="438"/>
      <c r="AB253" s="438"/>
      <c r="AC253" s="438"/>
      <c r="AD253" s="438"/>
      <c r="AE253" s="438"/>
      <c r="AF253" s="438"/>
      <c r="AG253" s="438"/>
      <c r="AH253" s="438"/>
      <c r="AI253" s="438"/>
      <c r="AJ253" s="438"/>
      <c r="AK253" s="438"/>
      <c r="AL253" s="438"/>
      <c r="AM253" s="438"/>
      <c r="AN253" s="438"/>
    </row>
    <row r="254" ht="14.25" customHeight="1">
      <c r="A254" s="1"/>
      <c r="B254" s="1"/>
      <c r="C254" s="1"/>
      <c r="D254" s="1"/>
      <c r="E254" s="1"/>
      <c r="F254" s="1173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173"/>
      <c r="U254" s="438"/>
      <c r="V254" s="438"/>
      <c r="W254" s="438"/>
      <c r="X254" s="438"/>
      <c r="Y254" s="438"/>
      <c r="Z254" s="438"/>
      <c r="AA254" s="438"/>
      <c r="AB254" s="438"/>
      <c r="AC254" s="438"/>
      <c r="AD254" s="438"/>
      <c r="AE254" s="438"/>
      <c r="AF254" s="438"/>
      <c r="AG254" s="438"/>
      <c r="AH254" s="438"/>
      <c r="AI254" s="438"/>
      <c r="AJ254" s="438"/>
      <c r="AK254" s="438"/>
      <c r="AL254" s="438"/>
      <c r="AM254" s="438"/>
      <c r="AN254" s="438"/>
    </row>
    <row r="255" ht="14.25" customHeight="1">
      <c r="A255" s="1"/>
      <c r="B255" s="1"/>
      <c r="C255" s="1"/>
      <c r="D255" s="1"/>
      <c r="E255" s="1"/>
      <c r="F255" s="1173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173"/>
      <c r="U255" s="438"/>
      <c r="V255" s="438"/>
      <c r="W255" s="438"/>
      <c r="X255" s="438"/>
      <c r="Y255" s="438"/>
      <c r="Z255" s="438"/>
      <c r="AA255" s="438"/>
      <c r="AB255" s="438"/>
      <c r="AC255" s="438"/>
      <c r="AD255" s="438"/>
      <c r="AE255" s="438"/>
      <c r="AF255" s="438"/>
      <c r="AG255" s="438"/>
      <c r="AH255" s="438"/>
      <c r="AI255" s="438"/>
      <c r="AJ255" s="438"/>
      <c r="AK255" s="438"/>
      <c r="AL255" s="438"/>
      <c r="AM255" s="438"/>
      <c r="AN255" s="438"/>
    </row>
    <row r="256" ht="14.25" customHeight="1">
      <c r="A256" s="1"/>
      <c r="B256" s="1"/>
      <c r="C256" s="1"/>
      <c r="D256" s="1"/>
      <c r="E256" s="1"/>
      <c r="F256" s="1173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173"/>
      <c r="U256" s="438"/>
      <c r="V256" s="438"/>
      <c r="W256" s="438"/>
      <c r="X256" s="438"/>
      <c r="Y256" s="438"/>
      <c r="Z256" s="438"/>
      <c r="AA256" s="438"/>
      <c r="AB256" s="438"/>
      <c r="AC256" s="438"/>
      <c r="AD256" s="438"/>
      <c r="AE256" s="438"/>
      <c r="AF256" s="438"/>
      <c r="AG256" s="438"/>
      <c r="AH256" s="438"/>
      <c r="AI256" s="438"/>
      <c r="AJ256" s="438"/>
      <c r="AK256" s="438"/>
      <c r="AL256" s="438"/>
      <c r="AM256" s="438"/>
      <c r="AN256" s="438"/>
    </row>
    <row r="257" ht="14.25" customHeight="1">
      <c r="A257" s="1"/>
      <c r="B257" s="1"/>
      <c r="C257" s="1"/>
      <c r="D257" s="1"/>
      <c r="E257" s="1"/>
      <c r="F257" s="1173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173"/>
      <c r="U257" s="438"/>
      <c r="V257" s="438"/>
      <c r="W257" s="438"/>
      <c r="X257" s="438"/>
      <c r="Y257" s="438"/>
      <c r="Z257" s="438"/>
      <c r="AA257" s="438"/>
      <c r="AB257" s="438"/>
      <c r="AC257" s="438"/>
      <c r="AD257" s="438"/>
      <c r="AE257" s="438"/>
      <c r="AF257" s="438"/>
      <c r="AG257" s="438"/>
      <c r="AH257" s="438"/>
      <c r="AI257" s="438"/>
      <c r="AJ257" s="438"/>
      <c r="AK257" s="438"/>
      <c r="AL257" s="438"/>
      <c r="AM257" s="438"/>
      <c r="AN257" s="438"/>
    </row>
    <row r="258" ht="14.25" customHeight="1">
      <c r="A258" s="1"/>
      <c r="B258" s="1"/>
      <c r="C258" s="1"/>
      <c r="D258" s="1"/>
      <c r="E258" s="1"/>
      <c r="F258" s="1173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173"/>
      <c r="U258" s="438"/>
      <c r="V258" s="438"/>
      <c r="W258" s="438"/>
      <c r="X258" s="438"/>
      <c r="Y258" s="438"/>
      <c r="Z258" s="438"/>
      <c r="AA258" s="438"/>
      <c r="AB258" s="438"/>
      <c r="AC258" s="438"/>
      <c r="AD258" s="438"/>
      <c r="AE258" s="438"/>
      <c r="AF258" s="438"/>
      <c r="AG258" s="438"/>
      <c r="AH258" s="438"/>
      <c r="AI258" s="438"/>
      <c r="AJ258" s="438"/>
      <c r="AK258" s="438"/>
      <c r="AL258" s="438"/>
      <c r="AM258" s="438"/>
      <c r="AN258" s="438"/>
    </row>
    <row r="259" ht="14.25" customHeight="1">
      <c r="A259" s="1"/>
      <c r="B259" s="1"/>
      <c r="C259" s="1"/>
      <c r="D259" s="1"/>
      <c r="E259" s="1"/>
      <c r="F259" s="1173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173"/>
      <c r="U259" s="438"/>
      <c r="V259" s="438"/>
      <c r="W259" s="438"/>
      <c r="X259" s="438"/>
      <c r="Y259" s="438"/>
      <c r="Z259" s="438"/>
      <c r="AA259" s="438"/>
      <c r="AB259" s="438"/>
      <c r="AC259" s="438"/>
      <c r="AD259" s="438"/>
      <c r="AE259" s="438"/>
      <c r="AF259" s="438"/>
      <c r="AG259" s="438"/>
      <c r="AH259" s="438"/>
      <c r="AI259" s="438"/>
      <c r="AJ259" s="438"/>
      <c r="AK259" s="438"/>
      <c r="AL259" s="438"/>
      <c r="AM259" s="438"/>
      <c r="AN259" s="438"/>
    </row>
    <row r="260" ht="14.25" customHeight="1">
      <c r="A260" s="1"/>
      <c r="B260" s="1"/>
      <c r="C260" s="1"/>
      <c r="D260" s="1"/>
      <c r="E260" s="1"/>
      <c r="F260" s="1173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173"/>
      <c r="U260" s="438"/>
      <c r="V260" s="438"/>
      <c r="W260" s="438"/>
      <c r="X260" s="438"/>
      <c r="Y260" s="438"/>
      <c r="Z260" s="438"/>
      <c r="AA260" s="438"/>
      <c r="AB260" s="438"/>
      <c r="AC260" s="438"/>
      <c r="AD260" s="438"/>
      <c r="AE260" s="438"/>
      <c r="AF260" s="438"/>
      <c r="AG260" s="438"/>
      <c r="AH260" s="438"/>
      <c r="AI260" s="438"/>
      <c r="AJ260" s="438"/>
      <c r="AK260" s="438"/>
      <c r="AL260" s="438"/>
      <c r="AM260" s="438"/>
      <c r="AN260" s="438"/>
    </row>
    <row r="261" ht="14.25" customHeight="1">
      <c r="A261" s="1"/>
      <c r="B261" s="1"/>
      <c r="C261" s="1"/>
      <c r="D261" s="1"/>
      <c r="E261" s="1"/>
      <c r="F261" s="1173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173"/>
      <c r="U261" s="438"/>
      <c r="V261" s="438"/>
      <c r="W261" s="438"/>
      <c r="X261" s="438"/>
      <c r="Y261" s="438"/>
      <c r="Z261" s="438"/>
      <c r="AA261" s="438"/>
      <c r="AB261" s="438"/>
      <c r="AC261" s="438"/>
      <c r="AD261" s="438"/>
      <c r="AE261" s="438"/>
      <c r="AF261" s="438"/>
      <c r="AG261" s="438"/>
      <c r="AH261" s="438"/>
      <c r="AI261" s="438"/>
      <c r="AJ261" s="438"/>
      <c r="AK261" s="438"/>
      <c r="AL261" s="438"/>
      <c r="AM261" s="438"/>
      <c r="AN261" s="438"/>
    </row>
    <row r="262" ht="14.25" customHeight="1">
      <c r="A262" s="1"/>
      <c r="B262" s="1"/>
      <c r="C262" s="1"/>
      <c r="D262" s="1"/>
      <c r="E262" s="1"/>
      <c r="F262" s="1173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173"/>
      <c r="U262" s="438"/>
      <c r="V262" s="438"/>
      <c r="W262" s="438"/>
      <c r="X262" s="438"/>
      <c r="Y262" s="438"/>
      <c r="Z262" s="438"/>
      <c r="AA262" s="438"/>
      <c r="AB262" s="438"/>
      <c r="AC262" s="438"/>
      <c r="AD262" s="438"/>
      <c r="AE262" s="438"/>
      <c r="AF262" s="438"/>
      <c r="AG262" s="438"/>
      <c r="AH262" s="438"/>
      <c r="AI262" s="438"/>
      <c r="AJ262" s="438"/>
      <c r="AK262" s="438"/>
      <c r="AL262" s="438"/>
      <c r="AM262" s="438"/>
      <c r="AN262" s="438"/>
    </row>
    <row r="263" ht="14.25" customHeight="1">
      <c r="A263" s="1"/>
      <c r="B263" s="1"/>
      <c r="C263" s="1"/>
      <c r="D263" s="1"/>
      <c r="E263" s="1"/>
      <c r="F263" s="1173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173"/>
      <c r="U263" s="438"/>
      <c r="V263" s="438"/>
      <c r="W263" s="438"/>
      <c r="X263" s="438"/>
      <c r="Y263" s="438"/>
      <c r="Z263" s="438"/>
      <c r="AA263" s="438"/>
      <c r="AB263" s="438"/>
      <c r="AC263" s="438"/>
      <c r="AD263" s="438"/>
      <c r="AE263" s="438"/>
      <c r="AF263" s="438"/>
      <c r="AG263" s="438"/>
      <c r="AH263" s="438"/>
      <c r="AI263" s="438"/>
      <c r="AJ263" s="438"/>
      <c r="AK263" s="438"/>
      <c r="AL263" s="438"/>
      <c r="AM263" s="438"/>
      <c r="AN263" s="438"/>
    </row>
    <row r="264" ht="14.25" customHeight="1">
      <c r="A264" s="1"/>
      <c r="B264" s="1"/>
      <c r="C264" s="1"/>
      <c r="D264" s="1"/>
      <c r="E264" s="1"/>
      <c r="F264" s="1173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173"/>
      <c r="U264" s="438"/>
      <c r="V264" s="438"/>
      <c r="W264" s="438"/>
      <c r="X264" s="438"/>
      <c r="Y264" s="438"/>
      <c r="Z264" s="438"/>
      <c r="AA264" s="438"/>
      <c r="AB264" s="438"/>
      <c r="AC264" s="438"/>
      <c r="AD264" s="438"/>
      <c r="AE264" s="438"/>
      <c r="AF264" s="438"/>
      <c r="AG264" s="438"/>
      <c r="AH264" s="438"/>
      <c r="AI264" s="438"/>
      <c r="AJ264" s="438"/>
      <c r="AK264" s="438"/>
      <c r="AL264" s="438"/>
      <c r="AM264" s="438"/>
      <c r="AN264" s="438"/>
    </row>
    <row r="265" ht="14.25" customHeight="1">
      <c r="A265" s="1"/>
      <c r="B265" s="1"/>
      <c r="C265" s="1"/>
      <c r="D265" s="1"/>
      <c r="E265" s="1"/>
      <c r="F265" s="1173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173"/>
      <c r="U265" s="438"/>
      <c r="V265" s="438"/>
      <c r="W265" s="438"/>
      <c r="X265" s="438"/>
      <c r="Y265" s="438"/>
      <c r="Z265" s="438"/>
      <c r="AA265" s="438"/>
      <c r="AB265" s="438"/>
      <c r="AC265" s="438"/>
      <c r="AD265" s="438"/>
      <c r="AE265" s="438"/>
      <c r="AF265" s="438"/>
      <c r="AG265" s="438"/>
      <c r="AH265" s="438"/>
      <c r="AI265" s="438"/>
      <c r="AJ265" s="438"/>
      <c r="AK265" s="438"/>
      <c r="AL265" s="438"/>
      <c r="AM265" s="438"/>
      <c r="AN265" s="438"/>
    </row>
    <row r="266" ht="14.25" customHeight="1">
      <c r="A266" s="1"/>
      <c r="B266" s="1"/>
      <c r="C266" s="1"/>
      <c r="D266" s="1"/>
      <c r="E266" s="1"/>
      <c r="F266" s="1173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173"/>
      <c r="U266" s="438"/>
      <c r="V266" s="438"/>
      <c r="W266" s="438"/>
      <c r="X266" s="438"/>
      <c r="Y266" s="438"/>
      <c r="Z266" s="438"/>
      <c r="AA266" s="438"/>
      <c r="AB266" s="438"/>
      <c r="AC266" s="438"/>
      <c r="AD266" s="438"/>
      <c r="AE266" s="438"/>
      <c r="AF266" s="438"/>
      <c r="AG266" s="438"/>
      <c r="AH266" s="438"/>
      <c r="AI266" s="438"/>
      <c r="AJ266" s="438"/>
      <c r="AK266" s="438"/>
      <c r="AL266" s="438"/>
      <c r="AM266" s="438"/>
      <c r="AN266" s="438"/>
    </row>
    <row r="267" ht="14.25" customHeight="1">
      <c r="A267" s="1"/>
      <c r="B267" s="1"/>
      <c r="C267" s="1"/>
      <c r="D267" s="1"/>
      <c r="E267" s="1"/>
      <c r="F267" s="1173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173"/>
      <c r="U267" s="438"/>
      <c r="V267" s="438"/>
      <c r="W267" s="438"/>
      <c r="X267" s="438"/>
      <c r="Y267" s="438"/>
      <c r="Z267" s="438"/>
      <c r="AA267" s="438"/>
      <c r="AB267" s="438"/>
      <c r="AC267" s="438"/>
      <c r="AD267" s="438"/>
      <c r="AE267" s="438"/>
      <c r="AF267" s="438"/>
      <c r="AG267" s="438"/>
      <c r="AH267" s="438"/>
      <c r="AI267" s="438"/>
      <c r="AJ267" s="438"/>
      <c r="AK267" s="438"/>
      <c r="AL267" s="438"/>
      <c r="AM267" s="438"/>
      <c r="AN267" s="438"/>
    </row>
    <row r="268" ht="14.25" customHeight="1">
      <c r="A268" s="1"/>
      <c r="B268" s="1"/>
      <c r="C268" s="1"/>
      <c r="D268" s="1"/>
      <c r="E268" s="1"/>
      <c r="F268" s="1173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173"/>
      <c r="U268" s="438"/>
      <c r="V268" s="438"/>
      <c r="W268" s="438"/>
      <c r="X268" s="438"/>
      <c r="Y268" s="438"/>
      <c r="Z268" s="438"/>
      <c r="AA268" s="438"/>
      <c r="AB268" s="438"/>
      <c r="AC268" s="438"/>
      <c r="AD268" s="438"/>
      <c r="AE268" s="438"/>
      <c r="AF268" s="438"/>
      <c r="AG268" s="438"/>
      <c r="AH268" s="438"/>
      <c r="AI268" s="438"/>
      <c r="AJ268" s="438"/>
      <c r="AK268" s="438"/>
      <c r="AL268" s="438"/>
      <c r="AM268" s="438"/>
      <c r="AN268" s="438"/>
    </row>
    <row r="269" ht="14.25" customHeight="1">
      <c r="A269" s="1"/>
      <c r="B269" s="1"/>
      <c r="C269" s="1"/>
      <c r="D269" s="1"/>
      <c r="E269" s="1"/>
      <c r="F269" s="1173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173"/>
      <c r="U269" s="438"/>
      <c r="V269" s="438"/>
      <c r="W269" s="438"/>
      <c r="X269" s="438"/>
      <c r="Y269" s="438"/>
      <c r="Z269" s="438"/>
      <c r="AA269" s="438"/>
      <c r="AB269" s="438"/>
      <c r="AC269" s="438"/>
      <c r="AD269" s="438"/>
      <c r="AE269" s="438"/>
      <c r="AF269" s="438"/>
      <c r="AG269" s="438"/>
      <c r="AH269" s="438"/>
      <c r="AI269" s="438"/>
      <c r="AJ269" s="438"/>
      <c r="AK269" s="438"/>
      <c r="AL269" s="438"/>
      <c r="AM269" s="438"/>
      <c r="AN269" s="438"/>
    </row>
    <row r="270" ht="14.25" customHeight="1">
      <c r="A270" s="1"/>
      <c r="B270" s="1"/>
      <c r="C270" s="1"/>
      <c r="D270" s="1"/>
      <c r="E270" s="1"/>
      <c r="F270" s="1173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173"/>
      <c r="U270" s="438"/>
      <c r="V270" s="438"/>
      <c r="W270" s="438"/>
      <c r="X270" s="438"/>
      <c r="Y270" s="438"/>
      <c r="Z270" s="438"/>
      <c r="AA270" s="438"/>
      <c r="AB270" s="438"/>
      <c r="AC270" s="438"/>
      <c r="AD270" s="438"/>
      <c r="AE270" s="438"/>
      <c r="AF270" s="438"/>
      <c r="AG270" s="438"/>
      <c r="AH270" s="438"/>
      <c r="AI270" s="438"/>
      <c r="AJ270" s="438"/>
      <c r="AK270" s="438"/>
      <c r="AL270" s="438"/>
      <c r="AM270" s="438"/>
      <c r="AN270" s="438"/>
    </row>
    <row r="271" ht="14.25" customHeight="1">
      <c r="A271" s="1"/>
      <c r="B271" s="1"/>
      <c r="C271" s="1"/>
      <c r="D271" s="1"/>
      <c r="E271" s="1"/>
      <c r="F271" s="1173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173"/>
      <c r="U271" s="438"/>
      <c r="V271" s="438"/>
      <c r="W271" s="438"/>
      <c r="X271" s="438"/>
      <c r="Y271" s="438"/>
      <c r="Z271" s="438"/>
      <c r="AA271" s="438"/>
      <c r="AB271" s="438"/>
      <c r="AC271" s="438"/>
      <c r="AD271" s="438"/>
      <c r="AE271" s="438"/>
      <c r="AF271" s="438"/>
      <c r="AG271" s="438"/>
      <c r="AH271" s="438"/>
      <c r="AI271" s="438"/>
      <c r="AJ271" s="438"/>
      <c r="AK271" s="438"/>
      <c r="AL271" s="438"/>
      <c r="AM271" s="438"/>
      <c r="AN271" s="438"/>
    </row>
    <row r="272" ht="14.25" customHeight="1">
      <c r="A272" s="1"/>
      <c r="B272" s="1"/>
      <c r="C272" s="1"/>
      <c r="D272" s="1"/>
      <c r="E272" s="1"/>
      <c r="F272" s="1173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173"/>
      <c r="U272" s="438"/>
      <c r="V272" s="438"/>
      <c r="W272" s="438"/>
      <c r="X272" s="438"/>
      <c r="Y272" s="438"/>
      <c r="Z272" s="438"/>
      <c r="AA272" s="438"/>
      <c r="AB272" s="438"/>
      <c r="AC272" s="438"/>
      <c r="AD272" s="438"/>
      <c r="AE272" s="438"/>
      <c r="AF272" s="438"/>
      <c r="AG272" s="438"/>
      <c r="AH272" s="438"/>
      <c r="AI272" s="438"/>
      <c r="AJ272" s="438"/>
      <c r="AK272" s="438"/>
      <c r="AL272" s="438"/>
      <c r="AM272" s="438"/>
      <c r="AN272" s="438"/>
    </row>
    <row r="273" ht="14.25" customHeight="1">
      <c r="A273" s="1"/>
      <c r="B273" s="1"/>
      <c r="C273" s="1"/>
      <c r="D273" s="1"/>
      <c r="E273" s="1"/>
      <c r="F273" s="1173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173"/>
      <c r="U273" s="438"/>
      <c r="V273" s="438"/>
      <c r="W273" s="438"/>
      <c r="X273" s="438"/>
      <c r="Y273" s="438"/>
      <c r="Z273" s="438"/>
      <c r="AA273" s="438"/>
      <c r="AB273" s="438"/>
      <c r="AC273" s="438"/>
      <c r="AD273" s="438"/>
      <c r="AE273" s="438"/>
      <c r="AF273" s="438"/>
      <c r="AG273" s="438"/>
      <c r="AH273" s="438"/>
      <c r="AI273" s="438"/>
      <c r="AJ273" s="438"/>
      <c r="AK273" s="438"/>
      <c r="AL273" s="438"/>
      <c r="AM273" s="438"/>
      <c r="AN273" s="438"/>
    </row>
    <row r="274" ht="14.25" customHeight="1">
      <c r="A274" s="1"/>
      <c r="B274" s="1"/>
      <c r="C274" s="1"/>
      <c r="D274" s="1"/>
      <c r="E274" s="1"/>
      <c r="F274" s="1173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173"/>
      <c r="U274" s="438"/>
      <c r="V274" s="438"/>
      <c r="W274" s="438"/>
      <c r="X274" s="438"/>
      <c r="Y274" s="438"/>
      <c r="Z274" s="438"/>
      <c r="AA274" s="438"/>
      <c r="AB274" s="438"/>
      <c r="AC274" s="438"/>
      <c r="AD274" s="438"/>
      <c r="AE274" s="438"/>
      <c r="AF274" s="438"/>
      <c r="AG274" s="438"/>
      <c r="AH274" s="438"/>
      <c r="AI274" s="438"/>
      <c r="AJ274" s="438"/>
      <c r="AK274" s="438"/>
      <c r="AL274" s="438"/>
      <c r="AM274" s="438"/>
      <c r="AN274" s="438"/>
    </row>
    <row r="275" ht="14.25" customHeight="1">
      <c r="A275" s="1"/>
      <c r="B275" s="1"/>
      <c r="C275" s="1"/>
      <c r="D275" s="1"/>
      <c r="E275" s="1"/>
      <c r="F275" s="1173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173"/>
      <c r="U275" s="438"/>
      <c r="V275" s="438"/>
      <c r="W275" s="438"/>
      <c r="X275" s="438"/>
      <c r="Y275" s="438"/>
      <c r="Z275" s="438"/>
      <c r="AA275" s="438"/>
      <c r="AB275" s="438"/>
      <c r="AC275" s="438"/>
      <c r="AD275" s="438"/>
      <c r="AE275" s="438"/>
      <c r="AF275" s="438"/>
      <c r="AG275" s="438"/>
      <c r="AH275" s="438"/>
      <c r="AI275" s="438"/>
      <c r="AJ275" s="438"/>
      <c r="AK275" s="438"/>
      <c r="AL275" s="438"/>
      <c r="AM275" s="438"/>
      <c r="AN275" s="438"/>
    </row>
    <row r="276" ht="14.25" customHeight="1">
      <c r="A276" s="1"/>
      <c r="B276" s="1"/>
      <c r="C276" s="1"/>
      <c r="D276" s="1"/>
      <c r="E276" s="1"/>
      <c r="F276" s="1173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173"/>
      <c r="U276" s="438"/>
      <c r="V276" s="438"/>
      <c r="W276" s="438"/>
      <c r="X276" s="438"/>
      <c r="Y276" s="438"/>
      <c r="Z276" s="438"/>
      <c r="AA276" s="438"/>
      <c r="AB276" s="438"/>
      <c r="AC276" s="438"/>
      <c r="AD276" s="438"/>
      <c r="AE276" s="438"/>
      <c r="AF276" s="438"/>
      <c r="AG276" s="438"/>
      <c r="AH276" s="438"/>
      <c r="AI276" s="438"/>
      <c r="AJ276" s="438"/>
      <c r="AK276" s="438"/>
      <c r="AL276" s="438"/>
      <c r="AM276" s="438"/>
      <c r="AN276" s="438"/>
    </row>
    <row r="277" ht="14.25" customHeight="1">
      <c r="A277" s="1"/>
      <c r="B277" s="1"/>
      <c r="C277" s="1"/>
      <c r="D277" s="1"/>
      <c r="E277" s="1"/>
      <c r="F277" s="1173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173"/>
      <c r="U277" s="438"/>
      <c r="V277" s="438"/>
      <c r="W277" s="438"/>
      <c r="X277" s="438"/>
      <c r="Y277" s="438"/>
      <c r="Z277" s="438"/>
      <c r="AA277" s="438"/>
      <c r="AB277" s="438"/>
      <c r="AC277" s="438"/>
      <c r="AD277" s="438"/>
      <c r="AE277" s="438"/>
      <c r="AF277" s="438"/>
      <c r="AG277" s="438"/>
      <c r="AH277" s="438"/>
      <c r="AI277" s="438"/>
      <c r="AJ277" s="438"/>
      <c r="AK277" s="438"/>
      <c r="AL277" s="438"/>
      <c r="AM277" s="438"/>
      <c r="AN277" s="438"/>
    </row>
    <row r="278" ht="14.25" customHeight="1">
      <c r="A278" s="1"/>
      <c r="B278" s="1"/>
      <c r="C278" s="1"/>
      <c r="D278" s="1"/>
      <c r="E278" s="1"/>
      <c r="F278" s="1173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173"/>
      <c r="U278" s="438"/>
      <c r="V278" s="438"/>
      <c r="W278" s="438"/>
      <c r="X278" s="438"/>
      <c r="Y278" s="438"/>
      <c r="Z278" s="438"/>
      <c r="AA278" s="438"/>
      <c r="AB278" s="438"/>
      <c r="AC278" s="438"/>
      <c r="AD278" s="438"/>
      <c r="AE278" s="438"/>
      <c r="AF278" s="438"/>
      <c r="AG278" s="438"/>
      <c r="AH278" s="438"/>
      <c r="AI278" s="438"/>
      <c r="AJ278" s="438"/>
      <c r="AK278" s="438"/>
      <c r="AL278" s="438"/>
      <c r="AM278" s="438"/>
      <c r="AN278" s="438"/>
    </row>
    <row r="279" ht="14.25" customHeight="1">
      <c r="A279" s="1"/>
      <c r="B279" s="1"/>
      <c r="C279" s="1"/>
      <c r="D279" s="1"/>
      <c r="E279" s="1"/>
      <c r="F279" s="1173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173"/>
      <c r="U279" s="438"/>
      <c r="V279" s="438"/>
      <c r="W279" s="438"/>
      <c r="X279" s="438"/>
      <c r="Y279" s="438"/>
      <c r="Z279" s="438"/>
      <c r="AA279" s="438"/>
      <c r="AB279" s="438"/>
      <c r="AC279" s="438"/>
      <c r="AD279" s="438"/>
      <c r="AE279" s="438"/>
      <c r="AF279" s="438"/>
      <c r="AG279" s="438"/>
      <c r="AH279" s="438"/>
      <c r="AI279" s="438"/>
      <c r="AJ279" s="438"/>
      <c r="AK279" s="438"/>
      <c r="AL279" s="438"/>
      <c r="AM279" s="438"/>
      <c r="AN279" s="438"/>
    </row>
    <row r="280" ht="14.25" customHeight="1">
      <c r="A280" s="1"/>
      <c r="B280" s="1"/>
      <c r="C280" s="1"/>
      <c r="D280" s="1"/>
      <c r="E280" s="1"/>
      <c r="F280" s="1173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173"/>
      <c r="U280" s="438"/>
      <c r="V280" s="438"/>
      <c r="W280" s="438"/>
      <c r="X280" s="438"/>
      <c r="Y280" s="438"/>
      <c r="Z280" s="438"/>
      <c r="AA280" s="438"/>
      <c r="AB280" s="438"/>
      <c r="AC280" s="438"/>
      <c r="AD280" s="438"/>
      <c r="AE280" s="438"/>
      <c r="AF280" s="438"/>
      <c r="AG280" s="438"/>
      <c r="AH280" s="438"/>
      <c r="AI280" s="438"/>
      <c r="AJ280" s="438"/>
      <c r="AK280" s="438"/>
      <c r="AL280" s="438"/>
      <c r="AM280" s="438"/>
      <c r="AN280" s="438"/>
    </row>
    <row r="281" ht="14.25" customHeight="1">
      <c r="A281" s="1"/>
      <c r="B281" s="1"/>
      <c r="C281" s="1"/>
      <c r="D281" s="1"/>
      <c r="E281" s="1"/>
      <c r="F281" s="1173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173"/>
      <c r="U281" s="438"/>
      <c r="V281" s="438"/>
      <c r="W281" s="438"/>
      <c r="X281" s="438"/>
      <c r="Y281" s="438"/>
      <c r="Z281" s="438"/>
      <c r="AA281" s="438"/>
      <c r="AB281" s="438"/>
      <c r="AC281" s="438"/>
      <c r="AD281" s="438"/>
      <c r="AE281" s="438"/>
      <c r="AF281" s="438"/>
      <c r="AG281" s="438"/>
      <c r="AH281" s="438"/>
      <c r="AI281" s="438"/>
      <c r="AJ281" s="438"/>
      <c r="AK281" s="438"/>
      <c r="AL281" s="438"/>
      <c r="AM281" s="438"/>
      <c r="AN281" s="438"/>
    </row>
    <row r="282" ht="14.25" customHeight="1">
      <c r="A282" s="1"/>
      <c r="B282" s="1"/>
      <c r="C282" s="1"/>
      <c r="D282" s="1"/>
      <c r="E282" s="1"/>
      <c r="F282" s="1173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173"/>
      <c r="U282" s="438"/>
      <c r="V282" s="438"/>
      <c r="W282" s="438"/>
      <c r="X282" s="438"/>
      <c r="Y282" s="438"/>
      <c r="Z282" s="438"/>
      <c r="AA282" s="438"/>
      <c r="AB282" s="438"/>
      <c r="AC282" s="438"/>
      <c r="AD282" s="438"/>
      <c r="AE282" s="438"/>
      <c r="AF282" s="438"/>
      <c r="AG282" s="438"/>
      <c r="AH282" s="438"/>
      <c r="AI282" s="438"/>
      <c r="AJ282" s="438"/>
      <c r="AK282" s="438"/>
      <c r="AL282" s="438"/>
      <c r="AM282" s="438"/>
      <c r="AN282" s="438"/>
    </row>
    <row r="283" ht="14.25" customHeight="1">
      <c r="A283" s="1"/>
      <c r="B283" s="1"/>
      <c r="C283" s="1"/>
      <c r="D283" s="1"/>
      <c r="E283" s="1"/>
      <c r="F283" s="1173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173"/>
      <c r="U283" s="438"/>
      <c r="V283" s="438"/>
      <c r="W283" s="438"/>
      <c r="X283" s="438"/>
      <c r="Y283" s="438"/>
      <c r="Z283" s="438"/>
      <c r="AA283" s="438"/>
      <c r="AB283" s="438"/>
      <c r="AC283" s="438"/>
      <c r="AD283" s="438"/>
      <c r="AE283" s="438"/>
      <c r="AF283" s="438"/>
      <c r="AG283" s="438"/>
      <c r="AH283" s="438"/>
      <c r="AI283" s="438"/>
      <c r="AJ283" s="438"/>
      <c r="AK283" s="438"/>
      <c r="AL283" s="438"/>
      <c r="AM283" s="438"/>
      <c r="AN283" s="438"/>
    </row>
    <row r="284" ht="14.25" customHeight="1">
      <c r="A284" s="1"/>
      <c r="B284" s="1"/>
      <c r="C284" s="1"/>
      <c r="D284" s="1"/>
      <c r="E284" s="1"/>
      <c r="F284" s="1173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173"/>
      <c r="U284" s="438"/>
      <c r="V284" s="438"/>
      <c r="W284" s="438"/>
      <c r="X284" s="438"/>
      <c r="Y284" s="438"/>
      <c r="Z284" s="438"/>
      <c r="AA284" s="438"/>
      <c r="AB284" s="438"/>
      <c r="AC284" s="438"/>
      <c r="AD284" s="438"/>
      <c r="AE284" s="438"/>
      <c r="AF284" s="438"/>
      <c r="AG284" s="438"/>
      <c r="AH284" s="438"/>
      <c r="AI284" s="438"/>
      <c r="AJ284" s="438"/>
      <c r="AK284" s="438"/>
      <c r="AL284" s="438"/>
      <c r="AM284" s="438"/>
      <c r="AN284" s="438"/>
    </row>
    <row r="285" ht="14.25" customHeight="1">
      <c r="A285" s="1"/>
      <c r="B285" s="1"/>
      <c r="C285" s="1"/>
      <c r="D285" s="1"/>
      <c r="E285" s="1"/>
      <c r="F285" s="1173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173"/>
      <c r="U285" s="438"/>
      <c r="V285" s="438"/>
      <c r="W285" s="438"/>
      <c r="X285" s="438"/>
      <c r="Y285" s="438"/>
      <c r="Z285" s="438"/>
      <c r="AA285" s="438"/>
      <c r="AB285" s="438"/>
      <c r="AC285" s="438"/>
      <c r="AD285" s="438"/>
      <c r="AE285" s="438"/>
      <c r="AF285" s="438"/>
      <c r="AG285" s="438"/>
      <c r="AH285" s="438"/>
      <c r="AI285" s="438"/>
      <c r="AJ285" s="438"/>
      <c r="AK285" s="438"/>
      <c r="AL285" s="438"/>
      <c r="AM285" s="438"/>
      <c r="AN285" s="438"/>
    </row>
    <row r="286" ht="14.25" customHeight="1">
      <c r="A286" s="1"/>
      <c r="B286" s="1"/>
      <c r="C286" s="1"/>
      <c r="D286" s="1"/>
      <c r="E286" s="1"/>
      <c r="F286" s="1173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173"/>
      <c r="U286" s="438"/>
      <c r="V286" s="438"/>
      <c r="W286" s="438"/>
      <c r="X286" s="438"/>
      <c r="Y286" s="438"/>
      <c r="Z286" s="438"/>
      <c r="AA286" s="438"/>
      <c r="AB286" s="438"/>
      <c r="AC286" s="438"/>
      <c r="AD286" s="438"/>
      <c r="AE286" s="438"/>
      <c r="AF286" s="438"/>
      <c r="AG286" s="438"/>
      <c r="AH286" s="438"/>
      <c r="AI286" s="438"/>
      <c r="AJ286" s="438"/>
      <c r="AK286" s="438"/>
      <c r="AL286" s="438"/>
      <c r="AM286" s="438"/>
      <c r="AN286" s="438"/>
    </row>
    <row r="287" ht="14.25" customHeight="1">
      <c r="A287" s="1"/>
      <c r="B287" s="1"/>
      <c r="C287" s="1"/>
      <c r="D287" s="1"/>
      <c r="E287" s="1"/>
      <c r="F287" s="1173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173"/>
      <c r="U287" s="438"/>
      <c r="V287" s="438"/>
      <c r="W287" s="438"/>
      <c r="X287" s="438"/>
      <c r="Y287" s="438"/>
      <c r="Z287" s="438"/>
      <c r="AA287" s="438"/>
      <c r="AB287" s="438"/>
      <c r="AC287" s="438"/>
      <c r="AD287" s="438"/>
      <c r="AE287" s="438"/>
      <c r="AF287" s="438"/>
      <c r="AG287" s="438"/>
      <c r="AH287" s="438"/>
      <c r="AI287" s="438"/>
      <c r="AJ287" s="438"/>
      <c r="AK287" s="438"/>
      <c r="AL287" s="438"/>
      <c r="AM287" s="438"/>
      <c r="AN287" s="438"/>
    </row>
    <row r="288" ht="14.25" customHeight="1">
      <c r="A288" s="1"/>
      <c r="B288" s="1"/>
      <c r="C288" s="1"/>
      <c r="D288" s="1"/>
      <c r="E288" s="1"/>
      <c r="F288" s="1173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173"/>
      <c r="U288" s="438"/>
      <c r="V288" s="438"/>
      <c r="W288" s="438"/>
      <c r="X288" s="438"/>
      <c r="Y288" s="438"/>
      <c r="Z288" s="438"/>
      <c r="AA288" s="438"/>
      <c r="AB288" s="438"/>
      <c r="AC288" s="438"/>
      <c r="AD288" s="438"/>
      <c r="AE288" s="438"/>
      <c r="AF288" s="438"/>
      <c r="AG288" s="438"/>
      <c r="AH288" s="438"/>
      <c r="AI288" s="438"/>
      <c r="AJ288" s="438"/>
      <c r="AK288" s="438"/>
      <c r="AL288" s="438"/>
      <c r="AM288" s="438"/>
      <c r="AN288" s="438"/>
    </row>
    <row r="289" ht="14.25" customHeight="1">
      <c r="A289" s="1"/>
      <c r="B289" s="1"/>
      <c r="C289" s="1"/>
      <c r="D289" s="1"/>
      <c r="E289" s="1"/>
      <c r="F289" s="1173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173"/>
      <c r="U289" s="438"/>
      <c r="V289" s="438"/>
      <c r="W289" s="438"/>
      <c r="X289" s="438"/>
      <c r="Y289" s="438"/>
      <c r="Z289" s="438"/>
      <c r="AA289" s="438"/>
      <c r="AB289" s="438"/>
      <c r="AC289" s="438"/>
      <c r="AD289" s="438"/>
      <c r="AE289" s="438"/>
      <c r="AF289" s="438"/>
      <c r="AG289" s="438"/>
      <c r="AH289" s="438"/>
      <c r="AI289" s="438"/>
      <c r="AJ289" s="438"/>
      <c r="AK289" s="438"/>
      <c r="AL289" s="438"/>
      <c r="AM289" s="438"/>
      <c r="AN289" s="438"/>
    </row>
    <row r="290" ht="14.25" customHeight="1">
      <c r="A290" s="1"/>
      <c r="B290" s="1"/>
      <c r="C290" s="1"/>
      <c r="D290" s="1"/>
      <c r="E290" s="1"/>
      <c r="F290" s="1173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173"/>
      <c r="U290" s="438"/>
      <c r="V290" s="438"/>
      <c r="W290" s="438"/>
      <c r="X290" s="438"/>
      <c r="Y290" s="438"/>
      <c r="Z290" s="438"/>
      <c r="AA290" s="438"/>
      <c r="AB290" s="438"/>
      <c r="AC290" s="438"/>
      <c r="AD290" s="438"/>
      <c r="AE290" s="438"/>
      <c r="AF290" s="438"/>
      <c r="AG290" s="438"/>
      <c r="AH290" s="438"/>
      <c r="AI290" s="438"/>
      <c r="AJ290" s="438"/>
      <c r="AK290" s="438"/>
      <c r="AL290" s="438"/>
      <c r="AM290" s="438"/>
      <c r="AN290" s="438"/>
    </row>
    <row r="291" ht="14.25" customHeight="1">
      <c r="A291" s="1"/>
      <c r="B291" s="1"/>
      <c r="C291" s="1"/>
      <c r="D291" s="1"/>
      <c r="E291" s="1"/>
      <c r="F291" s="1173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173"/>
      <c r="U291" s="438"/>
      <c r="V291" s="438"/>
      <c r="W291" s="438"/>
      <c r="X291" s="438"/>
      <c r="Y291" s="438"/>
      <c r="Z291" s="438"/>
      <c r="AA291" s="438"/>
      <c r="AB291" s="438"/>
      <c r="AC291" s="438"/>
      <c r="AD291" s="438"/>
      <c r="AE291" s="438"/>
      <c r="AF291" s="438"/>
      <c r="AG291" s="438"/>
      <c r="AH291" s="438"/>
      <c r="AI291" s="438"/>
      <c r="AJ291" s="438"/>
      <c r="AK291" s="438"/>
      <c r="AL291" s="438"/>
      <c r="AM291" s="438"/>
      <c r="AN291" s="438"/>
    </row>
    <row r="292" ht="14.25" customHeight="1">
      <c r="A292" s="1"/>
      <c r="B292" s="1"/>
      <c r="C292" s="1"/>
      <c r="D292" s="1"/>
      <c r="E292" s="1"/>
      <c r="F292" s="1173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173"/>
      <c r="U292" s="438"/>
      <c r="V292" s="438"/>
      <c r="W292" s="438"/>
      <c r="X292" s="438"/>
      <c r="Y292" s="438"/>
      <c r="Z292" s="438"/>
      <c r="AA292" s="438"/>
      <c r="AB292" s="438"/>
      <c r="AC292" s="438"/>
      <c r="AD292" s="438"/>
      <c r="AE292" s="438"/>
      <c r="AF292" s="438"/>
      <c r="AG292" s="438"/>
      <c r="AH292" s="438"/>
      <c r="AI292" s="438"/>
      <c r="AJ292" s="438"/>
      <c r="AK292" s="438"/>
      <c r="AL292" s="438"/>
      <c r="AM292" s="438"/>
      <c r="AN292" s="438"/>
    </row>
    <row r="293" ht="14.25" customHeight="1">
      <c r="A293" s="1"/>
      <c r="B293" s="1"/>
      <c r="C293" s="1"/>
      <c r="D293" s="1"/>
      <c r="E293" s="1"/>
      <c r="F293" s="1173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173"/>
      <c r="U293" s="438"/>
      <c r="V293" s="438"/>
      <c r="W293" s="438"/>
      <c r="X293" s="438"/>
      <c r="Y293" s="438"/>
      <c r="Z293" s="438"/>
      <c r="AA293" s="438"/>
      <c r="AB293" s="438"/>
      <c r="AC293" s="438"/>
      <c r="AD293" s="438"/>
      <c r="AE293" s="438"/>
      <c r="AF293" s="438"/>
      <c r="AG293" s="438"/>
      <c r="AH293" s="438"/>
      <c r="AI293" s="438"/>
      <c r="AJ293" s="438"/>
      <c r="AK293" s="438"/>
      <c r="AL293" s="438"/>
      <c r="AM293" s="438"/>
      <c r="AN293" s="438"/>
    </row>
    <row r="294" ht="14.25" customHeight="1">
      <c r="A294" s="1"/>
      <c r="B294" s="1"/>
      <c r="C294" s="1"/>
      <c r="D294" s="1"/>
      <c r="E294" s="1"/>
      <c r="F294" s="1173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173"/>
      <c r="U294" s="438"/>
      <c r="V294" s="438"/>
      <c r="W294" s="438"/>
      <c r="X294" s="438"/>
      <c r="Y294" s="438"/>
      <c r="Z294" s="438"/>
      <c r="AA294" s="438"/>
      <c r="AB294" s="438"/>
      <c r="AC294" s="438"/>
      <c r="AD294" s="438"/>
      <c r="AE294" s="438"/>
      <c r="AF294" s="438"/>
      <c r="AG294" s="438"/>
      <c r="AH294" s="438"/>
      <c r="AI294" s="438"/>
      <c r="AJ294" s="438"/>
      <c r="AK294" s="438"/>
      <c r="AL294" s="438"/>
      <c r="AM294" s="438"/>
      <c r="AN294" s="438"/>
    </row>
    <row r="295" ht="14.25" customHeight="1">
      <c r="A295" s="1"/>
      <c r="B295" s="1"/>
      <c r="C295" s="1"/>
      <c r="D295" s="1"/>
      <c r="E295" s="1"/>
      <c r="F295" s="1173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173"/>
      <c r="U295" s="438"/>
      <c r="V295" s="438"/>
      <c r="W295" s="438"/>
      <c r="X295" s="438"/>
      <c r="Y295" s="438"/>
      <c r="Z295" s="438"/>
      <c r="AA295" s="438"/>
      <c r="AB295" s="438"/>
      <c r="AC295" s="438"/>
      <c r="AD295" s="438"/>
      <c r="AE295" s="438"/>
      <c r="AF295" s="438"/>
      <c r="AG295" s="438"/>
      <c r="AH295" s="438"/>
      <c r="AI295" s="438"/>
      <c r="AJ295" s="438"/>
      <c r="AK295" s="438"/>
      <c r="AL295" s="438"/>
      <c r="AM295" s="438"/>
      <c r="AN295" s="438"/>
    </row>
    <row r="296" ht="14.25" customHeight="1">
      <c r="A296" s="1"/>
      <c r="B296" s="1"/>
      <c r="C296" s="1"/>
      <c r="D296" s="1"/>
      <c r="E296" s="1"/>
      <c r="F296" s="1173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173"/>
      <c r="U296" s="438"/>
      <c r="V296" s="438"/>
      <c r="W296" s="438"/>
      <c r="X296" s="438"/>
      <c r="Y296" s="438"/>
      <c r="Z296" s="438"/>
      <c r="AA296" s="438"/>
      <c r="AB296" s="438"/>
      <c r="AC296" s="438"/>
      <c r="AD296" s="438"/>
      <c r="AE296" s="438"/>
      <c r="AF296" s="438"/>
      <c r="AG296" s="438"/>
      <c r="AH296" s="438"/>
      <c r="AI296" s="438"/>
      <c r="AJ296" s="438"/>
      <c r="AK296" s="438"/>
      <c r="AL296" s="438"/>
      <c r="AM296" s="438"/>
      <c r="AN296" s="438"/>
    </row>
    <row r="297" ht="14.25" customHeight="1">
      <c r="A297" s="1"/>
      <c r="B297" s="1"/>
      <c r="C297" s="1"/>
      <c r="D297" s="1"/>
      <c r="E297" s="1"/>
      <c r="F297" s="1173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173"/>
      <c r="U297" s="438"/>
      <c r="V297" s="438"/>
      <c r="W297" s="438"/>
      <c r="X297" s="438"/>
      <c r="Y297" s="438"/>
      <c r="Z297" s="438"/>
      <c r="AA297" s="438"/>
      <c r="AB297" s="438"/>
      <c r="AC297" s="438"/>
      <c r="AD297" s="438"/>
      <c r="AE297" s="438"/>
      <c r="AF297" s="438"/>
      <c r="AG297" s="438"/>
      <c r="AH297" s="438"/>
      <c r="AI297" s="438"/>
      <c r="AJ297" s="438"/>
      <c r="AK297" s="438"/>
      <c r="AL297" s="438"/>
      <c r="AM297" s="438"/>
      <c r="AN297" s="438"/>
    </row>
    <row r="298" ht="14.25" customHeight="1">
      <c r="A298" s="1"/>
      <c r="B298" s="1"/>
      <c r="C298" s="1"/>
      <c r="D298" s="1"/>
      <c r="E298" s="1"/>
      <c r="F298" s="1173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173"/>
      <c r="U298" s="438"/>
      <c r="V298" s="438"/>
      <c r="W298" s="438"/>
      <c r="X298" s="438"/>
      <c r="Y298" s="438"/>
      <c r="Z298" s="438"/>
      <c r="AA298" s="438"/>
      <c r="AB298" s="438"/>
      <c r="AC298" s="438"/>
      <c r="AD298" s="438"/>
      <c r="AE298" s="438"/>
      <c r="AF298" s="438"/>
      <c r="AG298" s="438"/>
      <c r="AH298" s="438"/>
      <c r="AI298" s="438"/>
      <c r="AJ298" s="438"/>
      <c r="AK298" s="438"/>
      <c r="AL298" s="438"/>
      <c r="AM298" s="438"/>
      <c r="AN298" s="438"/>
    </row>
    <row r="299" ht="14.25" customHeight="1">
      <c r="A299" s="1"/>
      <c r="B299" s="1"/>
      <c r="C299" s="1"/>
      <c r="D299" s="1"/>
      <c r="E299" s="1"/>
      <c r="F299" s="1173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173"/>
      <c r="U299" s="438"/>
      <c r="V299" s="438"/>
      <c r="W299" s="438"/>
      <c r="X299" s="438"/>
      <c r="Y299" s="438"/>
      <c r="Z299" s="438"/>
      <c r="AA299" s="438"/>
      <c r="AB299" s="438"/>
      <c r="AC299" s="438"/>
      <c r="AD299" s="438"/>
      <c r="AE299" s="438"/>
      <c r="AF299" s="438"/>
      <c r="AG299" s="438"/>
      <c r="AH299" s="438"/>
      <c r="AI299" s="438"/>
      <c r="AJ299" s="438"/>
      <c r="AK299" s="438"/>
      <c r="AL299" s="438"/>
      <c r="AM299" s="438"/>
      <c r="AN299" s="438"/>
    </row>
    <row r="300" ht="14.25" customHeight="1">
      <c r="A300" s="1"/>
      <c r="B300" s="1"/>
      <c r="C300" s="1"/>
      <c r="D300" s="1"/>
      <c r="E300" s="1"/>
      <c r="F300" s="1173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173"/>
      <c r="U300" s="438"/>
      <c r="V300" s="438"/>
      <c r="W300" s="438"/>
      <c r="X300" s="438"/>
      <c r="Y300" s="438"/>
      <c r="Z300" s="438"/>
      <c r="AA300" s="438"/>
      <c r="AB300" s="438"/>
      <c r="AC300" s="438"/>
      <c r="AD300" s="438"/>
      <c r="AE300" s="438"/>
      <c r="AF300" s="438"/>
      <c r="AG300" s="438"/>
      <c r="AH300" s="438"/>
      <c r="AI300" s="438"/>
      <c r="AJ300" s="438"/>
      <c r="AK300" s="438"/>
      <c r="AL300" s="438"/>
      <c r="AM300" s="438"/>
      <c r="AN300" s="438"/>
    </row>
    <row r="301" ht="14.25" customHeight="1">
      <c r="A301" s="1"/>
      <c r="B301" s="1"/>
      <c r="C301" s="1"/>
      <c r="D301" s="1"/>
      <c r="E301" s="1"/>
      <c r="F301" s="1173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173"/>
      <c r="U301" s="438"/>
      <c r="V301" s="438"/>
      <c r="W301" s="438"/>
      <c r="X301" s="438"/>
      <c r="Y301" s="438"/>
      <c r="Z301" s="438"/>
      <c r="AA301" s="438"/>
      <c r="AB301" s="438"/>
      <c r="AC301" s="438"/>
      <c r="AD301" s="438"/>
      <c r="AE301" s="438"/>
      <c r="AF301" s="438"/>
      <c r="AG301" s="438"/>
      <c r="AH301" s="438"/>
      <c r="AI301" s="438"/>
      <c r="AJ301" s="438"/>
      <c r="AK301" s="438"/>
      <c r="AL301" s="438"/>
      <c r="AM301" s="438"/>
      <c r="AN301" s="438"/>
    </row>
    <row r="302" ht="14.25" customHeight="1">
      <c r="A302" s="1"/>
      <c r="B302" s="1"/>
      <c r="C302" s="1"/>
      <c r="D302" s="1"/>
      <c r="E302" s="1"/>
      <c r="F302" s="1173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173"/>
      <c r="U302" s="438"/>
      <c r="V302" s="438"/>
      <c r="W302" s="438"/>
      <c r="X302" s="438"/>
      <c r="Y302" s="438"/>
      <c r="Z302" s="438"/>
      <c r="AA302" s="438"/>
      <c r="AB302" s="438"/>
      <c r="AC302" s="438"/>
      <c r="AD302" s="438"/>
      <c r="AE302" s="438"/>
      <c r="AF302" s="438"/>
      <c r="AG302" s="438"/>
      <c r="AH302" s="438"/>
      <c r="AI302" s="438"/>
      <c r="AJ302" s="438"/>
      <c r="AK302" s="438"/>
      <c r="AL302" s="438"/>
      <c r="AM302" s="438"/>
      <c r="AN302" s="438"/>
    </row>
    <row r="303" ht="14.25" customHeight="1">
      <c r="A303" s="1"/>
      <c r="B303" s="1"/>
      <c r="C303" s="1"/>
      <c r="D303" s="1"/>
      <c r="E303" s="1"/>
      <c r="F303" s="1173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173"/>
      <c r="U303" s="438"/>
      <c r="V303" s="438"/>
      <c r="W303" s="438"/>
      <c r="X303" s="438"/>
      <c r="Y303" s="438"/>
      <c r="Z303" s="438"/>
      <c r="AA303" s="438"/>
      <c r="AB303" s="438"/>
      <c r="AC303" s="438"/>
      <c r="AD303" s="438"/>
      <c r="AE303" s="438"/>
      <c r="AF303" s="438"/>
      <c r="AG303" s="438"/>
      <c r="AH303" s="438"/>
      <c r="AI303" s="438"/>
      <c r="AJ303" s="438"/>
      <c r="AK303" s="438"/>
      <c r="AL303" s="438"/>
      <c r="AM303" s="438"/>
      <c r="AN303" s="438"/>
    </row>
    <row r="304" ht="14.25" customHeight="1">
      <c r="A304" s="1"/>
      <c r="B304" s="1"/>
      <c r="C304" s="1"/>
      <c r="D304" s="1"/>
      <c r="E304" s="1"/>
      <c r="F304" s="1173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173"/>
      <c r="U304" s="438"/>
      <c r="V304" s="438"/>
      <c r="W304" s="438"/>
      <c r="X304" s="438"/>
      <c r="Y304" s="438"/>
      <c r="Z304" s="438"/>
      <c r="AA304" s="438"/>
      <c r="AB304" s="438"/>
      <c r="AC304" s="438"/>
      <c r="AD304" s="438"/>
      <c r="AE304" s="438"/>
      <c r="AF304" s="438"/>
      <c r="AG304" s="438"/>
      <c r="AH304" s="438"/>
      <c r="AI304" s="438"/>
      <c r="AJ304" s="438"/>
      <c r="AK304" s="438"/>
      <c r="AL304" s="438"/>
      <c r="AM304" s="438"/>
      <c r="AN304" s="438"/>
    </row>
    <row r="305" ht="14.25" customHeight="1">
      <c r="A305" s="1"/>
      <c r="B305" s="1"/>
      <c r="C305" s="1"/>
      <c r="D305" s="1"/>
      <c r="E305" s="1"/>
      <c r="F305" s="1173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173"/>
      <c r="U305" s="438"/>
      <c r="V305" s="438"/>
      <c r="W305" s="438"/>
      <c r="X305" s="438"/>
      <c r="Y305" s="438"/>
      <c r="Z305" s="438"/>
      <c r="AA305" s="438"/>
      <c r="AB305" s="438"/>
      <c r="AC305" s="438"/>
      <c r="AD305" s="438"/>
      <c r="AE305" s="438"/>
      <c r="AF305" s="438"/>
      <c r="AG305" s="438"/>
      <c r="AH305" s="438"/>
      <c r="AI305" s="438"/>
      <c r="AJ305" s="438"/>
      <c r="AK305" s="438"/>
      <c r="AL305" s="438"/>
      <c r="AM305" s="438"/>
      <c r="AN305" s="438"/>
    </row>
    <row r="306" ht="14.25" customHeight="1">
      <c r="A306" s="1"/>
      <c r="B306" s="1"/>
      <c r="C306" s="1"/>
      <c r="D306" s="1"/>
      <c r="E306" s="1"/>
      <c r="F306" s="1173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173"/>
      <c r="U306" s="438"/>
      <c r="V306" s="438"/>
      <c r="W306" s="438"/>
      <c r="X306" s="438"/>
      <c r="Y306" s="438"/>
      <c r="Z306" s="438"/>
      <c r="AA306" s="438"/>
      <c r="AB306" s="438"/>
      <c r="AC306" s="438"/>
      <c r="AD306" s="438"/>
      <c r="AE306" s="438"/>
      <c r="AF306" s="438"/>
      <c r="AG306" s="438"/>
      <c r="AH306" s="438"/>
      <c r="AI306" s="438"/>
      <c r="AJ306" s="438"/>
      <c r="AK306" s="438"/>
      <c r="AL306" s="438"/>
      <c r="AM306" s="438"/>
      <c r="AN306" s="438"/>
    </row>
    <row r="307" ht="14.25" customHeight="1">
      <c r="A307" s="1"/>
      <c r="B307" s="1"/>
      <c r="C307" s="1"/>
      <c r="D307" s="1"/>
      <c r="E307" s="1"/>
      <c r="F307" s="1173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173"/>
      <c r="U307" s="438"/>
      <c r="V307" s="438"/>
      <c r="W307" s="438"/>
      <c r="X307" s="438"/>
      <c r="Y307" s="438"/>
      <c r="Z307" s="438"/>
      <c r="AA307" s="438"/>
      <c r="AB307" s="438"/>
      <c r="AC307" s="438"/>
      <c r="AD307" s="438"/>
      <c r="AE307" s="438"/>
      <c r="AF307" s="438"/>
      <c r="AG307" s="438"/>
      <c r="AH307" s="438"/>
      <c r="AI307" s="438"/>
      <c r="AJ307" s="438"/>
      <c r="AK307" s="438"/>
      <c r="AL307" s="438"/>
      <c r="AM307" s="438"/>
      <c r="AN307" s="438"/>
    </row>
    <row r="308" ht="14.25" customHeight="1">
      <c r="A308" s="1"/>
      <c r="B308" s="1"/>
      <c r="C308" s="1"/>
      <c r="D308" s="1"/>
      <c r="E308" s="1"/>
      <c r="F308" s="1173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173"/>
      <c r="U308" s="438"/>
      <c r="V308" s="438"/>
      <c r="W308" s="438"/>
      <c r="X308" s="438"/>
      <c r="Y308" s="438"/>
      <c r="Z308" s="438"/>
      <c r="AA308" s="438"/>
      <c r="AB308" s="438"/>
      <c r="AC308" s="438"/>
      <c r="AD308" s="438"/>
      <c r="AE308" s="438"/>
      <c r="AF308" s="438"/>
      <c r="AG308" s="438"/>
      <c r="AH308" s="438"/>
      <c r="AI308" s="438"/>
      <c r="AJ308" s="438"/>
      <c r="AK308" s="438"/>
      <c r="AL308" s="438"/>
      <c r="AM308" s="438"/>
      <c r="AN308" s="438"/>
    </row>
    <row r="309" ht="14.25" customHeight="1">
      <c r="A309" s="1"/>
      <c r="B309" s="1"/>
      <c r="C309" s="1"/>
      <c r="D309" s="1"/>
      <c r="E309" s="1"/>
      <c r="F309" s="1173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173"/>
      <c r="U309" s="438"/>
      <c r="V309" s="438"/>
      <c r="W309" s="438"/>
      <c r="X309" s="438"/>
      <c r="Y309" s="438"/>
      <c r="Z309" s="438"/>
      <c r="AA309" s="438"/>
      <c r="AB309" s="438"/>
      <c r="AC309" s="438"/>
      <c r="AD309" s="438"/>
      <c r="AE309" s="438"/>
      <c r="AF309" s="438"/>
      <c r="AG309" s="438"/>
      <c r="AH309" s="438"/>
      <c r="AI309" s="438"/>
      <c r="AJ309" s="438"/>
      <c r="AK309" s="438"/>
      <c r="AL309" s="438"/>
      <c r="AM309" s="438"/>
      <c r="AN309" s="438"/>
    </row>
    <row r="310" ht="14.25" customHeight="1">
      <c r="A310" s="1"/>
      <c r="B310" s="1"/>
      <c r="C310" s="1"/>
      <c r="D310" s="1"/>
      <c r="E310" s="1"/>
      <c r="F310" s="1173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173"/>
      <c r="U310" s="438"/>
      <c r="V310" s="438"/>
      <c r="W310" s="438"/>
      <c r="X310" s="438"/>
      <c r="Y310" s="438"/>
      <c r="Z310" s="438"/>
      <c r="AA310" s="438"/>
      <c r="AB310" s="438"/>
      <c r="AC310" s="438"/>
      <c r="AD310" s="438"/>
      <c r="AE310" s="438"/>
      <c r="AF310" s="438"/>
      <c r="AG310" s="438"/>
      <c r="AH310" s="438"/>
      <c r="AI310" s="438"/>
      <c r="AJ310" s="438"/>
      <c r="AK310" s="438"/>
      <c r="AL310" s="438"/>
      <c r="AM310" s="438"/>
      <c r="AN310" s="438"/>
    </row>
    <row r="311" ht="14.25" customHeight="1">
      <c r="A311" s="1"/>
      <c r="B311" s="1"/>
      <c r="C311" s="1"/>
      <c r="D311" s="1"/>
      <c r="E311" s="1"/>
      <c r="F311" s="1173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173"/>
      <c r="U311" s="438"/>
      <c r="V311" s="438"/>
      <c r="W311" s="438"/>
      <c r="X311" s="438"/>
      <c r="Y311" s="438"/>
      <c r="Z311" s="438"/>
      <c r="AA311" s="438"/>
      <c r="AB311" s="438"/>
      <c r="AC311" s="438"/>
      <c r="AD311" s="438"/>
      <c r="AE311" s="438"/>
      <c r="AF311" s="438"/>
      <c r="AG311" s="438"/>
      <c r="AH311" s="438"/>
      <c r="AI311" s="438"/>
      <c r="AJ311" s="438"/>
      <c r="AK311" s="438"/>
      <c r="AL311" s="438"/>
      <c r="AM311" s="438"/>
      <c r="AN311" s="438"/>
    </row>
    <row r="312" ht="14.25" customHeight="1">
      <c r="A312" s="1"/>
      <c r="B312" s="1"/>
      <c r="C312" s="1"/>
      <c r="D312" s="1"/>
      <c r="E312" s="1"/>
      <c r="F312" s="1173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173"/>
      <c r="U312" s="438"/>
      <c r="V312" s="438"/>
      <c r="W312" s="438"/>
      <c r="X312" s="438"/>
      <c r="Y312" s="438"/>
      <c r="Z312" s="438"/>
      <c r="AA312" s="438"/>
      <c r="AB312" s="438"/>
      <c r="AC312" s="438"/>
      <c r="AD312" s="438"/>
      <c r="AE312" s="438"/>
      <c r="AF312" s="438"/>
      <c r="AG312" s="438"/>
      <c r="AH312" s="438"/>
      <c r="AI312" s="438"/>
      <c r="AJ312" s="438"/>
      <c r="AK312" s="438"/>
      <c r="AL312" s="438"/>
      <c r="AM312" s="438"/>
      <c r="AN312" s="438"/>
    </row>
    <row r="313" ht="14.25" customHeight="1">
      <c r="A313" s="1"/>
      <c r="B313" s="1"/>
      <c r="C313" s="1"/>
      <c r="D313" s="1"/>
      <c r="E313" s="1"/>
      <c r="F313" s="1173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173"/>
      <c r="U313" s="438"/>
      <c r="V313" s="438"/>
      <c r="W313" s="438"/>
      <c r="X313" s="438"/>
      <c r="Y313" s="438"/>
      <c r="Z313" s="438"/>
      <c r="AA313" s="438"/>
      <c r="AB313" s="438"/>
      <c r="AC313" s="438"/>
      <c r="AD313" s="438"/>
      <c r="AE313" s="438"/>
      <c r="AF313" s="438"/>
      <c r="AG313" s="438"/>
      <c r="AH313" s="438"/>
      <c r="AI313" s="438"/>
      <c r="AJ313" s="438"/>
      <c r="AK313" s="438"/>
      <c r="AL313" s="438"/>
      <c r="AM313" s="438"/>
      <c r="AN313" s="438"/>
    </row>
    <row r="314" ht="14.25" customHeight="1">
      <c r="A314" s="1"/>
      <c r="B314" s="1"/>
      <c r="C314" s="1"/>
      <c r="D314" s="1"/>
      <c r="E314" s="1"/>
      <c r="F314" s="1173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173"/>
      <c r="U314" s="438"/>
      <c r="V314" s="438"/>
      <c r="W314" s="438"/>
      <c r="X314" s="438"/>
      <c r="Y314" s="438"/>
      <c r="Z314" s="438"/>
      <c r="AA314" s="438"/>
      <c r="AB314" s="438"/>
      <c r="AC314" s="438"/>
      <c r="AD314" s="438"/>
      <c r="AE314" s="438"/>
      <c r="AF314" s="438"/>
      <c r="AG314" s="438"/>
      <c r="AH314" s="438"/>
      <c r="AI314" s="438"/>
      <c r="AJ314" s="438"/>
      <c r="AK314" s="438"/>
      <c r="AL314" s="438"/>
      <c r="AM314" s="438"/>
      <c r="AN314" s="438"/>
    </row>
    <row r="315" ht="14.25" customHeight="1">
      <c r="A315" s="1"/>
      <c r="B315" s="1"/>
      <c r="C315" s="1"/>
      <c r="D315" s="1"/>
      <c r="E315" s="1"/>
      <c r="F315" s="1173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173"/>
      <c r="U315" s="438"/>
      <c r="V315" s="438"/>
      <c r="W315" s="438"/>
      <c r="X315" s="438"/>
      <c r="Y315" s="438"/>
      <c r="Z315" s="438"/>
      <c r="AA315" s="438"/>
      <c r="AB315" s="438"/>
      <c r="AC315" s="438"/>
      <c r="AD315" s="438"/>
      <c r="AE315" s="438"/>
      <c r="AF315" s="438"/>
      <c r="AG315" s="438"/>
      <c r="AH315" s="438"/>
      <c r="AI315" s="438"/>
      <c r="AJ315" s="438"/>
      <c r="AK315" s="438"/>
      <c r="AL315" s="438"/>
      <c r="AM315" s="438"/>
      <c r="AN315" s="438"/>
    </row>
    <row r="316" ht="14.25" customHeight="1">
      <c r="A316" s="1"/>
      <c r="B316" s="1"/>
      <c r="C316" s="1"/>
      <c r="D316" s="1"/>
      <c r="E316" s="1"/>
      <c r="F316" s="1173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173"/>
      <c r="U316" s="438"/>
      <c r="V316" s="438"/>
      <c r="W316" s="438"/>
      <c r="X316" s="438"/>
      <c r="Y316" s="438"/>
      <c r="Z316" s="438"/>
      <c r="AA316" s="438"/>
      <c r="AB316" s="438"/>
      <c r="AC316" s="438"/>
      <c r="AD316" s="438"/>
      <c r="AE316" s="438"/>
      <c r="AF316" s="438"/>
      <c r="AG316" s="438"/>
      <c r="AH316" s="438"/>
      <c r="AI316" s="438"/>
      <c r="AJ316" s="438"/>
      <c r="AK316" s="438"/>
      <c r="AL316" s="438"/>
      <c r="AM316" s="438"/>
      <c r="AN316" s="438"/>
    </row>
    <row r="317" ht="14.25" customHeight="1">
      <c r="A317" s="1"/>
      <c r="B317" s="1"/>
      <c r="C317" s="1"/>
      <c r="D317" s="1"/>
      <c r="E317" s="1"/>
      <c r="F317" s="1173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173"/>
      <c r="U317" s="438"/>
      <c r="V317" s="438"/>
      <c r="W317" s="438"/>
      <c r="X317" s="438"/>
      <c r="Y317" s="438"/>
      <c r="Z317" s="438"/>
      <c r="AA317" s="438"/>
      <c r="AB317" s="438"/>
      <c r="AC317" s="438"/>
      <c r="AD317" s="438"/>
      <c r="AE317" s="438"/>
      <c r="AF317" s="438"/>
      <c r="AG317" s="438"/>
      <c r="AH317" s="438"/>
      <c r="AI317" s="438"/>
      <c r="AJ317" s="438"/>
      <c r="AK317" s="438"/>
      <c r="AL317" s="438"/>
      <c r="AM317" s="438"/>
      <c r="AN317" s="438"/>
    </row>
    <row r="318" ht="14.25" customHeight="1">
      <c r="A318" s="1"/>
      <c r="B318" s="1"/>
      <c r="C318" s="1"/>
      <c r="D318" s="1"/>
      <c r="E318" s="1"/>
      <c r="F318" s="1173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173"/>
      <c r="U318" s="438"/>
      <c r="V318" s="438"/>
      <c r="W318" s="438"/>
      <c r="X318" s="438"/>
      <c r="Y318" s="438"/>
      <c r="Z318" s="438"/>
      <c r="AA318" s="438"/>
      <c r="AB318" s="438"/>
      <c r="AC318" s="438"/>
      <c r="AD318" s="438"/>
      <c r="AE318" s="438"/>
      <c r="AF318" s="438"/>
      <c r="AG318" s="438"/>
      <c r="AH318" s="438"/>
      <c r="AI318" s="438"/>
      <c r="AJ318" s="438"/>
      <c r="AK318" s="438"/>
      <c r="AL318" s="438"/>
      <c r="AM318" s="438"/>
      <c r="AN318" s="438"/>
    </row>
    <row r="319" ht="14.25" customHeight="1">
      <c r="A319" s="1"/>
      <c r="B319" s="1"/>
      <c r="C319" s="1"/>
      <c r="D319" s="1"/>
      <c r="E319" s="1"/>
      <c r="F319" s="1173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173"/>
      <c r="U319" s="438"/>
      <c r="V319" s="438"/>
      <c r="W319" s="438"/>
      <c r="X319" s="438"/>
      <c r="Y319" s="438"/>
      <c r="Z319" s="438"/>
      <c r="AA319" s="438"/>
      <c r="AB319" s="438"/>
      <c r="AC319" s="438"/>
      <c r="AD319" s="438"/>
      <c r="AE319" s="438"/>
      <c r="AF319" s="438"/>
      <c r="AG319" s="438"/>
      <c r="AH319" s="438"/>
      <c r="AI319" s="438"/>
      <c r="AJ319" s="438"/>
      <c r="AK319" s="438"/>
      <c r="AL319" s="438"/>
      <c r="AM319" s="438"/>
      <c r="AN319" s="438"/>
    </row>
    <row r="320" ht="14.25" customHeight="1">
      <c r="A320" s="1"/>
      <c r="B320" s="1"/>
      <c r="C320" s="1"/>
      <c r="D320" s="1"/>
      <c r="E320" s="1"/>
      <c r="F320" s="1173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173"/>
      <c r="U320" s="438"/>
      <c r="V320" s="438"/>
      <c r="W320" s="438"/>
      <c r="X320" s="438"/>
      <c r="Y320" s="438"/>
      <c r="Z320" s="438"/>
      <c r="AA320" s="438"/>
      <c r="AB320" s="438"/>
      <c r="AC320" s="438"/>
      <c r="AD320" s="438"/>
      <c r="AE320" s="438"/>
      <c r="AF320" s="438"/>
      <c r="AG320" s="438"/>
      <c r="AH320" s="438"/>
      <c r="AI320" s="438"/>
      <c r="AJ320" s="438"/>
      <c r="AK320" s="438"/>
      <c r="AL320" s="438"/>
      <c r="AM320" s="438"/>
      <c r="AN320" s="438"/>
    </row>
    <row r="321" ht="14.25" customHeight="1">
      <c r="A321" s="1"/>
      <c r="B321" s="1"/>
      <c r="C321" s="1"/>
      <c r="D321" s="1"/>
      <c r="E321" s="1"/>
      <c r="F321" s="1173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173"/>
      <c r="U321" s="438"/>
      <c r="V321" s="438"/>
      <c r="W321" s="438"/>
      <c r="X321" s="438"/>
      <c r="Y321" s="438"/>
      <c r="Z321" s="438"/>
      <c r="AA321" s="438"/>
      <c r="AB321" s="438"/>
      <c r="AC321" s="438"/>
      <c r="AD321" s="438"/>
      <c r="AE321" s="438"/>
      <c r="AF321" s="438"/>
      <c r="AG321" s="438"/>
      <c r="AH321" s="438"/>
      <c r="AI321" s="438"/>
      <c r="AJ321" s="438"/>
      <c r="AK321" s="438"/>
      <c r="AL321" s="438"/>
      <c r="AM321" s="438"/>
      <c r="AN321" s="438"/>
    </row>
    <row r="322" ht="14.25" customHeight="1">
      <c r="A322" s="1"/>
      <c r="B322" s="1"/>
      <c r="C322" s="1"/>
      <c r="D322" s="1"/>
      <c r="E322" s="1"/>
      <c r="F322" s="1173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173"/>
      <c r="U322" s="438"/>
      <c r="V322" s="438"/>
      <c r="W322" s="438"/>
      <c r="X322" s="438"/>
      <c r="Y322" s="438"/>
      <c r="Z322" s="438"/>
      <c r="AA322" s="438"/>
      <c r="AB322" s="438"/>
      <c r="AC322" s="438"/>
      <c r="AD322" s="438"/>
      <c r="AE322" s="438"/>
      <c r="AF322" s="438"/>
      <c r="AG322" s="438"/>
      <c r="AH322" s="438"/>
      <c r="AI322" s="438"/>
      <c r="AJ322" s="438"/>
      <c r="AK322" s="438"/>
      <c r="AL322" s="438"/>
      <c r="AM322" s="438"/>
      <c r="AN322" s="438"/>
    </row>
    <row r="323" ht="14.25" customHeight="1">
      <c r="A323" s="1"/>
      <c r="B323" s="1"/>
      <c r="C323" s="1"/>
      <c r="D323" s="1"/>
      <c r="E323" s="1"/>
      <c r="F323" s="1173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173"/>
    </row>
    <row r="324" ht="14.25" customHeight="1">
      <c r="A324" s="1"/>
      <c r="B324" s="1"/>
      <c r="C324" s="1"/>
      <c r="D324" s="1"/>
      <c r="E324" s="1"/>
      <c r="F324" s="1173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173"/>
    </row>
    <row r="325" ht="14.25" customHeight="1">
      <c r="A325" s="1"/>
      <c r="B325" s="1"/>
      <c r="C325" s="1"/>
      <c r="D325" s="1"/>
      <c r="E325" s="1"/>
      <c r="F325" s="1173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173"/>
    </row>
    <row r="326" ht="14.25" customHeight="1">
      <c r="A326" s="1"/>
      <c r="B326" s="1"/>
      <c r="C326" s="1"/>
      <c r="D326" s="1"/>
      <c r="E326" s="1"/>
      <c r="F326" s="1173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173"/>
    </row>
    <row r="327" ht="14.25" customHeight="1">
      <c r="A327" s="1"/>
      <c r="B327" s="1"/>
      <c r="C327" s="1"/>
      <c r="D327" s="1"/>
      <c r="E327" s="1"/>
      <c r="F327" s="1173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173"/>
    </row>
    <row r="328" ht="14.25" customHeight="1">
      <c r="A328" s="1"/>
      <c r="B328" s="1"/>
      <c r="C328" s="1"/>
      <c r="D328" s="1"/>
      <c r="E328" s="1"/>
      <c r="F328" s="1173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173"/>
    </row>
    <row r="329" ht="14.25" customHeight="1">
      <c r="A329" s="1"/>
      <c r="B329" s="1"/>
      <c r="C329" s="1"/>
      <c r="D329" s="1"/>
      <c r="E329" s="1"/>
      <c r="F329" s="1173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173"/>
    </row>
    <row r="330" ht="14.25" customHeight="1">
      <c r="A330" s="1"/>
      <c r="B330" s="1"/>
      <c r="C330" s="1"/>
      <c r="D330" s="1"/>
      <c r="E330" s="1"/>
      <c r="F330" s="1173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173"/>
    </row>
    <row r="331" ht="14.25" customHeight="1">
      <c r="A331" s="1"/>
      <c r="B331" s="1"/>
      <c r="C331" s="1"/>
      <c r="D331" s="1"/>
      <c r="E331" s="1"/>
      <c r="F331" s="1173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173"/>
    </row>
    <row r="332" ht="14.25" customHeight="1">
      <c r="A332" s="1"/>
      <c r="B332" s="1"/>
      <c r="C332" s="1"/>
      <c r="D332" s="1"/>
      <c r="E332" s="1"/>
      <c r="F332" s="1173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173"/>
    </row>
    <row r="333" ht="14.25" customHeight="1">
      <c r="A333" s="1"/>
      <c r="B333" s="1"/>
      <c r="C333" s="1"/>
      <c r="D333" s="1"/>
      <c r="E333" s="1"/>
      <c r="F333" s="1173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173"/>
    </row>
    <row r="334" ht="14.25" customHeight="1">
      <c r="A334" s="1"/>
      <c r="B334" s="1"/>
      <c r="C334" s="1"/>
      <c r="D334" s="1"/>
      <c r="E334" s="1"/>
      <c r="F334" s="1173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173"/>
    </row>
    <row r="335" ht="14.25" customHeight="1">
      <c r="A335" s="1"/>
      <c r="B335" s="1"/>
      <c r="C335" s="1"/>
      <c r="D335" s="1"/>
      <c r="E335" s="1"/>
      <c r="F335" s="1173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173"/>
    </row>
    <row r="336" ht="14.25" customHeight="1">
      <c r="A336" s="1"/>
      <c r="B336" s="1"/>
      <c r="C336" s="1"/>
      <c r="D336" s="1"/>
      <c r="E336" s="1"/>
      <c r="F336" s="1173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173"/>
    </row>
    <row r="337" ht="14.25" customHeight="1">
      <c r="A337" s="1"/>
      <c r="B337" s="1"/>
      <c r="C337" s="1"/>
      <c r="D337" s="1"/>
      <c r="E337" s="1"/>
      <c r="F337" s="1173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173"/>
    </row>
    <row r="338" ht="14.25" customHeight="1">
      <c r="A338" s="1"/>
      <c r="B338" s="1"/>
      <c r="C338" s="1"/>
      <c r="D338" s="1"/>
      <c r="E338" s="1"/>
      <c r="F338" s="1173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173"/>
    </row>
    <row r="339" ht="14.25" customHeight="1">
      <c r="A339" s="1"/>
      <c r="B339" s="1"/>
      <c r="C339" s="1"/>
      <c r="D339" s="1"/>
      <c r="E339" s="1"/>
      <c r="F339" s="1173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173"/>
    </row>
    <row r="340" ht="14.25" customHeight="1">
      <c r="A340" s="1"/>
      <c r="B340" s="1"/>
      <c r="C340" s="1"/>
      <c r="D340" s="1"/>
      <c r="E340" s="1"/>
      <c r="F340" s="1173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173"/>
    </row>
    <row r="341" ht="14.25" customHeight="1">
      <c r="A341" s="1"/>
      <c r="B341" s="1"/>
      <c r="C341" s="1"/>
      <c r="D341" s="1"/>
      <c r="E341" s="1"/>
      <c r="F341" s="1173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173"/>
    </row>
    <row r="342" ht="14.25" customHeight="1">
      <c r="A342" s="1"/>
      <c r="B342" s="1"/>
      <c r="C342" s="1"/>
      <c r="D342" s="1"/>
      <c r="E342" s="1"/>
      <c r="F342" s="1173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173"/>
    </row>
    <row r="343" ht="14.25" customHeight="1">
      <c r="A343" s="1"/>
      <c r="B343" s="1"/>
      <c r="C343" s="1"/>
      <c r="D343" s="1"/>
      <c r="E343" s="1"/>
      <c r="F343" s="1173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173"/>
    </row>
    <row r="344" ht="14.25" customHeight="1">
      <c r="A344" s="1"/>
      <c r="B344" s="1"/>
      <c r="C344" s="1"/>
      <c r="D344" s="1"/>
      <c r="E344" s="1"/>
      <c r="F344" s="1173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173"/>
    </row>
    <row r="345" ht="14.25" customHeight="1">
      <c r="A345" s="1"/>
      <c r="B345" s="1"/>
      <c r="C345" s="1"/>
      <c r="D345" s="1"/>
      <c r="E345" s="1"/>
      <c r="F345" s="1173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173"/>
    </row>
    <row r="346" ht="14.25" customHeight="1">
      <c r="A346" s="1"/>
      <c r="B346" s="1"/>
      <c r="C346" s="1"/>
      <c r="D346" s="1"/>
      <c r="E346" s="1"/>
      <c r="F346" s="1173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173"/>
    </row>
    <row r="347" ht="14.25" customHeight="1">
      <c r="A347" s="1"/>
      <c r="B347" s="1"/>
      <c r="C347" s="1"/>
      <c r="D347" s="1"/>
      <c r="E347" s="1"/>
      <c r="F347" s="1173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173"/>
    </row>
    <row r="348" ht="14.25" customHeight="1">
      <c r="A348" s="1"/>
      <c r="B348" s="1"/>
      <c r="C348" s="1"/>
      <c r="D348" s="1"/>
      <c r="E348" s="1"/>
      <c r="F348" s="1173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173"/>
    </row>
    <row r="349" ht="14.25" customHeight="1">
      <c r="A349" s="1"/>
      <c r="B349" s="1"/>
      <c r="C349" s="1"/>
      <c r="D349" s="1"/>
      <c r="E349" s="1"/>
      <c r="F349" s="1173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173"/>
    </row>
    <row r="350" ht="14.25" customHeight="1">
      <c r="A350" s="1"/>
      <c r="B350" s="1"/>
      <c r="C350" s="1"/>
      <c r="D350" s="1"/>
      <c r="E350" s="1"/>
      <c r="F350" s="1173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173"/>
    </row>
    <row r="351" ht="14.25" customHeight="1">
      <c r="A351" s="1"/>
      <c r="B351" s="1"/>
      <c r="C351" s="1"/>
      <c r="D351" s="1"/>
      <c r="E351" s="1"/>
      <c r="F351" s="1173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173"/>
    </row>
    <row r="352" ht="14.25" customHeight="1">
      <c r="A352" s="1"/>
      <c r="B352" s="1"/>
      <c r="C352" s="1"/>
      <c r="D352" s="1"/>
      <c r="E352" s="1"/>
      <c r="F352" s="1173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173"/>
    </row>
    <row r="353" ht="14.25" customHeight="1">
      <c r="A353" s="1"/>
      <c r="B353" s="1"/>
      <c r="C353" s="1"/>
      <c r="D353" s="1"/>
      <c r="E353" s="1"/>
      <c r="F353" s="1173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173"/>
    </row>
    <row r="354" ht="14.25" customHeight="1">
      <c r="A354" s="1"/>
      <c r="B354" s="1"/>
      <c r="C354" s="1"/>
      <c r="D354" s="1"/>
      <c r="E354" s="1"/>
      <c r="F354" s="1173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173"/>
    </row>
    <row r="355" ht="14.25" customHeight="1">
      <c r="A355" s="1"/>
      <c r="B355" s="1"/>
      <c r="C355" s="1"/>
      <c r="D355" s="1"/>
      <c r="E355" s="1"/>
      <c r="F355" s="1173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173"/>
    </row>
    <row r="356" ht="14.25" customHeight="1">
      <c r="A356" s="1"/>
      <c r="B356" s="1"/>
      <c r="C356" s="1"/>
      <c r="D356" s="1"/>
      <c r="E356" s="1"/>
      <c r="F356" s="1173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173"/>
    </row>
    <row r="357" ht="14.25" customHeight="1">
      <c r="A357" s="1"/>
      <c r="B357" s="1"/>
      <c r="C357" s="1"/>
      <c r="D357" s="1"/>
      <c r="E357" s="1"/>
      <c r="F357" s="1173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173"/>
    </row>
    <row r="358" ht="14.25" customHeight="1">
      <c r="A358" s="1"/>
      <c r="B358" s="1"/>
      <c r="C358" s="1"/>
      <c r="D358" s="1"/>
      <c r="E358" s="1"/>
      <c r="F358" s="1173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173"/>
    </row>
    <row r="359" ht="14.25" customHeight="1">
      <c r="A359" s="1"/>
      <c r="B359" s="1"/>
      <c r="C359" s="1"/>
      <c r="D359" s="1"/>
      <c r="E359" s="1"/>
      <c r="F359" s="1173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173"/>
    </row>
    <row r="360" ht="14.25" customHeight="1">
      <c r="A360" s="1"/>
      <c r="B360" s="1"/>
      <c r="C360" s="1"/>
      <c r="D360" s="1"/>
      <c r="E360" s="1"/>
      <c r="F360" s="1173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173"/>
    </row>
    <row r="361" ht="14.25" customHeight="1">
      <c r="A361" s="1"/>
      <c r="B361" s="1"/>
      <c r="C361" s="1"/>
      <c r="D361" s="1"/>
      <c r="E361" s="1"/>
      <c r="F361" s="1173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173"/>
    </row>
    <row r="362" ht="14.25" customHeight="1">
      <c r="A362" s="1"/>
      <c r="B362" s="1"/>
      <c r="C362" s="1"/>
      <c r="D362" s="1"/>
      <c r="E362" s="1"/>
      <c r="F362" s="1173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173"/>
    </row>
    <row r="363" ht="14.25" customHeight="1">
      <c r="A363" s="1"/>
      <c r="B363" s="1"/>
      <c r="C363" s="1"/>
      <c r="D363" s="1"/>
      <c r="E363" s="1"/>
      <c r="F363" s="1173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173"/>
    </row>
    <row r="364" ht="14.25" customHeight="1">
      <c r="A364" s="1"/>
      <c r="B364" s="1"/>
      <c r="C364" s="1"/>
      <c r="D364" s="1"/>
      <c r="E364" s="1"/>
      <c r="F364" s="1173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173"/>
    </row>
    <row r="365" ht="14.25" customHeight="1">
      <c r="A365" s="1"/>
      <c r="B365" s="1"/>
      <c r="C365" s="1"/>
      <c r="D365" s="1"/>
      <c r="E365" s="1"/>
      <c r="F365" s="1173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173"/>
    </row>
    <row r="366" ht="14.25" customHeight="1">
      <c r="A366" s="1"/>
      <c r="B366" s="1"/>
      <c r="C366" s="1"/>
      <c r="D366" s="1"/>
      <c r="E366" s="1"/>
      <c r="F366" s="1173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173"/>
    </row>
    <row r="367" ht="14.25" customHeight="1">
      <c r="A367" s="1"/>
      <c r="B367" s="1"/>
      <c r="C367" s="1"/>
      <c r="D367" s="1"/>
      <c r="E367" s="1"/>
      <c r="F367" s="1173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173"/>
    </row>
    <row r="368" ht="14.25" customHeight="1">
      <c r="A368" s="1"/>
      <c r="B368" s="1"/>
      <c r="C368" s="1"/>
      <c r="D368" s="1"/>
      <c r="E368" s="1"/>
      <c r="F368" s="1173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173"/>
    </row>
    <row r="369" ht="14.25" customHeight="1">
      <c r="A369" s="1"/>
      <c r="B369" s="1"/>
      <c r="C369" s="1"/>
      <c r="D369" s="1"/>
      <c r="E369" s="1"/>
      <c r="F369" s="1173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173"/>
    </row>
    <row r="370" ht="14.25" customHeight="1">
      <c r="A370" s="1"/>
      <c r="B370" s="1"/>
      <c r="C370" s="1"/>
      <c r="D370" s="1"/>
      <c r="E370" s="1"/>
      <c r="F370" s="1173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173"/>
    </row>
    <row r="371" ht="14.25" customHeight="1">
      <c r="A371" s="1"/>
      <c r="B371" s="1"/>
      <c r="C371" s="1"/>
      <c r="D371" s="1"/>
      <c r="E371" s="1"/>
      <c r="F371" s="1173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173"/>
    </row>
    <row r="372" ht="14.25" customHeight="1">
      <c r="A372" s="1"/>
      <c r="B372" s="1"/>
      <c r="C372" s="1"/>
      <c r="D372" s="1"/>
      <c r="E372" s="1"/>
      <c r="F372" s="1173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173"/>
    </row>
    <row r="373" ht="14.25" customHeight="1">
      <c r="A373" s="1"/>
      <c r="B373" s="1"/>
      <c r="C373" s="1"/>
      <c r="D373" s="1"/>
      <c r="E373" s="1"/>
      <c r="F373" s="1173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173"/>
    </row>
    <row r="374" ht="14.25" customHeight="1">
      <c r="A374" s="1"/>
      <c r="B374" s="1"/>
      <c r="C374" s="1"/>
      <c r="D374" s="1"/>
      <c r="E374" s="1"/>
      <c r="F374" s="1173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173"/>
    </row>
    <row r="375" ht="14.25" customHeight="1">
      <c r="A375" s="1"/>
      <c r="B375" s="1"/>
      <c r="C375" s="1"/>
      <c r="D375" s="1"/>
      <c r="E375" s="1"/>
      <c r="F375" s="1173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173"/>
    </row>
    <row r="376" ht="14.25" customHeight="1">
      <c r="A376" s="1"/>
      <c r="B376" s="1"/>
      <c r="C376" s="1"/>
      <c r="D376" s="1"/>
      <c r="E376" s="1"/>
      <c r="F376" s="1173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173"/>
    </row>
    <row r="377" ht="14.25" customHeight="1">
      <c r="A377" s="1"/>
      <c r="B377" s="1"/>
      <c r="C377" s="1"/>
      <c r="D377" s="1"/>
      <c r="E377" s="1"/>
      <c r="F377" s="1173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173"/>
    </row>
    <row r="378" ht="14.25" customHeight="1">
      <c r="A378" s="1"/>
      <c r="B378" s="1"/>
      <c r="C378" s="1"/>
      <c r="D378" s="1"/>
      <c r="E378" s="1"/>
      <c r="F378" s="1173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173"/>
    </row>
    <row r="379" ht="14.25" customHeight="1">
      <c r="A379" s="1"/>
      <c r="B379" s="1"/>
      <c r="C379" s="1"/>
      <c r="D379" s="1"/>
      <c r="E379" s="1"/>
      <c r="F379" s="1173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173"/>
    </row>
    <row r="380" ht="14.25" customHeight="1">
      <c r="A380" s="1"/>
      <c r="B380" s="1"/>
      <c r="C380" s="1"/>
      <c r="D380" s="1"/>
      <c r="E380" s="1"/>
      <c r="F380" s="1173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173"/>
    </row>
    <row r="381" ht="14.25" customHeight="1">
      <c r="A381" s="1"/>
      <c r="B381" s="1"/>
      <c r="C381" s="1"/>
      <c r="D381" s="1"/>
      <c r="E381" s="1"/>
      <c r="F381" s="1173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173"/>
    </row>
    <row r="382" ht="14.25" customHeight="1">
      <c r="A382" s="1"/>
      <c r="B382" s="1"/>
      <c r="C382" s="1"/>
      <c r="D382" s="1"/>
      <c r="E382" s="1"/>
      <c r="F382" s="1173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173"/>
    </row>
    <row r="383" ht="14.25" customHeight="1">
      <c r="A383" s="1"/>
      <c r="B383" s="1"/>
      <c r="C383" s="1"/>
      <c r="D383" s="1"/>
      <c r="E383" s="1"/>
      <c r="F383" s="1173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173"/>
    </row>
    <row r="384" ht="14.25" customHeight="1">
      <c r="A384" s="1"/>
      <c r="B384" s="1"/>
      <c r="C384" s="1"/>
      <c r="D384" s="1"/>
      <c r="E384" s="1"/>
      <c r="F384" s="1173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173"/>
    </row>
    <row r="385" ht="14.25" customHeight="1">
      <c r="A385" s="1"/>
      <c r="B385" s="1"/>
      <c r="C385" s="1"/>
      <c r="D385" s="1"/>
      <c r="E385" s="1"/>
      <c r="F385" s="1173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173"/>
    </row>
    <row r="386" ht="14.25" customHeight="1">
      <c r="A386" s="1"/>
      <c r="B386" s="1"/>
      <c r="C386" s="1"/>
      <c r="D386" s="1"/>
      <c r="E386" s="1"/>
      <c r="F386" s="1173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173"/>
    </row>
    <row r="387" ht="14.25" customHeight="1">
      <c r="A387" s="1"/>
      <c r="B387" s="1"/>
      <c r="C387" s="1"/>
      <c r="D387" s="1"/>
      <c r="E387" s="1"/>
      <c r="F387" s="1173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173"/>
    </row>
    <row r="388" ht="14.25" customHeight="1">
      <c r="A388" s="1"/>
      <c r="B388" s="1"/>
      <c r="C388" s="1"/>
      <c r="D388" s="1"/>
      <c r="E388" s="1"/>
      <c r="F388" s="1173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173"/>
    </row>
    <row r="389" ht="14.25" customHeight="1">
      <c r="A389" s="1"/>
      <c r="B389" s="1"/>
      <c r="C389" s="1"/>
      <c r="D389" s="1"/>
      <c r="E389" s="1"/>
      <c r="F389" s="1173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173"/>
    </row>
    <row r="390" ht="14.25" customHeight="1">
      <c r="A390" s="1"/>
      <c r="B390" s="1"/>
      <c r="C390" s="1"/>
      <c r="D390" s="1"/>
      <c r="E390" s="1"/>
      <c r="F390" s="1173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173"/>
    </row>
    <row r="391" ht="14.25" customHeight="1">
      <c r="A391" s="1"/>
      <c r="B391" s="1"/>
      <c r="C391" s="1"/>
      <c r="D391" s="1"/>
      <c r="E391" s="1"/>
      <c r="F391" s="1173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173"/>
    </row>
    <row r="392" ht="14.25" customHeight="1">
      <c r="A392" s="1"/>
      <c r="B392" s="1"/>
      <c r="C392" s="1"/>
      <c r="D392" s="1"/>
      <c r="E392" s="1"/>
      <c r="F392" s="1173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173"/>
    </row>
    <row r="393" ht="14.25" customHeight="1">
      <c r="A393" s="1"/>
      <c r="B393" s="1"/>
      <c r="C393" s="1"/>
      <c r="D393" s="1"/>
      <c r="E393" s="1"/>
      <c r="F393" s="1173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173"/>
    </row>
    <row r="394" ht="14.25" customHeight="1">
      <c r="A394" s="1"/>
      <c r="B394" s="1"/>
      <c r="C394" s="1"/>
      <c r="D394" s="1"/>
      <c r="E394" s="1"/>
      <c r="F394" s="1173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173"/>
    </row>
    <row r="395" ht="14.25" customHeight="1">
      <c r="A395" s="1"/>
      <c r="B395" s="1"/>
      <c r="C395" s="1"/>
      <c r="D395" s="1"/>
      <c r="E395" s="1"/>
      <c r="F395" s="1173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173"/>
    </row>
    <row r="396" ht="14.25" customHeight="1">
      <c r="A396" s="1"/>
      <c r="B396" s="1"/>
      <c r="C396" s="1"/>
      <c r="D396" s="1"/>
      <c r="E396" s="1"/>
      <c r="F396" s="1173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173"/>
    </row>
    <row r="397" ht="14.25" customHeight="1">
      <c r="A397" s="1"/>
      <c r="B397" s="1"/>
      <c r="C397" s="1"/>
      <c r="D397" s="1"/>
      <c r="E397" s="1"/>
      <c r="F397" s="1173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173"/>
    </row>
    <row r="398" ht="14.25" customHeight="1">
      <c r="A398" s="1"/>
      <c r="B398" s="1"/>
      <c r="C398" s="1"/>
      <c r="D398" s="1"/>
      <c r="E398" s="1"/>
      <c r="F398" s="1173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173"/>
    </row>
    <row r="399" ht="14.25" customHeight="1">
      <c r="A399" s="1"/>
      <c r="B399" s="1"/>
      <c r="C399" s="1"/>
      <c r="D399" s="1"/>
      <c r="E399" s="1"/>
      <c r="F399" s="1173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173"/>
    </row>
    <row r="400" ht="14.25" customHeight="1">
      <c r="A400" s="1"/>
      <c r="B400" s="1"/>
      <c r="C400" s="1"/>
      <c r="D400" s="1"/>
      <c r="E400" s="1"/>
      <c r="F400" s="1173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173"/>
    </row>
    <row r="401" ht="14.25" customHeight="1">
      <c r="A401" s="1"/>
      <c r="B401" s="1"/>
      <c r="C401" s="1"/>
      <c r="D401" s="1"/>
      <c r="E401" s="1"/>
      <c r="F401" s="1173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173"/>
    </row>
    <row r="402" ht="14.25" customHeight="1">
      <c r="A402" s="1"/>
      <c r="B402" s="1"/>
      <c r="C402" s="1"/>
      <c r="D402" s="1"/>
      <c r="E402" s="1"/>
      <c r="F402" s="1173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173"/>
    </row>
    <row r="403" ht="14.25" customHeight="1">
      <c r="A403" s="1"/>
      <c r="B403" s="1"/>
      <c r="C403" s="1"/>
      <c r="D403" s="1"/>
      <c r="E403" s="1"/>
      <c r="F403" s="1173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173"/>
    </row>
    <row r="404" ht="14.25" customHeight="1">
      <c r="A404" s="1"/>
      <c r="B404" s="1"/>
      <c r="C404" s="1"/>
      <c r="D404" s="1"/>
      <c r="E404" s="1"/>
      <c r="F404" s="1173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173"/>
    </row>
    <row r="405" ht="14.25" customHeight="1">
      <c r="A405" s="1"/>
      <c r="B405" s="1"/>
      <c r="C405" s="1"/>
      <c r="D405" s="1"/>
      <c r="E405" s="1"/>
      <c r="F405" s="1173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173"/>
    </row>
    <row r="406" ht="14.25" customHeight="1">
      <c r="A406" s="1"/>
      <c r="B406" s="1"/>
      <c r="C406" s="1"/>
      <c r="D406" s="1"/>
      <c r="E406" s="1"/>
      <c r="F406" s="1173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173"/>
    </row>
    <row r="407" ht="14.25" customHeight="1">
      <c r="A407" s="1"/>
      <c r="B407" s="1"/>
      <c r="C407" s="1"/>
      <c r="D407" s="1"/>
      <c r="E407" s="1"/>
      <c r="F407" s="1173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173"/>
    </row>
    <row r="408" ht="14.25" customHeight="1">
      <c r="A408" s="1"/>
      <c r="B408" s="1"/>
      <c r="C408" s="1"/>
      <c r="D408" s="1"/>
      <c r="E408" s="1"/>
      <c r="F408" s="1173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173"/>
    </row>
    <row r="409" ht="14.25" customHeight="1">
      <c r="A409" s="1"/>
      <c r="B409" s="1"/>
      <c r="C409" s="1"/>
      <c r="D409" s="1"/>
      <c r="E409" s="1"/>
      <c r="F409" s="1173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173"/>
    </row>
    <row r="410" ht="14.25" customHeight="1">
      <c r="A410" s="1"/>
      <c r="B410" s="1"/>
      <c r="C410" s="1"/>
      <c r="D410" s="1"/>
      <c r="E410" s="1"/>
      <c r="F410" s="1173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173"/>
    </row>
    <row r="411" ht="14.25" customHeight="1">
      <c r="A411" s="1"/>
      <c r="B411" s="1"/>
      <c r="C411" s="1"/>
      <c r="D411" s="1"/>
      <c r="E411" s="1"/>
      <c r="F411" s="1173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173"/>
    </row>
    <row r="412" ht="14.25" customHeight="1">
      <c r="A412" s="1"/>
      <c r="B412" s="1"/>
      <c r="C412" s="1"/>
      <c r="D412" s="1"/>
      <c r="E412" s="1"/>
      <c r="F412" s="1173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173"/>
    </row>
    <row r="413" ht="14.25" customHeight="1">
      <c r="A413" s="1"/>
      <c r="B413" s="1"/>
      <c r="C413" s="1"/>
      <c r="D413" s="1"/>
      <c r="E413" s="1"/>
      <c r="F413" s="1173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173"/>
    </row>
    <row r="414" ht="14.25" customHeight="1">
      <c r="A414" s="1"/>
      <c r="B414" s="1"/>
      <c r="C414" s="1"/>
      <c r="D414" s="1"/>
      <c r="E414" s="1"/>
      <c r="F414" s="1173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173"/>
    </row>
    <row r="415" ht="14.25" customHeight="1">
      <c r="A415" s="1"/>
      <c r="B415" s="1"/>
      <c r="C415" s="1"/>
      <c r="D415" s="1"/>
      <c r="E415" s="1"/>
      <c r="F415" s="1173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173"/>
    </row>
    <row r="416" ht="14.25" customHeight="1">
      <c r="A416" s="1"/>
      <c r="B416" s="1"/>
      <c r="C416" s="1"/>
      <c r="D416" s="1"/>
      <c r="E416" s="1"/>
      <c r="F416" s="1173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173"/>
    </row>
    <row r="417" ht="14.25" customHeight="1">
      <c r="A417" s="1"/>
      <c r="B417" s="1"/>
      <c r="C417" s="1"/>
      <c r="D417" s="1"/>
      <c r="E417" s="1"/>
      <c r="F417" s="1173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173"/>
    </row>
    <row r="418" ht="14.25" customHeight="1">
      <c r="A418" s="1"/>
      <c r="B418" s="1"/>
      <c r="C418" s="1"/>
      <c r="D418" s="1"/>
      <c r="E418" s="1"/>
      <c r="F418" s="1173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173"/>
    </row>
    <row r="419" ht="14.25" customHeight="1">
      <c r="A419" s="1"/>
      <c r="B419" s="1"/>
      <c r="C419" s="1"/>
      <c r="D419" s="1"/>
      <c r="E419" s="1"/>
      <c r="F419" s="1173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173"/>
    </row>
    <row r="420" ht="14.25" customHeight="1">
      <c r="A420" s="1"/>
      <c r="B420" s="1"/>
      <c r="C420" s="1"/>
      <c r="D420" s="1"/>
      <c r="E420" s="1"/>
      <c r="F420" s="1173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173"/>
    </row>
    <row r="421" ht="14.25" customHeight="1">
      <c r="A421" s="1"/>
      <c r="B421" s="1"/>
      <c r="C421" s="1"/>
      <c r="D421" s="1"/>
      <c r="E421" s="1"/>
      <c r="F421" s="1173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173"/>
    </row>
    <row r="422" ht="14.25" customHeight="1">
      <c r="A422" s="1"/>
      <c r="B422" s="1"/>
      <c r="C422" s="1"/>
      <c r="D422" s="1"/>
      <c r="E422" s="1"/>
      <c r="F422" s="1173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173"/>
    </row>
    <row r="423" ht="14.25" customHeight="1">
      <c r="A423" s="1"/>
      <c r="B423" s="1"/>
      <c r="C423" s="1"/>
      <c r="D423" s="1"/>
      <c r="E423" s="1"/>
      <c r="F423" s="1173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173"/>
    </row>
    <row r="424" ht="14.25" customHeight="1">
      <c r="A424" s="1"/>
      <c r="B424" s="1"/>
      <c r="C424" s="1"/>
      <c r="D424" s="1"/>
      <c r="E424" s="1"/>
      <c r="F424" s="1173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173"/>
    </row>
    <row r="425" ht="14.25" customHeight="1">
      <c r="A425" s="1"/>
      <c r="B425" s="1"/>
      <c r="C425" s="1"/>
      <c r="D425" s="1"/>
      <c r="E425" s="1"/>
      <c r="F425" s="1173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173"/>
    </row>
    <row r="426" ht="14.25" customHeight="1">
      <c r="A426" s="1"/>
      <c r="B426" s="1"/>
      <c r="C426" s="1"/>
      <c r="D426" s="1"/>
      <c r="E426" s="1"/>
      <c r="F426" s="1173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173"/>
    </row>
    <row r="427" ht="14.25" customHeight="1">
      <c r="A427" s="1"/>
      <c r="B427" s="1"/>
      <c r="C427" s="1"/>
      <c r="D427" s="1"/>
      <c r="E427" s="1"/>
      <c r="F427" s="1173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173"/>
    </row>
    <row r="428" ht="14.25" customHeight="1">
      <c r="A428" s="1"/>
      <c r="B428" s="1"/>
      <c r="C428" s="1"/>
      <c r="D428" s="1"/>
      <c r="E428" s="1"/>
      <c r="F428" s="1173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173"/>
    </row>
    <row r="429" ht="14.25" customHeight="1">
      <c r="A429" s="1"/>
      <c r="B429" s="1"/>
      <c r="C429" s="1"/>
      <c r="D429" s="1"/>
      <c r="E429" s="1"/>
      <c r="F429" s="1173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173"/>
    </row>
    <row r="430" ht="14.25" customHeight="1">
      <c r="A430" s="1"/>
      <c r="B430" s="1"/>
      <c r="C430" s="1"/>
      <c r="D430" s="1"/>
      <c r="E430" s="1"/>
      <c r="F430" s="1173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173"/>
    </row>
    <row r="431" ht="14.25" customHeight="1">
      <c r="A431" s="1"/>
      <c r="B431" s="1"/>
      <c r="C431" s="1"/>
      <c r="D431" s="1"/>
      <c r="E431" s="1"/>
      <c r="F431" s="1173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173"/>
    </row>
    <row r="432" ht="14.25" customHeight="1">
      <c r="A432" s="1"/>
      <c r="B432" s="1"/>
      <c r="C432" s="1"/>
      <c r="D432" s="1"/>
      <c r="E432" s="1"/>
      <c r="F432" s="1173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173"/>
    </row>
    <row r="433" ht="14.25" customHeight="1">
      <c r="A433" s="1"/>
      <c r="B433" s="1"/>
      <c r="C433" s="1"/>
      <c r="D433" s="1"/>
      <c r="E433" s="1"/>
      <c r="F433" s="1173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173"/>
    </row>
    <row r="434" ht="14.25" customHeight="1">
      <c r="A434" s="1"/>
      <c r="B434" s="1"/>
      <c r="C434" s="1"/>
      <c r="D434" s="1"/>
      <c r="E434" s="1"/>
      <c r="F434" s="1173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173"/>
    </row>
    <row r="435" ht="14.25" customHeight="1">
      <c r="A435" s="1"/>
      <c r="B435" s="1"/>
      <c r="C435" s="1"/>
      <c r="D435" s="1"/>
      <c r="E435" s="1"/>
      <c r="F435" s="1173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173"/>
    </row>
    <row r="436" ht="14.25" customHeight="1">
      <c r="A436" s="1"/>
      <c r="B436" s="1"/>
      <c r="C436" s="1"/>
      <c r="D436" s="1"/>
      <c r="E436" s="1"/>
      <c r="F436" s="1173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173"/>
    </row>
    <row r="437" ht="14.25" customHeight="1">
      <c r="A437" s="1"/>
      <c r="B437" s="1"/>
      <c r="C437" s="1"/>
      <c r="D437" s="1"/>
      <c r="E437" s="1"/>
      <c r="F437" s="1173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173"/>
    </row>
    <row r="438" ht="14.25" customHeight="1">
      <c r="A438" s="1"/>
      <c r="B438" s="1"/>
      <c r="C438" s="1"/>
      <c r="D438" s="1"/>
      <c r="E438" s="1"/>
      <c r="F438" s="1173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173"/>
    </row>
    <row r="439" ht="14.25" customHeight="1">
      <c r="A439" s="1"/>
      <c r="B439" s="1"/>
      <c r="C439" s="1"/>
      <c r="D439" s="1"/>
      <c r="E439" s="1"/>
      <c r="F439" s="1173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173"/>
    </row>
    <row r="440" ht="14.25" customHeight="1">
      <c r="A440" s="1"/>
      <c r="B440" s="1"/>
      <c r="C440" s="1"/>
      <c r="D440" s="1"/>
      <c r="E440" s="1"/>
      <c r="F440" s="1173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173"/>
    </row>
    <row r="441" ht="14.25" customHeight="1">
      <c r="A441" s="1"/>
      <c r="B441" s="1"/>
      <c r="C441" s="1"/>
      <c r="D441" s="1"/>
      <c r="E441" s="1"/>
      <c r="F441" s="1173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173"/>
    </row>
    <row r="442" ht="14.25" customHeight="1">
      <c r="A442" s="1"/>
      <c r="B442" s="1"/>
      <c r="C442" s="1"/>
      <c r="D442" s="1"/>
      <c r="E442" s="1"/>
      <c r="F442" s="1173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173"/>
    </row>
    <row r="443" ht="14.25" customHeight="1">
      <c r="A443" s="1"/>
      <c r="B443" s="1"/>
      <c r="C443" s="1"/>
      <c r="D443" s="1"/>
      <c r="E443" s="1"/>
      <c r="F443" s="1173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173"/>
    </row>
    <row r="444" ht="14.25" customHeight="1">
      <c r="A444" s="1"/>
      <c r="B444" s="1"/>
      <c r="C444" s="1"/>
      <c r="D444" s="1"/>
      <c r="E444" s="1"/>
      <c r="F444" s="1173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173"/>
    </row>
    <row r="445" ht="14.25" customHeight="1">
      <c r="A445" s="1"/>
      <c r="B445" s="1"/>
      <c r="C445" s="1"/>
      <c r="D445" s="1"/>
      <c r="E445" s="1"/>
      <c r="F445" s="1173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173"/>
    </row>
    <row r="446" ht="14.25" customHeight="1">
      <c r="A446" s="1"/>
      <c r="B446" s="1"/>
      <c r="C446" s="1"/>
      <c r="D446" s="1"/>
      <c r="E446" s="1"/>
      <c r="F446" s="1173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173"/>
    </row>
    <row r="447" ht="14.25" customHeight="1">
      <c r="A447" s="1"/>
      <c r="B447" s="1"/>
      <c r="C447" s="1"/>
      <c r="D447" s="1"/>
      <c r="E447" s="1"/>
      <c r="F447" s="1173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173"/>
    </row>
    <row r="448" ht="14.25" customHeight="1">
      <c r="A448" s="1"/>
      <c r="B448" s="1"/>
      <c r="C448" s="1"/>
      <c r="D448" s="1"/>
      <c r="E448" s="1"/>
      <c r="F448" s="1173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173"/>
    </row>
    <row r="449" ht="14.25" customHeight="1">
      <c r="A449" s="1"/>
      <c r="B449" s="1"/>
      <c r="C449" s="1"/>
      <c r="D449" s="1"/>
      <c r="E449" s="1"/>
      <c r="F449" s="1173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173"/>
    </row>
    <row r="450" ht="14.25" customHeight="1">
      <c r="A450" s="1"/>
      <c r="B450" s="1"/>
      <c r="C450" s="1"/>
      <c r="D450" s="1"/>
      <c r="E450" s="1"/>
      <c r="F450" s="1173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173"/>
    </row>
    <row r="451" ht="14.25" customHeight="1">
      <c r="A451" s="1"/>
      <c r="B451" s="1"/>
      <c r="C451" s="1"/>
      <c r="D451" s="1"/>
      <c r="E451" s="1"/>
      <c r="F451" s="1173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173"/>
    </row>
    <row r="452" ht="14.25" customHeight="1">
      <c r="A452" s="1"/>
      <c r="B452" s="1"/>
      <c r="C452" s="1"/>
      <c r="D452" s="1"/>
      <c r="E452" s="1"/>
      <c r="F452" s="1173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173"/>
    </row>
    <row r="453" ht="14.25" customHeight="1">
      <c r="A453" s="1"/>
      <c r="B453" s="1"/>
      <c r="C453" s="1"/>
      <c r="D453" s="1"/>
      <c r="E453" s="1"/>
      <c r="F453" s="1173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173"/>
    </row>
    <row r="454" ht="14.25" customHeight="1">
      <c r="A454" s="1"/>
      <c r="B454" s="1"/>
      <c r="C454" s="1"/>
      <c r="D454" s="1"/>
      <c r="E454" s="1"/>
      <c r="F454" s="1173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173"/>
    </row>
    <row r="455" ht="14.25" customHeight="1">
      <c r="A455" s="1"/>
      <c r="B455" s="1"/>
      <c r="C455" s="1"/>
      <c r="D455" s="1"/>
      <c r="E455" s="1"/>
      <c r="F455" s="1173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173"/>
    </row>
    <row r="456" ht="14.25" customHeight="1">
      <c r="A456" s="1"/>
      <c r="B456" s="1"/>
      <c r="C456" s="1"/>
      <c r="D456" s="1"/>
      <c r="E456" s="1"/>
      <c r="F456" s="1173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173"/>
    </row>
    <row r="457" ht="14.25" customHeight="1">
      <c r="A457" s="1"/>
      <c r="B457" s="1"/>
      <c r="C457" s="1"/>
      <c r="D457" s="1"/>
      <c r="E457" s="1"/>
      <c r="F457" s="1173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173"/>
    </row>
    <row r="458" ht="14.25" customHeight="1">
      <c r="A458" s="1"/>
      <c r="B458" s="1"/>
      <c r="C458" s="1"/>
      <c r="D458" s="1"/>
      <c r="E458" s="1"/>
      <c r="F458" s="1173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173"/>
    </row>
    <row r="459" ht="14.25" customHeight="1">
      <c r="A459" s="1"/>
      <c r="B459" s="1"/>
      <c r="C459" s="1"/>
      <c r="D459" s="1"/>
      <c r="E459" s="1"/>
      <c r="F459" s="1173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173"/>
    </row>
    <row r="460" ht="14.25" customHeight="1">
      <c r="A460" s="1"/>
      <c r="B460" s="1"/>
      <c r="C460" s="1"/>
      <c r="D460" s="1"/>
      <c r="E460" s="1"/>
      <c r="F460" s="1173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173"/>
    </row>
    <row r="461" ht="14.25" customHeight="1">
      <c r="A461" s="1"/>
      <c r="B461" s="1"/>
      <c r="C461" s="1"/>
      <c r="D461" s="1"/>
      <c r="E461" s="1"/>
      <c r="F461" s="1173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173"/>
    </row>
    <row r="462" ht="14.25" customHeight="1">
      <c r="A462" s="1"/>
      <c r="B462" s="1"/>
      <c r="C462" s="1"/>
      <c r="D462" s="1"/>
      <c r="E462" s="1"/>
      <c r="F462" s="1173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173"/>
    </row>
    <row r="463" ht="14.25" customHeight="1">
      <c r="A463" s="1"/>
      <c r="B463" s="1"/>
      <c r="C463" s="1"/>
      <c r="D463" s="1"/>
      <c r="E463" s="1"/>
      <c r="F463" s="1173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173"/>
    </row>
    <row r="464" ht="14.25" customHeight="1">
      <c r="A464" s="1"/>
      <c r="B464" s="1"/>
      <c r="C464" s="1"/>
      <c r="D464" s="1"/>
      <c r="E464" s="1"/>
      <c r="F464" s="1173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173"/>
    </row>
    <row r="465" ht="14.25" customHeight="1">
      <c r="A465" s="1"/>
      <c r="B465" s="1"/>
      <c r="C465" s="1"/>
      <c r="D465" s="1"/>
      <c r="E465" s="1"/>
      <c r="F465" s="1173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173"/>
    </row>
    <row r="466" ht="14.25" customHeight="1">
      <c r="A466" s="1"/>
      <c r="B466" s="1"/>
      <c r="C466" s="1"/>
      <c r="D466" s="1"/>
      <c r="E466" s="1"/>
      <c r="F466" s="1173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173"/>
    </row>
    <row r="467" ht="14.25" customHeight="1">
      <c r="A467" s="1"/>
      <c r="B467" s="1"/>
      <c r="C467" s="1"/>
      <c r="D467" s="1"/>
      <c r="E467" s="1"/>
      <c r="F467" s="1173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173"/>
    </row>
    <row r="468" ht="14.25" customHeight="1">
      <c r="A468" s="1"/>
      <c r="B468" s="1"/>
      <c r="C468" s="1"/>
      <c r="D468" s="1"/>
      <c r="E468" s="1"/>
      <c r="F468" s="1173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173"/>
    </row>
    <row r="469" ht="14.25" customHeight="1">
      <c r="A469" s="1"/>
      <c r="B469" s="1"/>
      <c r="C469" s="1"/>
      <c r="D469" s="1"/>
      <c r="E469" s="1"/>
      <c r="F469" s="1173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173"/>
    </row>
    <row r="470" ht="14.25" customHeight="1">
      <c r="A470" s="1"/>
      <c r="B470" s="1"/>
      <c r="C470" s="1"/>
      <c r="D470" s="1"/>
      <c r="E470" s="1"/>
      <c r="F470" s="1173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173"/>
    </row>
    <row r="471" ht="14.25" customHeight="1">
      <c r="A471" s="1"/>
      <c r="B471" s="1"/>
      <c r="C471" s="1"/>
      <c r="D471" s="1"/>
      <c r="E471" s="1"/>
      <c r="F471" s="1173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173"/>
    </row>
    <row r="472" ht="14.25" customHeight="1">
      <c r="A472" s="1"/>
      <c r="B472" s="1"/>
      <c r="C472" s="1"/>
      <c r="D472" s="1"/>
      <c r="E472" s="1"/>
      <c r="F472" s="1173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173"/>
    </row>
    <row r="473" ht="14.25" customHeight="1">
      <c r="A473" s="1"/>
      <c r="B473" s="1"/>
      <c r="C473" s="1"/>
      <c r="D473" s="1"/>
      <c r="E473" s="1"/>
      <c r="F473" s="1173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173"/>
    </row>
    <row r="474" ht="14.25" customHeight="1">
      <c r="A474" s="1"/>
      <c r="B474" s="1"/>
      <c r="C474" s="1"/>
      <c r="D474" s="1"/>
      <c r="E474" s="1"/>
      <c r="F474" s="1173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173"/>
    </row>
    <row r="475" ht="14.25" customHeight="1">
      <c r="A475" s="1"/>
      <c r="B475" s="1"/>
      <c r="C475" s="1"/>
      <c r="D475" s="1"/>
      <c r="E475" s="1"/>
      <c r="F475" s="1173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173"/>
    </row>
    <row r="476" ht="14.25" customHeight="1">
      <c r="A476" s="1"/>
      <c r="B476" s="1"/>
      <c r="C476" s="1"/>
      <c r="D476" s="1"/>
      <c r="E476" s="1"/>
      <c r="F476" s="1173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173"/>
    </row>
    <row r="477" ht="14.25" customHeight="1">
      <c r="A477" s="1"/>
      <c r="B477" s="1"/>
      <c r="C477" s="1"/>
      <c r="D477" s="1"/>
      <c r="E477" s="1"/>
      <c r="F477" s="1173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173"/>
    </row>
    <row r="478" ht="14.25" customHeight="1">
      <c r="A478" s="1"/>
      <c r="B478" s="1"/>
      <c r="C478" s="1"/>
      <c r="D478" s="1"/>
      <c r="E478" s="1"/>
      <c r="F478" s="1173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173"/>
    </row>
    <row r="479" ht="14.25" customHeight="1">
      <c r="A479" s="1"/>
      <c r="B479" s="1"/>
      <c r="C479" s="1"/>
      <c r="D479" s="1"/>
      <c r="E479" s="1"/>
      <c r="F479" s="1173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173"/>
    </row>
    <row r="480" ht="14.25" customHeight="1">
      <c r="A480" s="1"/>
      <c r="B480" s="1"/>
      <c r="C480" s="1"/>
      <c r="D480" s="1"/>
      <c r="E480" s="1"/>
      <c r="F480" s="1173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173"/>
    </row>
    <row r="481" ht="14.25" customHeight="1">
      <c r="A481" s="1"/>
      <c r="B481" s="1"/>
      <c r="C481" s="1"/>
      <c r="D481" s="1"/>
      <c r="E481" s="1"/>
      <c r="F481" s="1173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173"/>
    </row>
    <row r="482" ht="14.25" customHeight="1">
      <c r="A482" s="1"/>
      <c r="B482" s="1"/>
      <c r="C482" s="1"/>
      <c r="D482" s="1"/>
      <c r="E482" s="1"/>
      <c r="F482" s="1173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173"/>
    </row>
    <row r="483" ht="14.25" customHeight="1">
      <c r="A483" s="1"/>
      <c r="B483" s="1"/>
      <c r="C483" s="1"/>
      <c r="D483" s="1"/>
      <c r="E483" s="1"/>
      <c r="F483" s="1173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173"/>
    </row>
    <row r="484" ht="14.25" customHeight="1">
      <c r="A484" s="1"/>
      <c r="B484" s="1"/>
      <c r="C484" s="1"/>
      <c r="D484" s="1"/>
      <c r="E484" s="1"/>
      <c r="F484" s="1173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173"/>
    </row>
    <row r="485" ht="14.25" customHeight="1">
      <c r="A485" s="1"/>
      <c r="B485" s="1"/>
      <c r="C485" s="1"/>
      <c r="D485" s="1"/>
      <c r="E485" s="1"/>
      <c r="F485" s="1173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173"/>
    </row>
    <row r="486" ht="14.25" customHeight="1">
      <c r="A486" s="1"/>
      <c r="B486" s="1"/>
      <c r="C486" s="1"/>
      <c r="D486" s="1"/>
      <c r="E486" s="1"/>
      <c r="F486" s="1173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173"/>
    </row>
    <row r="487" ht="14.25" customHeight="1">
      <c r="A487" s="1"/>
      <c r="B487" s="1"/>
      <c r="C487" s="1"/>
      <c r="D487" s="1"/>
      <c r="E487" s="1"/>
      <c r="F487" s="1173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173"/>
    </row>
    <row r="488" ht="14.25" customHeight="1">
      <c r="A488" s="1"/>
      <c r="B488" s="1"/>
      <c r="C488" s="1"/>
      <c r="D488" s="1"/>
      <c r="E488" s="1"/>
      <c r="F488" s="1173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173"/>
    </row>
    <row r="489" ht="14.25" customHeight="1">
      <c r="A489" s="1"/>
      <c r="B489" s="1"/>
      <c r="C489" s="1"/>
      <c r="D489" s="1"/>
      <c r="E489" s="1"/>
      <c r="F489" s="1173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173"/>
    </row>
    <row r="490" ht="14.25" customHeight="1">
      <c r="A490" s="1"/>
      <c r="B490" s="1"/>
      <c r="C490" s="1"/>
      <c r="D490" s="1"/>
      <c r="E490" s="1"/>
      <c r="F490" s="1173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173"/>
    </row>
    <row r="491" ht="14.25" customHeight="1">
      <c r="A491" s="1"/>
      <c r="B491" s="1"/>
      <c r="C491" s="1"/>
      <c r="D491" s="1"/>
      <c r="E491" s="1"/>
      <c r="F491" s="1173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173"/>
    </row>
    <row r="492" ht="14.25" customHeight="1">
      <c r="A492" s="1"/>
      <c r="B492" s="1"/>
      <c r="C492" s="1"/>
      <c r="D492" s="1"/>
      <c r="E492" s="1"/>
      <c r="F492" s="1173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173"/>
    </row>
    <row r="493" ht="14.25" customHeight="1">
      <c r="A493" s="1"/>
      <c r="B493" s="1"/>
      <c r="C493" s="1"/>
      <c r="D493" s="1"/>
      <c r="E493" s="1"/>
      <c r="F493" s="1173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173"/>
    </row>
    <row r="494" ht="14.25" customHeight="1">
      <c r="A494" s="1"/>
      <c r="B494" s="1"/>
      <c r="C494" s="1"/>
      <c r="D494" s="1"/>
      <c r="E494" s="1"/>
      <c r="F494" s="1173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173"/>
    </row>
    <row r="495" ht="14.25" customHeight="1">
      <c r="A495" s="1"/>
      <c r="B495" s="1"/>
      <c r="C495" s="1"/>
      <c r="D495" s="1"/>
      <c r="E495" s="1"/>
      <c r="F495" s="1173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173"/>
    </row>
    <row r="496" ht="14.25" customHeight="1">
      <c r="A496" s="1"/>
      <c r="B496" s="1"/>
      <c r="C496" s="1"/>
      <c r="D496" s="1"/>
      <c r="E496" s="1"/>
      <c r="F496" s="1173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173"/>
    </row>
    <row r="497" ht="14.25" customHeight="1">
      <c r="A497" s="1"/>
      <c r="B497" s="1"/>
      <c r="C497" s="1"/>
      <c r="D497" s="1"/>
      <c r="E497" s="1"/>
      <c r="F497" s="1173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173"/>
    </row>
    <row r="498" ht="14.25" customHeight="1">
      <c r="A498" s="1"/>
      <c r="B498" s="1"/>
      <c r="C498" s="1"/>
      <c r="D498" s="1"/>
      <c r="E498" s="1"/>
      <c r="F498" s="1173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173"/>
    </row>
    <row r="499" ht="14.25" customHeight="1">
      <c r="A499" s="1"/>
      <c r="B499" s="1"/>
      <c r="C499" s="1"/>
      <c r="D499" s="1"/>
      <c r="E499" s="1"/>
      <c r="F499" s="1173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173"/>
    </row>
    <row r="500" ht="14.25" customHeight="1">
      <c r="A500" s="1"/>
      <c r="B500" s="1"/>
      <c r="C500" s="1"/>
      <c r="D500" s="1"/>
      <c r="E500" s="1"/>
      <c r="F500" s="1173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173"/>
    </row>
    <row r="501" ht="14.25" customHeight="1">
      <c r="A501" s="1"/>
      <c r="B501" s="1"/>
      <c r="C501" s="1"/>
      <c r="D501" s="1"/>
      <c r="E501" s="1"/>
      <c r="F501" s="1173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173"/>
    </row>
    <row r="502" ht="14.25" customHeight="1">
      <c r="A502" s="1"/>
      <c r="B502" s="1"/>
      <c r="C502" s="1"/>
      <c r="D502" s="1"/>
      <c r="E502" s="1"/>
      <c r="F502" s="1173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173"/>
    </row>
    <row r="503" ht="14.25" customHeight="1">
      <c r="A503" s="1"/>
      <c r="B503" s="1"/>
      <c r="C503" s="1"/>
      <c r="D503" s="1"/>
      <c r="E503" s="1"/>
      <c r="F503" s="1173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173"/>
    </row>
    <row r="504" ht="14.25" customHeight="1">
      <c r="A504" s="1"/>
      <c r="B504" s="1"/>
      <c r="C504" s="1"/>
      <c r="D504" s="1"/>
      <c r="E504" s="1"/>
      <c r="F504" s="1173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173"/>
    </row>
    <row r="505" ht="14.25" customHeight="1">
      <c r="A505" s="1"/>
      <c r="B505" s="1"/>
      <c r="C505" s="1"/>
      <c r="D505" s="1"/>
      <c r="E505" s="1"/>
      <c r="F505" s="1173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173"/>
    </row>
    <row r="506" ht="14.25" customHeight="1">
      <c r="A506" s="1"/>
      <c r="B506" s="1"/>
      <c r="C506" s="1"/>
      <c r="D506" s="1"/>
      <c r="E506" s="1"/>
      <c r="F506" s="1173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173"/>
    </row>
    <row r="507" ht="14.25" customHeight="1">
      <c r="A507" s="1"/>
      <c r="B507" s="1"/>
      <c r="C507" s="1"/>
      <c r="D507" s="1"/>
      <c r="E507" s="1"/>
      <c r="F507" s="1173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173"/>
    </row>
    <row r="508" ht="14.25" customHeight="1">
      <c r="A508" s="1"/>
      <c r="B508" s="1"/>
      <c r="C508" s="1"/>
      <c r="D508" s="1"/>
      <c r="E508" s="1"/>
      <c r="F508" s="1173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173"/>
    </row>
    <row r="509" ht="14.25" customHeight="1">
      <c r="A509" s="1"/>
      <c r="B509" s="1"/>
      <c r="C509" s="1"/>
      <c r="D509" s="1"/>
      <c r="E509" s="1"/>
      <c r="F509" s="1173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173"/>
    </row>
    <row r="510" ht="14.25" customHeight="1">
      <c r="A510" s="1"/>
      <c r="B510" s="1"/>
      <c r="C510" s="1"/>
      <c r="D510" s="1"/>
      <c r="E510" s="1"/>
      <c r="F510" s="1173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173"/>
    </row>
    <row r="511" ht="14.25" customHeight="1">
      <c r="A511" s="1"/>
      <c r="B511" s="1"/>
      <c r="C511" s="1"/>
      <c r="D511" s="1"/>
      <c r="E511" s="1"/>
      <c r="F511" s="1173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173"/>
    </row>
    <row r="512" ht="14.25" customHeight="1">
      <c r="A512" s="1"/>
      <c r="B512" s="1"/>
      <c r="C512" s="1"/>
      <c r="D512" s="1"/>
      <c r="E512" s="1"/>
      <c r="F512" s="1173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173"/>
    </row>
    <row r="513" ht="14.25" customHeight="1">
      <c r="A513" s="1"/>
      <c r="B513" s="1"/>
      <c r="C513" s="1"/>
      <c r="D513" s="1"/>
      <c r="E513" s="1"/>
      <c r="F513" s="1173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173"/>
    </row>
    <row r="514" ht="14.25" customHeight="1">
      <c r="A514" s="1"/>
      <c r="B514" s="1"/>
      <c r="C514" s="1"/>
      <c r="D514" s="1"/>
      <c r="E514" s="1"/>
      <c r="F514" s="1173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173"/>
    </row>
    <row r="515" ht="14.25" customHeight="1">
      <c r="A515" s="1"/>
      <c r="B515" s="1"/>
      <c r="C515" s="1"/>
      <c r="D515" s="1"/>
      <c r="E515" s="1"/>
      <c r="F515" s="1173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173"/>
    </row>
    <row r="516" ht="14.25" customHeight="1">
      <c r="A516" s="1"/>
      <c r="B516" s="1"/>
      <c r="C516" s="1"/>
      <c r="D516" s="1"/>
      <c r="E516" s="1"/>
      <c r="F516" s="1173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173"/>
    </row>
    <row r="517" ht="14.25" customHeight="1">
      <c r="A517" s="1"/>
      <c r="B517" s="1"/>
      <c r="C517" s="1"/>
      <c r="D517" s="1"/>
      <c r="E517" s="1"/>
      <c r="F517" s="1173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173"/>
    </row>
    <row r="518" ht="14.25" customHeight="1">
      <c r="A518" s="1"/>
      <c r="B518" s="1"/>
      <c r="C518" s="1"/>
      <c r="D518" s="1"/>
      <c r="E518" s="1"/>
      <c r="F518" s="1173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173"/>
    </row>
    <row r="519" ht="14.25" customHeight="1">
      <c r="A519" s="1"/>
      <c r="B519" s="1"/>
      <c r="C519" s="1"/>
      <c r="D519" s="1"/>
      <c r="E519" s="1"/>
      <c r="F519" s="1173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173"/>
    </row>
    <row r="520" ht="14.25" customHeight="1">
      <c r="A520" s="1"/>
      <c r="B520" s="1"/>
      <c r="C520" s="1"/>
      <c r="D520" s="1"/>
      <c r="E520" s="1"/>
      <c r="F520" s="1173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173"/>
    </row>
    <row r="521" ht="14.25" customHeight="1">
      <c r="A521" s="1"/>
      <c r="B521" s="1"/>
      <c r="C521" s="1"/>
      <c r="D521" s="1"/>
      <c r="E521" s="1"/>
      <c r="F521" s="1173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173"/>
    </row>
    <row r="522" ht="14.25" customHeight="1">
      <c r="A522" s="1"/>
      <c r="B522" s="1"/>
      <c r="C522" s="1"/>
      <c r="D522" s="1"/>
      <c r="E522" s="1"/>
      <c r="F522" s="1173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173"/>
    </row>
    <row r="523" ht="14.25" customHeight="1">
      <c r="A523" s="1"/>
      <c r="B523" s="1"/>
      <c r="C523" s="1"/>
      <c r="D523" s="1"/>
      <c r="E523" s="1"/>
      <c r="F523" s="1173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173"/>
    </row>
    <row r="524" ht="14.25" customHeight="1">
      <c r="A524" s="1"/>
      <c r="B524" s="1"/>
      <c r="C524" s="1"/>
      <c r="D524" s="1"/>
      <c r="E524" s="1"/>
      <c r="F524" s="1173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173"/>
    </row>
    <row r="525" ht="14.25" customHeight="1">
      <c r="A525" s="1"/>
      <c r="B525" s="1"/>
      <c r="C525" s="1"/>
      <c r="D525" s="1"/>
      <c r="E525" s="1"/>
      <c r="F525" s="1173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173"/>
    </row>
    <row r="526" ht="14.25" customHeight="1">
      <c r="A526" s="1"/>
      <c r="B526" s="1"/>
      <c r="C526" s="1"/>
      <c r="D526" s="1"/>
      <c r="E526" s="1"/>
      <c r="F526" s="1173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173"/>
    </row>
    <row r="527" ht="14.25" customHeight="1">
      <c r="A527" s="1"/>
      <c r="B527" s="1"/>
      <c r="C527" s="1"/>
      <c r="D527" s="1"/>
      <c r="E527" s="1"/>
      <c r="F527" s="1173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173"/>
    </row>
    <row r="528" ht="14.25" customHeight="1">
      <c r="A528" s="1"/>
      <c r="B528" s="1"/>
      <c r="C528" s="1"/>
      <c r="D528" s="1"/>
      <c r="E528" s="1"/>
      <c r="F528" s="1173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173"/>
    </row>
    <row r="529" ht="14.25" customHeight="1">
      <c r="A529" s="1"/>
      <c r="B529" s="1"/>
      <c r="C529" s="1"/>
      <c r="D529" s="1"/>
      <c r="E529" s="1"/>
      <c r="F529" s="1173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173"/>
    </row>
    <row r="530" ht="14.25" customHeight="1">
      <c r="A530" s="1"/>
      <c r="B530" s="1"/>
      <c r="C530" s="1"/>
      <c r="D530" s="1"/>
      <c r="E530" s="1"/>
      <c r="F530" s="1173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173"/>
    </row>
    <row r="531" ht="14.25" customHeight="1">
      <c r="A531" s="1"/>
      <c r="B531" s="1"/>
      <c r="C531" s="1"/>
      <c r="D531" s="1"/>
      <c r="E531" s="1"/>
      <c r="F531" s="1173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173"/>
    </row>
    <row r="532" ht="14.25" customHeight="1">
      <c r="A532" s="1"/>
      <c r="B532" s="1"/>
      <c r="C532" s="1"/>
      <c r="D532" s="1"/>
      <c r="E532" s="1"/>
      <c r="F532" s="1173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173"/>
    </row>
    <row r="533" ht="14.25" customHeight="1">
      <c r="A533" s="1"/>
      <c r="B533" s="1"/>
      <c r="C533" s="1"/>
      <c r="D533" s="1"/>
      <c r="E533" s="1"/>
      <c r="F533" s="1173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173"/>
    </row>
    <row r="534" ht="14.25" customHeight="1">
      <c r="A534" s="1"/>
      <c r="B534" s="1"/>
      <c r="C534" s="1"/>
      <c r="D534" s="1"/>
      <c r="E534" s="1"/>
      <c r="F534" s="1173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173"/>
    </row>
    <row r="535" ht="14.25" customHeight="1">
      <c r="A535" s="1"/>
      <c r="B535" s="1"/>
      <c r="C535" s="1"/>
      <c r="D535" s="1"/>
      <c r="E535" s="1"/>
      <c r="F535" s="1173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173"/>
    </row>
    <row r="536" ht="14.25" customHeight="1">
      <c r="A536" s="1"/>
      <c r="B536" s="1"/>
      <c r="C536" s="1"/>
      <c r="D536" s="1"/>
      <c r="E536" s="1"/>
      <c r="F536" s="1173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173"/>
    </row>
    <row r="537" ht="14.25" customHeight="1">
      <c r="A537" s="1"/>
      <c r="B537" s="1"/>
      <c r="C537" s="1"/>
      <c r="D537" s="1"/>
      <c r="E537" s="1"/>
      <c r="F537" s="1173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173"/>
    </row>
    <row r="538" ht="14.25" customHeight="1">
      <c r="A538" s="1"/>
      <c r="B538" s="1"/>
      <c r="C538" s="1"/>
      <c r="D538" s="1"/>
      <c r="E538" s="1"/>
      <c r="F538" s="1173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173"/>
    </row>
    <row r="539" ht="14.25" customHeight="1">
      <c r="A539" s="1"/>
      <c r="B539" s="1"/>
      <c r="C539" s="1"/>
      <c r="D539" s="1"/>
      <c r="E539" s="1"/>
      <c r="F539" s="1173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173"/>
    </row>
    <row r="540" ht="14.25" customHeight="1">
      <c r="A540" s="1"/>
      <c r="B540" s="1"/>
      <c r="C540" s="1"/>
      <c r="D540" s="1"/>
      <c r="E540" s="1"/>
      <c r="F540" s="1173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173"/>
    </row>
    <row r="541" ht="14.25" customHeight="1">
      <c r="A541" s="1"/>
      <c r="B541" s="1"/>
      <c r="C541" s="1"/>
      <c r="D541" s="1"/>
      <c r="E541" s="1"/>
      <c r="F541" s="1173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173"/>
    </row>
    <row r="542" ht="14.25" customHeight="1">
      <c r="A542" s="1"/>
      <c r="B542" s="1"/>
      <c r="C542" s="1"/>
      <c r="D542" s="1"/>
      <c r="E542" s="1"/>
      <c r="F542" s="1173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173"/>
    </row>
    <row r="543" ht="14.25" customHeight="1">
      <c r="A543" s="1"/>
      <c r="B543" s="1"/>
      <c r="C543" s="1"/>
      <c r="D543" s="1"/>
      <c r="E543" s="1"/>
      <c r="F543" s="1173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173"/>
    </row>
    <row r="544" ht="14.25" customHeight="1">
      <c r="A544" s="1"/>
      <c r="B544" s="1"/>
      <c r="C544" s="1"/>
      <c r="D544" s="1"/>
      <c r="E544" s="1"/>
      <c r="F544" s="1173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173"/>
    </row>
    <row r="545" ht="14.25" customHeight="1">
      <c r="A545" s="1"/>
      <c r="B545" s="1"/>
      <c r="C545" s="1"/>
      <c r="D545" s="1"/>
      <c r="E545" s="1"/>
      <c r="F545" s="1173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173"/>
    </row>
    <row r="546" ht="14.25" customHeight="1">
      <c r="A546" s="1"/>
      <c r="B546" s="1"/>
      <c r="C546" s="1"/>
      <c r="D546" s="1"/>
      <c r="E546" s="1"/>
      <c r="F546" s="1173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173"/>
    </row>
    <row r="547" ht="14.25" customHeight="1">
      <c r="A547" s="1"/>
      <c r="B547" s="1"/>
      <c r="C547" s="1"/>
      <c r="D547" s="1"/>
      <c r="E547" s="1"/>
      <c r="F547" s="1173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173"/>
    </row>
    <row r="548" ht="14.25" customHeight="1">
      <c r="A548" s="1"/>
      <c r="B548" s="1"/>
      <c r="C548" s="1"/>
      <c r="D548" s="1"/>
      <c r="E548" s="1"/>
      <c r="F548" s="1173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173"/>
    </row>
    <row r="549" ht="14.25" customHeight="1">
      <c r="A549" s="1"/>
      <c r="B549" s="1"/>
      <c r="C549" s="1"/>
      <c r="D549" s="1"/>
      <c r="E549" s="1"/>
      <c r="F549" s="1173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173"/>
    </row>
    <row r="550" ht="14.25" customHeight="1">
      <c r="A550" s="1"/>
      <c r="B550" s="1"/>
      <c r="C550" s="1"/>
      <c r="D550" s="1"/>
      <c r="E550" s="1"/>
      <c r="F550" s="1173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173"/>
    </row>
    <row r="551" ht="14.25" customHeight="1">
      <c r="A551" s="1"/>
      <c r="B551" s="1"/>
      <c r="C551" s="1"/>
      <c r="D551" s="1"/>
      <c r="E551" s="1"/>
      <c r="F551" s="1173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173"/>
    </row>
    <row r="552" ht="14.25" customHeight="1">
      <c r="A552" s="1"/>
      <c r="B552" s="1"/>
      <c r="C552" s="1"/>
      <c r="D552" s="1"/>
      <c r="E552" s="1"/>
      <c r="F552" s="1173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173"/>
    </row>
    <row r="553" ht="14.25" customHeight="1">
      <c r="A553" s="1"/>
      <c r="B553" s="1"/>
      <c r="C553" s="1"/>
      <c r="D553" s="1"/>
      <c r="E553" s="1"/>
      <c r="F553" s="1173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173"/>
    </row>
    <row r="554" ht="14.25" customHeight="1">
      <c r="A554" s="1"/>
      <c r="B554" s="1"/>
      <c r="C554" s="1"/>
      <c r="D554" s="1"/>
      <c r="E554" s="1"/>
      <c r="F554" s="1173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173"/>
    </row>
    <row r="555" ht="14.25" customHeight="1">
      <c r="A555" s="1"/>
      <c r="B555" s="1"/>
      <c r="C555" s="1"/>
      <c r="D555" s="1"/>
      <c r="E555" s="1"/>
      <c r="F555" s="1173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173"/>
    </row>
    <row r="556" ht="14.25" customHeight="1">
      <c r="A556" s="1"/>
      <c r="B556" s="1"/>
      <c r="C556" s="1"/>
      <c r="D556" s="1"/>
      <c r="E556" s="1"/>
      <c r="F556" s="1173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173"/>
    </row>
    <row r="557" ht="14.25" customHeight="1">
      <c r="A557" s="1"/>
      <c r="B557" s="1"/>
      <c r="C557" s="1"/>
      <c r="D557" s="1"/>
      <c r="E557" s="1"/>
      <c r="F557" s="1173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173"/>
    </row>
    <row r="558" ht="14.25" customHeight="1">
      <c r="A558" s="1"/>
      <c r="B558" s="1"/>
      <c r="C558" s="1"/>
      <c r="D558" s="1"/>
      <c r="E558" s="1"/>
      <c r="F558" s="1173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173"/>
    </row>
    <row r="559" ht="14.25" customHeight="1">
      <c r="A559" s="1"/>
      <c r="B559" s="1"/>
      <c r="C559" s="1"/>
      <c r="D559" s="1"/>
      <c r="E559" s="1"/>
      <c r="F559" s="1173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173"/>
    </row>
    <row r="560" ht="14.25" customHeight="1">
      <c r="A560" s="1"/>
      <c r="B560" s="1"/>
      <c r="C560" s="1"/>
      <c r="D560" s="1"/>
      <c r="E560" s="1"/>
      <c r="F560" s="1173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173"/>
    </row>
    <row r="561" ht="14.25" customHeight="1">
      <c r="A561" s="1"/>
      <c r="B561" s="1"/>
      <c r="C561" s="1"/>
      <c r="D561" s="1"/>
      <c r="E561" s="1"/>
      <c r="F561" s="1173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173"/>
    </row>
    <row r="562" ht="14.25" customHeight="1">
      <c r="A562" s="1"/>
      <c r="B562" s="1"/>
      <c r="C562" s="1"/>
      <c r="D562" s="1"/>
      <c r="E562" s="1"/>
      <c r="F562" s="1173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173"/>
    </row>
    <row r="563" ht="14.25" customHeight="1">
      <c r="A563" s="1"/>
      <c r="B563" s="1"/>
      <c r="C563" s="1"/>
      <c r="D563" s="1"/>
      <c r="E563" s="1"/>
      <c r="F563" s="1173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173"/>
    </row>
    <row r="564" ht="14.25" customHeight="1">
      <c r="A564" s="1"/>
      <c r="B564" s="1"/>
      <c r="C564" s="1"/>
      <c r="D564" s="1"/>
      <c r="E564" s="1"/>
      <c r="F564" s="1173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173"/>
    </row>
    <row r="565" ht="14.25" customHeight="1">
      <c r="A565" s="1"/>
      <c r="B565" s="1"/>
      <c r="C565" s="1"/>
      <c r="D565" s="1"/>
      <c r="E565" s="1"/>
      <c r="F565" s="1173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173"/>
    </row>
    <row r="566" ht="14.25" customHeight="1">
      <c r="A566" s="1"/>
      <c r="B566" s="1"/>
      <c r="C566" s="1"/>
      <c r="D566" s="1"/>
      <c r="E566" s="1"/>
      <c r="F566" s="1173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173"/>
    </row>
    <row r="567" ht="14.25" customHeight="1">
      <c r="A567" s="1"/>
      <c r="B567" s="1"/>
      <c r="C567" s="1"/>
      <c r="D567" s="1"/>
      <c r="E567" s="1"/>
      <c r="F567" s="1173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173"/>
    </row>
    <row r="568" ht="14.25" customHeight="1">
      <c r="A568" s="1"/>
      <c r="B568" s="1"/>
      <c r="C568" s="1"/>
      <c r="D568" s="1"/>
      <c r="E568" s="1"/>
      <c r="F568" s="1173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173"/>
    </row>
    <row r="569" ht="14.25" customHeight="1">
      <c r="A569" s="1"/>
      <c r="B569" s="1"/>
      <c r="C569" s="1"/>
      <c r="D569" s="1"/>
      <c r="E569" s="1"/>
      <c r="F569" s="1173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173"/>
    </row>
    <row r="570" ht="14.25" customHeight="1">
      <c r="A570" s="1"/>
      <c r="B570" s="1"/>
      <c r="C570" s="1"/>
      <c r="D570" s="1"/>
      <c r="E570" s="1"/>
      <c r="F570" s="1173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173"/>
    </row>
    <row r="571" ht="14.25" customHeight="1">
      <c r="A571" s="1"/>
      <c r="B571" s="1"/>
      <c r="C571" s="1"/>
      <c r="D571" s="1"/>
      <c r="E571" s="1"/>
      <c r="F571" s="1173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173"/>
    </row>
    <row r="572" ht="14.25" customHeight="1">
      <c r="A572" s="1"/>
      <c r="B572" s="1"/>
      <c r="C572" s="1"/>
      <c r="D572" s="1"/>
      <c r="E572" s="1"/>
      <c r="F572" s="1173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173"/>
    </row>
    <row r="573" ht="14.25" customHeight="1">
      <c r="A573" s="1"/>
      <c r="B573" s="1"/>
      <c r="C573" s="1"/>
      <c r="D573" s="1"/>
      <c r="E573" s="1"/>
      <c r="F573" s="1173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173"/>
    </row>
    <row r="574" ht="14.25" customHeight="1">
      <c r="A574" s="1"/>
      <c r="B574" s="1"/>
      <c r="C574" s="1"/>
      <c r="D574" s="1"/>
      <c r="E574" s="1"/>
      <c r="F574" s="1173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173"/>
    </row>
    <row r="575" ht="14.25" customHeight="1">
      <c r="A575" s="1"/>
      <c r="B575" s="1"/>
      <c r="C575" s="1"/>
      <c r="D575" s="1"/>
      <c r="E575" s="1"/>
      <c r="F575" s="1173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173"/>
    </row>
    <row r="576" ht="14.25" customHeight="1">
      <c r="A576" s="1"/>
      <c r="B576" s="1"/>
      <c r="C576" s="1"/>
      <c r="D576" s="1"/>
      <c r="E576" s="1"/>
      <c r="F576" s="1173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173"/>
    </row>
    <row r="577" ht="14.25" customHeight="1">
      <c r="A577" s="1"/>
      <c r="B577" s="1"/>
      <c r="C577" s="1"/>
      <c r="D577" s="1"/>
      <c r="E577" s="1"/>
      <c r="F577" s="1173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173"/>
    </row>
    <row r="578" ht="14.25" customHeight="1">
      <c r="A578" s="1"/>
      <c r="B578" s="1"/>
      <c r="C578" s="1"/>
      <c r="D578" s="1"/>
      <c r="E578" s="1"/>
      <c r="F578" s="1173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173"/>
    </row>
    <row r="579" ht="14.25" customHeight="1">
      <c r="A579" s="1"/>
      <c r="B579" s="1"/>
      <c r="C579" s="1"/>
      <c r="D579" s="1"/>
      <c r="E579" s="1"/>
      <c r="F579" s="1173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173"/>
    </row>
    <row r="580" ht="14.25" customHeight="1">
      <c r="A580" s="1"/>
      <c r="B580" s="1"/>
      <c r="C580" s="1"/>
      <c r="D580" s="1"/>
      <c r="E580" s="1"/>
      <c r="F580" s="1173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173"/>
    </row>
    <row r="581" ht="14.25" customHeight="1">
      <c r="A581" s="1"/>
      <c r="B581" s="1"/>
      <c r="C581" s="1"/>
      <c r="D581" s="1"/>
      <c r="E581" s="1"/>
      <c r="F581" s="1173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173"/>
    </row>
    <row r="582" ht="14.25" customHeight="1">
      <c r="A582" s="1"/>
      <c r="B582" s="1"/>
      <c r="C582" s="1"/>
      <c r="D582" s="1"/>
      <c r="E582" s="1"/>
      <c r="F582" s="1173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173"/>
    </row>
    <row r="583" ht="14.25" customHeight="1">
      <c r="A583" s="1"/>
      <c r="B583" s="1"/>
      <c r="C583" s="1"/>
      <c r="D583" s="1"/>
      <c r="E583" s="1"/>
      <c r="F583" s="1173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173"/>
    </row>
    <row r="584" ht="14.25" customHeight="1">
      <c r="A584" s="1"/>
      <c r="B584" s="1"/>
      <c r="C584" s="1"/>
      <c r="D584" s="1"/>
      <c r="E584" s="1"/>
      <c r="F584" s="1173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173"/>
    </row>
    <row r="585" ht="14.25" customHeight="1">
      <c r="A585" s="1"/>
      <c r="B585" s="1"/>
      <c r="C585" s="1"/>
      <c r="D585" s="1"/>
      <c r="E585" s="1"/>
      <c r="F585" s="1173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173"/>
    </row>
    <row r="586" ht="14.25" customHeight="1">
      <c r="A586" s="1"/>
      <c r="B586" s="1"/>
      <c r="C586" s="1"/>
      <c r="D586" s="1"/>
      <c r="E586" s="1"/>
      <c r="F586" s="1173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173"/>
    </row>
    <row r="587" ht="14.25" customHeight="1">
      <c r="A587" s="1"/>
      <c r="B587" s="1"/>
      <c r="C587" s="1"/>
      <c r="D587" s="1"/>
      <c r="E587" s="1"/>
      <c r="F587" s="1173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173"/>
    </row>
    <row r="588" ht="14.25" customHeight="1">
      <c r="A588" s="1"/>
      <c r="B588" s="1"/>
      <c r="C588" s="1"/>
      <c r="D588" s="1"/>
      <c r="E588" s="1"/>
      <c r="F588" s="1173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173"/>
    </row>
    <row r="589" ht="14.25" customHeight="1">
      <c r="A589" s="1"/>
      <c r="B589" s="1"/>
      <c r="C589" s="1"/>
      <c r="D589" s="1"/>
      <c r="E589" s="1"/>
      <c r="F589" s="1173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173"/>
    </row>
    <row r="590" ht="14.25" customHeight="1">
      <c r="A590" s="1"/>
      <c r="B590" s="1"/>
      <c r="C590" s="1"/>
      <c r="D590" s="1"/>
      <c r="E590" s="1"/>
      <c r="F590" s="1173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173"/>
    </row>
    <row r="591" ht="14.25" customHeight="1">
      <c r="A591" s="1"/>
      <c r="B591" s="1"/>
      <c r="C591" s="1"/>
      <c r="D591" s="1"/>
      <c r="E591" s="1"/>
      <c r="F591" s="1173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173"/>
    </row>
    <row r="592" ht="14.25" customHeight="1">
      <c r="A592" s="1"/>
      <c r="B592" s="1"/>
      <c r="C592" s="1"/>
      <c r="D592" s="1"/>
      <c r="E592" s="1"/>
      <c r="F592" s="1173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173"/>
    </row>
    <row r="593" ht="14.25" customHeight="1">
      <c r="A593" s="1"/>
      <c r="B593" s="1"/>
      <c r="C593" s="1"/>
      <c r="D593" s="1"/>
      <c r="E593" s="1"/>
      <c r="F593" s="1173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173"/>
    </row>
    <row r="594" ht="14.25" customHeight="1">
      <c r="A594" s="1"/>
      <c r="B594" s="1"/>
      <c r="C594" s="1"/>
      <c r="D594" s="1"/>
      <c r="E594" s="1"/>
      <c r="F594" s="1173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173"/>
    </row>
    <row r="595" ht="14.25" customHeight="1">
      <c r="A595" s="1"/>
      <c r="B595" s="1"/>
      <c r="C595" s="1"/>
      <c r="D595" s="1"/>
      <c r="E595" s="1"/>
      <c r="F595" s="1173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173"/>
    </row>
    <row r="596" ht="14.25" customHeight="1">
      <c r="A596" s="1"/>
      <c r="B596" s="1"/>
      <c r="C596" s="1"/>
      <c r="D596" s="1"/>
      <c r="E596" s="1"/>
      <c r="F596" s="1173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173"/>
    </row>
    <row r="597" ht="14.25" customHeight="1">
      <c r="A597" s="1"/>
      <c r="B597" s="1"/>
      <c r="C597" s="1"/>
      <c r="D597" s="1"/>
      <c r="E597" s="1"/>
      <c r="F597" s="1173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173"/>
    </row>
    <row r="598" ht="14.25" customHeight="1">
      <c r="A598" s="1"/>
      <c r="B598" s="1"/>
      <c r="C598" s="1"/>
      <c r="D598" s="1"/>
      <c r="E598" s="1"/>
      <c r="F598" s="1173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173"/>
    </row>
    <row r="599" ht="14.25" customHeight="1">
      <c r="A599" s="1"/>
      <c r="B599" s="1"/>
      <c r="C599" s="1"/>
      <c r="D599" s="1"/>
      <c r="E599" s="1"/>
      <c r="F599" s="1173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173"/>
    </row>
    <row r="600" ht="14.25" customHeight="1">
      <c r="A600" s="1"/>
      <c r="B600" s="1"/>
      <c r="C600" s="1"/>
      <c r="D600" s="1"/>
      <c r="E600" s="1"/>
      <c r="F600" s="1173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173"/>
    </row>
    <row r="601" ht="14.25" customHeight="1">
      <c r="A601" s="1"/>
      <c r="B601" s="1"/>
      <c r="C601" s="1"/>
      <c r="D601" s="1"/>
      <c r="E601" s="1"/>
      <c r="F601" s="1173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173"/>
    </row>
    <row r="602" ht="14.25" customHeight="1">
      <c r="A602" s="1"/>
      <c r="B602" s="1"/>
      <c r="C602" s="1"/>
      <c r="D602" s="1"/>
      <c r="E602" s="1"/>
      <c r="F602" s="1173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173"/>
    </row>
    <row r="603" ht="14.25" customHeight="1">
      <c r="A603" s="1"/>
      <c r="B603" s="1"/>
      <c r="C603" s="1"/>
      <c r="D603" s="1"/>
      <c r="E603" s="1"/>
      <c r="F603" s="1173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173"/>
    </row>
    <row r="604" ht="14.25" customHeight="1">
      <c r="A604" s="1"/>
      <c r="B604" s="1"/>
      <c r="C604" s="1"/>
      <c r="D604" s="1"/>
      <c r="E604" s="1"/>
      <c r="F604" s="1173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173"/>
    </row>
    <row r="605" ht="14.25" customHeight="1">
      <c r="A605" s="1"/>
      <c r="B605" s="1"/>
      <c r="C605" s="1"/>
      <c r="D605" s="1"/>
      <c r="E605" s="1"/>
      <c r="F605" s="1173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173"/>
    </row>
    <row r="606" ht="14.25" customHeight="1">
      <c r="A606" s="1"/>
      <c r="B606" s="1"/>
      <c r="C606" s="1"/>
      <c r="D606" s="1"/>
      <c r="E606" s="1"/>
      <c r="F606" s="1173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173"/>
    </row>
    <row r="607" ht="14.25" customHeight="1">
      <c r="A607" s="1"/>
      <c r="B607" s="1"/>
      <c r="C607" s="1"/>
      <c r="D607" s="1"/>
      <c r="E607" s="1"/>
      <c r="F607" s="1173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173"/>
    </row>
    <row r="608" ht="14.25" customHeight="1">
      <c r="A608" s="1"/>
      <c r="B608" s="1"/>
      <c r="C608" s="1"/>
      <c r="D608" s="1"/>
      <c r="E608" s="1"/>
      <c r="F608" s="1173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173"/>
    </row>
    <row r="609" ht="14.25" customHeight="1">
      <c r="A609" s="1"/>
      <c r="B609" s="1"/>
      <c r="C609" s="1"/>
      <c r="D609" s="1"/>
      <c r="E609" s="1"/>
      <c r="F609" s="1173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173"/>
    </row>
    <row r="610" ht="14.25" customHeight="1">
      <c r="A610" s="1"/>
      <c r="B610" s="1"/>
      <c r="C610" s="1"/>
      <c r="D610" s="1"/>
      <c r="E610" s="1"/>
      <c r="F610" s="1173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173"/>
    </row>
    <row r="611" ht="14.25" customHeight="1">
      <c r="A611" s="1"/>
      <c r="B611" s="1"/>
      <c r="C611" s="1"/>
      <c r="D611" s="1"/>
      <c r="E611" s="1"/>
      <c r="F611" s="1173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173"/>
    </row>
    <row r="612" ht="14.25" customHeight="1">
      <c r="A612" s="1"/>
      <c r="B612" s="1"/>
      <c r="C612" s="1"/>
      <c r="D612" s="1"/>
      <c r="E612" s="1"/>
      <c r="F612" s="1173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173"/>
    </row>
    <row r="613" ht="14.25" customHeight="1">
      <c r="A613" s="1"/>
      <c r="B613" s="1"/>
      <c r="C613" s="1"/>
      <c r="D613" s="1"/>
      <c r="E613" s="1"/>
      <c r="F613" s="1173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173"/>
    </row>
    <row r="614" ht="14.25" customHeight="1">
      <c r="A614" s="1"/>
      <c r="B614" s="1"/>
      <c r="C614" s="1"/>
      <c r="D614" s="1"/>
      <c r="E614" s="1"/>
      <c r="F614" s="1173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173"/>
    </row>
    <row r="615" ht="14.25" customHeight="1">
      <c r="A615" s="1"/>
      <c r="B615" s="1"/>
      <c r="C615" s="1"/>
      <c r="D615" s="1"/>
      <c r="E615" s="1"/>
      <c r="F615" s="1173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173"/>
    </row>
    <row r="616" ht="14.25" customHeight="1">
      <c r="A616" s="1"/>
      <c r="B616" s="1"/>
      <c r="C616" s="1"/>
      <c r="D616" s="1"/>
      <c r="E616" s="1"/>
      <c r="F616" s="1173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173"/>
    </row>
    <row r="617" ht="14.25" customHeight="1">
      <c r="A617" s="1"/>
      <c r="B617" s="1"/>
      <c r="C617" s="1"/>
      <c r="D617" s="1"/>
      <c r="E617" s="1"/>
      <c r="F617" s="1173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173"/>
    </row>
    <row r="618" ht="14.25" customHeight="1">
      <c r="A618" s="1"/>
      <c r="B618" s="1"/>
      <c r="C618" s="1"/>
      <c r="D618" s="1"/>
      <c r="E618" s="1"/>
      <c r="F618" s="1173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173"/>
    </row>
    <row r="619" ht="14.25" customHeight="1">
      <c r="A619" s="1"/>
      <c r="B619" s="1"/>
      <c r="C619" s="1"/>
      <c r="D619" s="1"/>
      <c r="E619" s="1"/>
      <c r="F619" s="1173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173"/>
    </row>
    <row r="620" ht="14.25" customHeight="1">
      <c r="A620" s="1"/>
      <c r="B620" s="1"/>
      <c r="C620" s="1"/>
      <c r="D620" s="1"/>
      <c r="E620" s="1"/>
      <c r="F620" s="1173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173"/>
    </row>
    <row r="621" ht="14.25" customHeight="1">
      <c r="A621" s="1"/>
      <c r="B621" s="1"/>
      <c r="C621" s="1"/>
      <c r="D621" s="1"/>
      <c r="E621" s="1"/>
      <c r="F621" s="1173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173"/>
    </row>
    <row r="622" ht="14.25" customHeight="1">
      <c r="A622" s="1"/>
      <c r="B622" s="1"/>
      <c r="C622" s="1"/>
      <c r="D622" s="1"/>
      <c r="E622" s="1"/>
      <c r="F622" s="1173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173"/>
    </row>
    <row r="623" ht="14.25" customHeight="1">
      <c r="A623" s="1"/>
      <c r="B623" s="1"/>
      <c r="C623" s="1"/>
      <c r="D623" s="1"/>
      <c r="E623" s="1"/>
      <c r="F623" s="1173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173"/>
    </row>
    <row r="624" ht="14.25" customHeight="1">
      <c r="A624" s="1"/>
      <c r="B624" s="1"/>
      <c r="C624" s="1"/>
      <c r="D624" s="1"/>
      <c r="E624" s="1"/>
      <c r="F624" s="1173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173"/>
    </row>
    <row r="625" ht="14.25" customHeight="1">
      <c r="A625" s="1"/>
      <c r="B625" s="1"/>
      <c r="C625" s="1"/>
      <c r="D625" s="1"/>
      <c r="E625" s="1"/>
      <c r="F625" s="1173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173"/>
    </row>
    <row r="626" ht="14.25" customHeight="1">
      <c r="A626" s="1"/>
      <c r="B626" s="1"/>
      <c r="C626" s="1"/>
      <c r="D626" s="1"/>
      <c r="E626" s="1"/>
      <c r="F626" s="1173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173"/>
    </row>
    <row r="627" ht="14.25" customHeight="1">
      <c r="A627" s="1"/>
      <c r="B627" s="1"/>
      <c r="C627" s="1"/>
      <c r="D627" s="1"/>
      <c r="E627" s="1"/>
      <c r="F627" s="1173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173"/>
    </row>
    <row r="628" ht="14.25" customHeight="1">
      <c r="A628" s="1"/>
      <c r="B628" s="1"/>
      <c r="C628" s="1"/>
      <c r="D628" s="1"/>
      <c r="E628" s="1"/>
      <c r="F628" s="1173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173"/>
    </row>
    <row r="629" ht="14.25" customHeight="1">
      <c r="A629" s="1"/>
      <c r="B629" s="1"/>
      <c r="C629" s="1"/>
      <c r="D629" s="1"/>
      <c r="E629" s="1"/>
      <c r="F629" s="1173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173"/>
    </row>
    <row r="630" ht="14.25" customHeight="1">
      <c r="A630" s="1"/>
      <c r="B630" s="1"/>
      <c r="C630" s="1"/>
      <c r="D630" s="1"/>
      <c r="E630" s="1"/>
      <c r="F630" s="1173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173"/>
    </row>
    <row r="631" ht="14.25" customHeight="1">
      <c r="A631" s="1"/>
      <c r="B631" s="1"/>
      <c r="C631" s="1"/>
      <c r="D631" s="1"/>
      <c r="E631" s="1"/>
      <c r="F631" s="1173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173"/>
    </row>
    <row r="632" ht="14.25" customHeight="1">
      <c r="A632" s="1"/>
      <c r="B632" s="1"/>
      <c r="C632" s="1"/>
      <c r="D632" s="1"/>
      <c r="E632" s="1"/>
      <c r="F632" s="1173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173"/>
    </row>
    <row r="633" ht="14.25" customHeight="1">
      <c r="A633" s="1"/>
      <c r="B633" s="1"/>
      <c r="C633" s="1"/>
      <c r="D633" s="1"/>
      <c r="E633" s="1"/>
      <c r="F633" s="1173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173"/>
    </row>
    <row r="634" ht="14.25" customHeight="1">
      <c r="A634" s="1"/>
      <c r="B634" s="1"/>
      <c r="C634" s="1"/>
      <c r="D634" s="1"/>
      <c r="E634" s="1"/>
      <c r="F634" s="1173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173"/>
    </row>
    <row r="635" ht="14.25" customHeight="1">
      <c r="A635" s="1"/>
      <c r="B635" s="1"/>
      <c r="C635" s="1"/>
      <c r="D635" s="1"/>
      <c r="E635" s="1"/>
      <c r="F635" s="1173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173"/>
    </row>
    <row r="636" ht="14.25" customHeight="1">
      <c r="A636" s="1"/>
      <c r="B636" s="1"/>
      <c r="C636" s="1"/>
      <c r="D636" s="1"/>
      <c r="E636" s="1"/>
      <c r="F636" s="1173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173"/>
    </row>
    <row r="637" ht="14.25" customHeight="1">
      <c r="A637" s="1"/>
      <c r="B637" s="1"/>
      <c r="C637" s="1"/>
      <c r="D637" s="1"/>
      <c r="E637" s="1"/>
      <c r="F637" s="1173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173"/>
    </row>
    <row r="638" ht="14.25" customHeight="1">
      <c r="A638" s="1"/>
      <c r="B638" s="1"/>
      <c r="C638" s="1"/>
      <c r="D638" s="1"/>
      <c r="E638" s="1"/>
      <c r="F638" s="1173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173"/>
    </row>
    <row r="639" ht="14.25" customHeight="1">
      <c r="A639" s="1"/>
      <c r="B639" s="1"/>
      <c r="C639" s="1"/>
      <c r="D639" s="1"/>
      <c r="E639" s="1"/>
      <c r="F639" s="1173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173"/>
    </row>
    <row r="640" ht="14.25" customHeight="1">
      <c r="A640" s="1"/>
      <c r="B640" s="1"/>
      <c r="C640" s="1"/>
      <c r="D640" s="1"/>
      <c r="E640" s="1"/>
      <c r="F640" s="1173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173"/>
    </row>
    <row r="641" ht="14.25" customHeight="1">
      <c r="A641" s="1"/>
      <c r="B641" s="1"/>
      <c r="C641" s="1"/>
      <c r="D641" s="1"/>
      <c r="E641" s="1"/>
      <c r="F641" s="1173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173"/>
    </row>
    <row r="642" ht="14.25" customHeight="1">
      <c r="A642" s="1"/>
      <c r="B642" s="1"/>
      <c r="C642" s="1"/>
      <c r="D642" s="1"/>
      <c r="E642" s="1"/>
      <c r="F642" s="1173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173"/>
    </row>
    <row r="643" ht="14.25" customHeight="1">
      <c r="A643" s="1"/>
      <c r="B643" s="1"/>
      <c r="C643" s="1"/>
      <c r="D643" s="1"/>
      <c r="E643" s="1"/>
      <c r="F643" s="1173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173"/>
    </row>
    <row r="644" ht="14.25" customHeight="1">
      <c r="A644" s="1"/>
      <c r="B644" s="1"/>
      <c r="C644" s="1"/>
      <c r="D644" s="1"/>
      <c r="E644" s="1"/>
      <c r="F644" s="1173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173"/>
    </row>
    <row r="645" ht="14.25" customHeight="1">
      <c r="A645" s="1"/>
      <c r="B645" s="1"/>
      <c r="C645" s="1"/>
      <c r="D645" s="1"/>
      <c r="E645" s="1"/>
      <c r="F645" s="1173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173"/>
    </row>
    <row r="646" ht="14.25" customHeight="1">
      <c r="A646" s="1"/>
      <c r="B646" s="1"/>
      <c r="C646" s="1"/>
      <c r="D646" s="1"/>
      <c r="E646" s="1"/>
      <c r="F646" s="1173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173"/>
    </row>
    <row r="647" ht="14.25" customHeight="1">
      <c r="A647" s="1"/>
      <c r="B647" s="1"/>
      <c r="C647" s="1"/>
      <c r="D647" s="1"/>
      <c r="E647" s="1"/>
      <c r="F647" s="1173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173"/>
    </row>
    <row r="648" ht="14.25" customHeight="1">
      <c r="A648" s="1"/>
      <c r="B648" s="1"/>
      <c r="C648" s="1"/>
      <c r="D648" s="1"/>
      <c r="E648" s="1"/>
      <c r="F648" s="1173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173"/>
    </row>
    <row r="649" ht="14.25" customHeight="1">
      <c r="A649" s="1"/>
      <c r="B649" s="1"/>
      <c r="C649" s="1"/>
      <c r="D649" s="1"/>
      <c r="E649" s="1"/>
      <c r="F649" s="1173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173"/>
    </row>
    <row r="650" ht="14.25" customHeight="1">
      <c r="A650" s="1"/>
      <c r="B650" s="1"/>
      <c r="C650" s="1"/>
      <c r="D650" s="1"/>
      <c r="E650" s="1"/>
      <c r="F650" s="1173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173"/>
    </row>
    <row r="651" ht="14.25" customHeight="1">
      <c r="A651" s="1"/>
      <c r="B651" s="1"/>
      <c r="C651" s="1"/>
      <c r="D651" s="1"/>
      <c r="E651" s="1"/>
      <c r="F651" s="1173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173"/>
    </row>
    <row r="652" ht="14.25" customHeight="1">
      <c r="A652" s="1"/>
      <c r="B652" s="1"/>
      <c r="C652" s="1"/>
      <c r="D652" s="1"/>
      <c r="E652" s="1"/>
      <c r="F652" s="1173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173"/>
    </row>
    <row r="653" ht="14.25" customHeight="1">
      <c r="A653" s="1"/>
      <c r="B653" s="1"/>
      <c r="C653" s="1"/>
      <c r="D653" s="1"/>
      <c r="E653" s="1"/>
      <c r="F653" s="1173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173"/>
    </row>
    <row r="654" ht="14.25" customHeight="1">
      <c r="A654" s="1"/>
      <c r="B654" s="1"/>
      <c r="C654" s="1"/>
      <c r="D654" s="1"/>
      <c r="E654" s="1"/>
      <c r="F654" s="1173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173"/>
    </row>
    <row r="655" ht="14.25" customHeight="1">
      <c r="A655" s="1"/>
      <c r="B655" s="1"/>
      <c r="C655" s="1"/>
      <c r="D655" s="1"/>
      <c r="E655" s="1"/>
      <c r="F655" s="1173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173"/>
    </row>
    <row r="656" ht="14.25" customHeight="1">
      <c r="A656" s="1"/>
      <c r="B656" s="1"/>
      <c r="C656" s="1"/>
      <c r="D656" s="1"/>
      <c r="E656" s="1"/>
      <c r="F656" s="1173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173"/>
    </row>
    <row r="657" ht="14.25" customHeight="1">
      <c r="A657" s="1"/>
      <c r="B657" s="1"/>
      <c r="C657" s="1"/>
      <c r="D657" s="1"/>
      <c r="E657" s="1"/>
      <c r="F657" s="1173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173"/>
    </row>
    <row r="658" ht="14.25" customHeight="1">
      <c r="A658" s="1"/>
      <c r="B658" s="1"/>
      <c r="C658" s="1"/>
      <c r="D658" s="1"/>
      <c r="E658" s="1"/>
      <c r="F658" s="1173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173"/>
    </row>
    <row r="659" ht="14.25" customHeight="1">
      <c r="A659" s="1"/>
      <c r="B659" s="1"/>
      <c r="C659" s="1"/>
      <c r="D659" s="1"/>
      <c r="E659" s="1"/>
      <c r="F659" s="1173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173"/>
    </row>
    <row r="660" ht="14.25" customHeight="1">
      <c r="A660" s="1"/>
      <c r="B660" s="1"/>
      <c r="C660" s="1"/>
      <c r="D660" s="1"/>
      <c r="E660" s="1"/>
      <c r="F660" s="1173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173"/>
    </row>
    <row r="661" ht="14.25" customHeight="1">
      <c r="A661" s="1"/>
      <c r="B661" s="1"/>
      <c r="C661" s="1"/>
      <c r="D661" s="1"/>
      <c r="E661" s="1"/>
      <c r="F661" s="1173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173"/>
    </row>
    <row r="662" ht="14.25" customHeight="1">
      <c r="A662" s="1"/>
      <c r="B662" s="1"/>
      <c r="C662" s="1"/>
      <c r="D662" s="1"/>
      <c r="E662" s="1"/>
      <c r="F662" s="1173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173"/>
    </row>
    <row r="663" ht="14.25" customHeight="1">
      <c r="A663" s="1"/>
      <c r="B663" s="1"/>
      <c r="C663" s="1"/>
      <c r="D663" s="1"/>
      <c r="E663" s="1"/>
      <c r="F663" s="1173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173"/>
    </row>
    <row r="664" ht="14.25" customHeight="1">
      <c r="A664" s="1"/>
      <c r="B664" s="1"/>
      <c r="C664" s="1"/>
      <c r="D664" s="1"/>
      <c r="E664" s="1"/>
      <c r="F664" s="1173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173"/>
    </row>
    <row r="665" ht="14.25" customHeight="1">
      <c r="A665" s="1"/>
      <c r="B665" s="1"/>
      <c r="C665" s="1"/>
      <c r="D665" s="1"/>
      <c r="E665" s="1"/>
      <c r="F665" s="1173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173"/>
    </row>
    <row r="666" ht="14.25" customHeight="1">
      <c r="A666" s="1"/>
      <c r="B666" s="1"/>
      <c r="C666" s="1"/>
      <c r="D666" s="1"/>
      <c r="E666" s="1"/>
      <c r="F666" s="1173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173"/>
    </row>
    <row r="667" ht="14.25" customHeight="1">
      <c r="A667" s="1"/>
      <c r="B667" s="1"/>
      <c r="C667" s="1"/>
      <c r="D667" s="1"/>
      <c r="E667" s="1"/>
      <c r="F667" s="1173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173"/>
    </row>
    <row r="668" ht="14.25" customHeight="1">
      <c r="A668" s="1"/>
      <c r="B668" s="1"/>
      <c r="C668" s="1"/>
      <c r="D668" s="1"/>
      <c r="E668" s="1"/>
      <c r="F668" s="1173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173"/>
    </row>
    <row r="669" ht="14.25" customHeight="1">
      <c r="A669" s="1"/>
      <c r="B669" s="1"/>
      <c r="C669" s="1"/>
      <c r="D669" s="1"/>
      <c r="E669" s="1"/>
      <c r="F669" s="1173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173"/>
    </row>
    <row r="670" ht="14.25" customHeight="1">
      <c r="A670" s="1"/>
      <c r="B670" s="1"/>
      <c r="C670" s="1"/>
      <c r="D670" s="1"/>
      <c r="E670" s="1"/>
      <c r="F670" s="1173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173"/>
    </row>
    <row r="671" ht="14.25" customHeight="1">
      <c r="A671" s="1"/>
      <c r="B671" s="1"/>
      <c r="C671" s="1"/>
      <c r="D671" s="1"/>
      <c r="E671" s="1"/>
      <c r="F671" s="1173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173"/>
    </row>
    <row r="672" ht="14.25" customHeight="1">
      <c r="A672" s="1"/>
      <c r="B672" s="1"/>
      <c r="C672" s="1"/>
      <c r="D672" s="1"/>
      <c r="E672" s="1"/>
      <c r="F672" s="1173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173"/>
    </row>
    <row r="673" ht="14.25" customHeight="1">
      <c r="A673" s="1"/>
      <c r="B673" s="1"/>
      <c r="C673" s="1"/>
      <c r="D673" s="1"/>
      <c r="E673" s="1"/>
      <c r="F673" s="1173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173"/>
    </row>
    <row r="674" ht="14.25" customHeight="1">
      <c r="A674" s="1"/>
      <c r="B674" s="1"/>
      <c r="C674" s="1"/>
      <c r="D674" s="1"/>
      <c r="E674" s="1"/>
      <c r="F674" s="1173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173"/>
    </row>
    <row r="675" ht="14.25" customHeight="1">
      <c r="A675" s="1"/>
      <c r="B675" s="1"/>
      <c r="C675" s="1"/>
      <c r="D675" s="1"/>
      <c r="E675" s="1"/>
      <c r="F675" s="1173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173"/>
    </row>
    <row r="676" ht="14.25" customHeight="1">
      <c r="A676" s="1"/>
      <c r="B676" s="1"/>
      <c r="C676" s="1"/>
      <c r="D676" s="1"/>
      <c r="E676" s="1"/>
      <c r="F676" s="1173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173"/>
    </row>
    <row r="677" ht="14.25" customHeight="1">
      <c r="A677" s="1"/>
      <c r="B677" s="1"/>
      <c r="C677" s="1"/>
      <c r="D677" s="1"/>
      <c r="E677" s="1"/>
      <c r="F677" s="1173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173"/>
    </row>
    <row r="678" ht="14.25" customHeight="1">
      <c r="A678" s="1"/>
      <c r="B678" s="1"/>
      <c r="C678" s="1"/>
      <c r="D678" s="1"/>
      <c r="E678" s="1"/>
      <c r="F678" s="1173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173"/>
    </row>
    <row r="679" ht="14.25" customHeight="1">
      <c r="A679" s="1"/>
      <c r="B679" s="1"/>
      <c r="C679" s="1"/>
      <c r="D679" s="1"/>
      <c r="E679" s="1"/>
      <c r="F679" s="1173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173"/>
    </row>
    <row r="680" ht="14.25" customHeight="1">
      <c r="A680" s="1"/>
      <c r="B680" s="1"/>
      <c r="C680" s="1"/>
      <c r="D680" s="1"/>
      <c r="E680" s="1"/>
      <c r="F680" s="1173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173"/>
    </row>
    <row r="681" ht="14.25" customHeight="1">
      <c r="A681" s="1"/>
      <c r="B681" s="1"/>
      <c r="C681" s="1"/>
      <c r="D681" s="1"/>
      <c r="E681" s="1"/>
      <c r="F681" s="1173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173"/>
    </row>
    <row r="682" ht="14.25" customHeight="1">
      <c r="A682" s="1"/>
      <c r="B682" s="1"/>
      <c r="C682" s="1"/>
      <c r="D682" s="1"/>
      <c r="E682" s="1"/>
      <c r="F682" s="1173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173"/>
    </row>
    <row r="683" ht="14.25" customHeight="1">
      <c r="A683" s="1"/>
      <c r="B683" s="1"/>
      <c r="C683" s="1"/>
      <c r="D683" s="1"/>
      <c r="E683" s="1"/>
      <c r="F683" s="1173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173"/>
    </row>
    <row r="684" ht="14.25" customHeight="1">
      <c r="A684" s="1"/>
      <c r="B684" s="1"/>
      <c r="C684" s="1"/>
      <c r="D684" s="1"/>
      <c r="E684" s="1"/>
      <c r="F684" s="1173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173"/>
    </row>
    <row r="685" ht="14.25" customHeight="1">
      <c r="A685" s="1"/>
      <c r="B685" s="1"/>
      <c r="C685" s="1"/>
      <c r="D685" s="1"/>
      <c r="E685" s="1"/>
      <c r="F685" s="1173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173"/>
    </row>
    <row r="686" ht="14.25" customHeight="1">
      <c r="A686" s="1"/>
      <c r="B686" s="1"/>
      <c r="C686" s="1"/>
      <c r="D686" s="1"/>
      <c r="E686" s="1"/>
      <c r="F686" s="1173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173"/>
    </row>
    <row r="687" ht="14.25" customHeight="1">
      <c r="A687" s="1"/>
      <c r="B687" s="1"/>
      <c r="C687" s="1"/>
      <c r="D687" s="1"/>
      <c r="E687" s="1"/>
      <c r="F687" s="1173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173"/>
    </row>
    <row r="688" ht="14.25" customHeight="1">
      <c r="A688" s="1"/>
      <c r="B688" s="1"/>
      <c r="C688" s="1"/>
      <c r="D688" s="1"/>
      <c r="E688" s="1"/>
      <c r="F688" s="1173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173"/>
    </row>
    <row r="689" ht="14.25" customHeight="1">
      <c r="A689" s="1"/>
      <c r="B689" s="1"/>
      <c r="C689" s="1"/>
      <c r="D689" s="1"/>
      <c r="E689" s="1"/>
      <c r="F689" s="1173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173"/>
    </row>
    <row r="690" ht="14.25" customHeight="1">
      <c r="A690" s="1"/>
      <c r="B690" s="1"/>
      <c r="C690" s="1"/>
      <c r="D690" s="1"/>
      <c r="E690" s="1"/>
      <c r="F690" s="1173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173"/>
    </row>
    <row r="691" ht="14.25" customHeight="1">
      <c r="A691" s="1"/>
      <c r="B691" s="1"/>
      <c r="C691" s="1"/>
      <c r="D691" s="1"/>
      <c r="E691" s="1"/>
      <c r="F691" s="1173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173"/>
    </row>
    <row r="692" ht="14.25" customHeight="1">
      <c r="A692" s="1"/>
      <c r="B692" s="1"/>
      <c r="C692" s="1"/>
      <c r="D692" s="1"/>
      <c r="E692" s="1"/>
      <c r="F692" s="1173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173"/>
    </row>
    <row r="693" ht="14.25" customHeight="1">
      <c r="A693" s="1"/>
      <c r="B693" s="1"/>
      <c r="C693" s="1"/>
      <c r="D693" s="1"/>
      <c r="E693" s="1"/>
      <c r="F693" s="1173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173"/>
    </row>
    <row r="694" ht="14.25" customHeight="1">
      <c r="A694" s="1"/>
      <c r="B694" s="1"/>
      <c r="C694" s="1"/>
      <c r="D694" s="1"/>
      <c r="E694" s="1"/>
      <c r="F694" s="1173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173"/>
    </row>
    <row r="695" ht="14.25" customHeight="1">
      <c r="A695" s="1"/>
      <c r="B695" s="1"/>
      <c r="C695" s="1"/>
      <c r="D695" s="1"/>
      <c r="E695" s="1"/>
      <c r="F695" s="1173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173"/>
    </row>
    <row r="696" ht="14.25" customHeight="1">
      <c r="A696" s="1"/>
      <c r="B696" s="1"/>
      <c r="C696" s="1"/>
      <c r="D696" s="1"/>
      <c r="E696" s="1"/>
      <c r="F696" s="1173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173"/>
    </row>
    <row r="697" ht="14.25" customHeight="1">
      <c r="A697" s="1"/>
      <c r="B697" s="1"/>
      <c r="C697" s="1"/>
      <c r="D697" s="1"/>
      <c r="E697" s="1"/>
      <c r="F697" s="1173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173"/>
    </row>
    <row r="698" ht="14.25" customHeight="1">
      <c r="A698" s="1"/>
      <c r="B698" s="1"/>
      <c r="C698" s="1"/>
      <c r="D698" s="1"/>
      <c r="E698" s="1"/>
      <c r="F698" s="1173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173"/>
    </row>
    <row r="699" ht="14.25" customHeight="1">
      <c r="A699" s="1"/>
      <c r="B699" s="1"/>
      <c r="C699" s="1"/>
      <c r="D699" s="1"/>
      <c r="E699" s="1"/>
      <c r="F699" s="1173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173"/>
    </row>
    <row r="700" ht="14.25" customHeight="1">
      <c r="A700" s="1"/>
      <c r="B700" s="1"/>
      <c r="C700" s="1"/>
      <c r="D700" s="1"/>
      <c r="E700" s="1"/>
      <c r="F700" s="1173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173"/>
    </row>
    <row r="701" ht="14.25" customHeight="1">
      <c r="A701" s="1"/>
      <c r="B701" s="1"/>
      <c r="C701" s="1"/>
      <c r="D701" s="1"/>
      <c r="E701" s="1"/>
      <c r="F701" s="1173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173"/>
    </row>
    <row r="702" ht="14.25" customHeight="1">
      <c r="A702" s="1"/>
      <c r="B702" s="1"/>
      <c r="C702" s="1"/>
      <c r="D702" s="1"/>
      <c r="E702" s="1"/>
      <c r="F702" s="1173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173"/>
    </row>
    <row r="703" ht="14.25" customHeight="1">
      <c r="A703" s="1"/>
      <c r="B703" s="1"/>
      <c r="C703" s="1"/>
      <c r="D703" s="1"/>
      <c r="E703" s="1"/>
      <c r="F703" s="1173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173"/>
    </row>
    <row r="704" ht="14.25" customHeight="1">
      <c r="A704" s="1"/>
      <c r="B704" s="1"/>
      <c r="C704" s="1"/>
      <c r="D704" s="1"/>
      <c r="E704" s="1"/>
      <c r="F704" s="1173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173"/>
    </row>
    <row r="705" ht="14.25" customHeight="1">
      <c r="A705" s="1"/>
      <c r="B705" s="1"/>
      <c r="C705" s="1"/>
      <c r="D705" s="1"/>
      <c r="E705" s="1"/>
      <c r="F705" s="1173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173"/>
    </row>
    <row r="706" ht="14.25" customHeight="1">
      <c r="A706" s="1"/>
      <c r="B706" s="1"/>
      <c r="C706" s="1"/>
      <c r="D706" s="1"/>
      <c r="E706" s="1"/>
      <c r="F706" s="1173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173"/>
    </row>
    <row r="707" ht="14.25" customHeight="1">
      <c r="A707" s="1"/>
      <c r="B707" s="1"/>
      <c r="C707" s="1"/>
      <c r="D707" s="1"/>
      <c r="E707" s="1"/>
      <c r="F707" s="1173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173"/>
    </row>
    <row r="708" ht="14.25" customHeight="1">
      <c r="A708" s="1"/>
      <c r="B708" s="1"/>
      <c r="C708" s="1"/>
      <c r="D708" s="1"/>
      <c r="E708" s="1"/>
      <c r="F708" s="1173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173"/>
    </row>
    <row r="709" ht="14.25" customHeight="1">
      <c r="A709" s="1"/>
      <c r="B709" s="1"/>
      <c r="C709" s="1"/>
      <c r="D709" s="1"/>
      <c r="E709" s="1"/>
      <c r="F709" s="1173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173"/>
    </row>
    <row r="710" ht="14.25" customHeight="1">
      <c r="A710" s="1"/>
      <c r="B710" s="1"/>
      <c r="C710" s="1"/>
      <c r="D710" s="1"/>
      <c r="E710" s="1"/>
      <c r="F710" s="1173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173"/>
    </row>
    <row r="711" ht="14.25" customHeight="1">
      <c r="A711" s="1"/>
      <c r="B711" s="1"/>
      <c r="C711" s="1"/>
      <c r="D711" s="1"/>
      <c r="E711" s="1"/>
      <c r="F711" s="1173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173"/>
    </row>
    <row r="712" ht="14.25" customHeight="1">
      <c r="A712" s="1"/>
      <c r="B712" s="1"/>
      <c r="C712" s="1"/>
      <c r="D712" s="1"/>
      <c r="E712" s="1"/>
      <c r="F712" s="1173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173"/>
    </row>
    <row r="713" ht="14.25" customHeight="1">
      <c r="A713" s="1"/>
      <c r="B713" s="1"/>
      <c r="C713" s="1"/>
      <c r="D713" s="1"/>
      <c r="E713" s="1"/>
      <c r="F713" s="1173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173"/>
    </row>
    <row r="714" ht="14.25" customHeight="1">
      <c r="A714" s="1"/>
      <c r="B714" s="1"/>
      <c r="C714" s="1"/>
      <c r="D714" s="1"/>
      <c r="E714" s="1"/>
      <c r="F714" s="1173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173"/>
    </row>
    <row r="715" ht="14.25" customHeight="1">
      <c r="A715" s="1"/>
      <c r="B715" s="1"/>
      <c r="C715" s="1"/>
      <c r="D715" s="1"/>
      <c r="E715" s="1"/>
      <c r="F715" s="1173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173"/>
    </row>
    <row r="716" ht="14.25" customHeight="1">
      <c r="A716" s="1"/>
      <c r="B716" s="1"/>
      <c r="C716" s="1"/>
      <c r="D716" s="1"/>
      <c r="E716" s="1"/>
      <c r="F716" s="1173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173"/>
    </row>
    <row r="717" ht="14.25" customHeight="1">
      <c r="A717" s="1"/>
      <c r="B717" s="1"/>
      <c r="C717" s="1"/>
      <c r="D717" s="1"/>
      <c r="E717" s="1"/>
      <c r="F717" s="1173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173"/>
    </row>
    <row r="718" ht="14.25" customHeight="1">
      <c r="A718" s="1"/>
      <c r="B718" s="1"/>
      <c r="C718" s="1"/>
      <c r="D718" s="1"/>
      <c r="E718" s="1"/>
      <c r="F718" s="1173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173"/>
    </row>
    <row r="719" ht="14.25" customHeight="1">
      <c r="A719" s="1"/>
      <c r="B719" s="1"/>
      <c r="C719" s="1"/>
      <c r="D719" s="1"/>
      <c r="E719" s="1"/>
      <c r="F719" s="1173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173"/>
    </row>
    <row r="720" ht="14.25" customHeight="1">
      <c r="A720" s="1"/>
      <c r="B720" s="1"/>
      <c r="C720" s="1"/>
      <c r="D720" s="1"/>
      <c r="E720" s="1"/>
      <c r="F720" s="1173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173"/>
    </row>
    <row r="721" ht="14.25" customHeight="1">
      <c r="A721" s="1"/>
      <c r="B721" s="1"/>
      <c r="C721" s="1"/>
      <c r="D721" s="1"/>
      <c r="E721" s="1"/>
      <c r="F721" s="1173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173"/>
    </row>
    <row r="722" ht="14.25" customHeight="1">
      <c r="A722" s="1"/>
      <c r="B722" s="1"/>
      <c r="C722" s="1"/>
      <c r="D722" s="1"/>
      <c r="E722" s="1"/>
      <c r="F722" s="1173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173"/>
    </row>
    <row r="723" ht="14.25" customHeight="1">
      <c r="A723" s="1"/>
      <c r="B723" s="1"/>
      <c r="C723" s="1"/>
      <c r="D723" s="1"/>
      <c r="E723" s="1"/>
      <c r="F723" s="1173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173"/>
    </row>
    <row r="724" ht="14.25" customHeight="1">
      <c r="A724" s="1"/>
      <c r="B724" s="1"/>
      <c r="C724" s="1"/>
      <c r="D724" s="1"/>
      <c r="E724" s="1"/>
      <c r="F724" s="1173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173"/>
    </row>
    <row r="725" ht="14.25" customHeight="1">
      <c r="A725" s="1"/>
      <c r="B725" s="1"/>
      <c r="C725" s="1"/>
      <c r="D725" s="1"/>
      <c r="E725" s="1"/>
      <c r="F725" s="1173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173"/>
    </row>
    <row r="726" ht="14.25" customHeight="1">
      <c r="A726" s="1"/>
      <c r="B726" s="1"/>
      <c r="C726" s="1"/>
      <c r="D726" s="1"/>
      <c r="E726" s="1"/>
      <c r="F726" s="1173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173"/>
    </row>
    <row r="727" ht="14.25" customHeight="1">
      <c r="A727" s="1"/>
      <c r="B727" s="1"/>
      <c r="C727" s="1"/>
      <c r="D727" s="1"/>
      <c r="E727" s="1"/>
      <c r="F727" s="1173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173"/>
    </row>
    <row r="728" ht="14.25" customHeight="1">
      <c r="A728" s="1"/>
      <c r="B728" s="1"/>
      <c r="C728" s="1"/>
      <c r="D728" s="1"/>
      <c r="E728" s="1"/>
      <c r="F728" s="1173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173"/>
    </row>
    <row r="729" ht="14.25" customHeight="1">
      <c r="A729" s="1"/>
      <c r="B729" s="1"/>
      <c r="C729" s="1"/>
      <c r="D729" s="1"/>
      <c r="E729" s="1"/>
      <c r="F729" s="1173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173"/>
    </row>
    <row r="730" ht="14.25" customHeight="1">
      <c r="A730" s="1"/>
      <c r="B730" s="1"/>
      <c r="C730" s="1"/>
      <c r="D730" s="1"/>
      <c r="E730" s="1"/>
      <c r="F730" s="1173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173"/>
    </row>
    <row r="731" ht="14.25" customHeight="1">
      <c r="A731" s="1"/>
      <c r="B731" s="1"/>
      <c r="C731" s="1"/>
      <c r="D731" s="1"/>
      <c r="E731" s="1"/>
      <c r="F731" s="1173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173"/>
    </row>
    <row r="732" ht="14.25" customHeight="1">
      <c r="A732" s="1"/>
      <c r="B732" s="1"/>
      <c r="C732" s="1"/>
      <c r="D732" s="1"/>
      <c r="E732" s="1"/>
      <c r="F732" s="1173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173"/>
    </row>
    <row r="733" ht="14.25" customHeight="1">
      <c r="A733" s="1"/>
      <c r="B733" s="1"/>
      <c r="C733" s="1"/>
      <c r="D733" s="1"/>
      <c r="E733" s="1"/>
      <c r="F733" s="1173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173"/>
    </row>
    <row r="734" ht="14.25" customHeight="1">
      <c r="A734" s="1"/>
      <c r="B734" s="1"/>
      <c r="C734" s="1"/>
      <c r="D734" s="1"/>
      <c r="E734" s="1"/>
      <c r="F734" s="1173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173"/>
    </row>
    <row r="735" ht="14.25" customHeight="1">
      <c r="A735" s="1"/>
      <c r="B735" s="1"/>
      <c r="C735" s="1"/>
      <c r="D735" s="1"/>
      <c r="E735" s="1"/>
      <c r="F735" s="1173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173"/>
    </row>
    <row r="736" ht="14.25" customHeight="1">
      <c r="A736" s="1"/>
      <c r="B736" s="1"/>
      <c r="C736" s="1"/>
      <c r="D736" s="1"/>
      <c r="E736" s="1"/>
      <c r="F736" s="1173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173"/>
    </row>
    <row r="737" ht="14.25" customHeight="1">
      <c r="A737" s="1"/>
      <c r="B737" s="1"/>
      <c r="C737" s="1"/>
      <c r="D737" s="1"/>
      <c r="E737" s="1"/>
      <c r="F737" s="1173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173"/>
    </row>
    <row r="738" ht="14.25" customHeight="1">
      <c r="A738" s="1"/>
      <c r="B738" s="1"/>
      <c r="C738" s="1"/>
      <c r="D738" s="1"/>
      <c r="E738" s="1"/>
      <c r="F738" s="1173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173"/>
    </row>
    <row r="739" ht="14.25" customHeight="1">
      <c r="A739" s="1"/>
      <c r="B739" s="1"/>
      <c r="C739" s="1"/>
      <c r="D739" s="1"/>
      <c r="E739" s="1"/>
      <c r="F739" s="1173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173"/>
    </row>
    <row r="740" ht="14.25" customHeight="1">
      <c r="A740" s="1"/>
      <c r="B740" s="1"/>
      <c r="C740" s="1"/>
      <c r="D740" s="1"/>
      <c r="E740" s="1"/>
      <c r="F740" s="1173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173"/>
    </row>
    <row r="741" ht="14.25" customHeight="1">
      <c r="A741" s="1"/>
      <c r="B741" s="1"/>
      <c r="C741" s="1"/>
      <c r="D741" s="1"/>
      <c r="E741" s="1"/>
      <c r="F741" s="1173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173"/>
    </row>
    <row r="742" ht="14.25" customHeight="1">
      <c r="A742" s="1"/>
      <c r="B742" s="1"/>
      <c r="C742" s="1"/>
      <c r="D742" s="1"/>
      <c r="E742" s="1"/>
      <c r="F742" s="1173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173"/>
    </row>
    <row r="743" ht="14.25" customHeight="1">
      <c r="A743" s="1"/>
      <c r="B743" s="1"/>
      <c r="C743" s="1"/>
      <c r="D743" s="1"/>
      <c r="E743" s="1"/>
      <c r="F743" s="1173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173"/>
    </row>
    <row r="744" ht="14.25" customHeight="1">
      <c r="A744" s="1"/>
      <c r="B744" s="1"/>
      <c r="C744" s="1"/>
      <c r="D744" s="1"/>
      <c r="E744" s="1"/>
      <c r="F744" s="1173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173"/>
    </row>
    <row r="745" ht="14.25" customHeight="1">
      <c r="A745" s="1"/>
      <c r="B745" s="1"/>
      <c r="C745" s="1"/>
      <c r="D745" s="1"/>
      <c r="E745" s="1"/>
      <c r="F745" s="1173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173"/>
    </row>
    <row r="746" ht="14.25" customHeight="1">
      <c r="A746" s="1"/>
      <c r="B746" s="1"/>
      <c r="C746" s="1"/>
      <c r="D746" s="1"/>
      <c r="E746" s="1"/>
      <c r="F746" s="1173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173"/>
    </row>
    <row r="747" ht="14.25" customHeight="1">
      <c r="A747" s="1"/>
      <c r="B747" s="1"/>
      <c r="C747" s="1"/>
      <c r="D747" s="1"/>
      <c r="E747" s="1"/>
      <c r="F747" s="1173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173"/>
    </row>
    <row r="748" ht="14.25" customHeight="1">
      <c r="A748" s="1"/>
      <c r="B748" s="1"/>
      <c r="C748" s="1"/>
      <c r="D748" s="1"/>
      <c r="E748" s="1"/>
      <c r="F748" s="1173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173"/>
    </row>
    <row r="749" ht="14.25" customHeight="1">
      <c r="A749" s="1"/>
      <c r="B749" s="1"/>
      <c r="C749" s="1"/>
      <c r="D749" s="1"/>
      <c r="E749" s="1"/>
      <c r="F749" s="1173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173"/>
    </row>
    <row r="750" ht="14.25" customHeight="1">
      <c r="A750" s="1"/>
      <c r="B750" s="1"/>
      <c r="C750" s="1"/>
      <c r="D750" s="1"/>
      <c r="E750" s="1"/>
      <c r="F750" s="1173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173"/>
    </row>
    <row r="751" ht="14.25" customHeight="1">
      <c r="A751" s="1"/>
      <c r="B751" s="1"/>
      <c r="C751" s="1"/>
      <c r="D751" s="1"/>
      <c r="E751" s="1"/>
      <c r="F751" s="1173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173"/>
    </row>
    <row r="752" ht="14.25" customHeight="1">
      <c r="A752" s="1"/>
      <c r="B752" s="1"/>
      <c r="C752" s="1"/>
      <c r="D752" s="1"/>
      <c r="E752" s="1"/>
      <c r="F752" s="1173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173"/>
    </row>
    <row r="753" ht="14.25" customHeight="1">
      <c r="A753" s="1"/>
      <c r="B753" s="1"/>
      <c r="C753" s="1"/>
      <c r="D753" s="1"/>
      <c r="E753" s="1"/>
      <c r="F753" s="1173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173"/>
    </row>
    <row r="754" ht="14.25" customHeight="1">
      <c r="A754" s="1"/>
      <c r="B754" s="1"/>
      <c r="C754" s="1"/>
      <c r="D754" s="1"/>
      <c r="E754" s="1"/>
      <c r="F754" s="1173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173"/>
    </row>
    <row r="755" ht="14.25" customHeight="1">
      <c r="A755" s="1"/>
      <c r="B755" s="1"/>
      <c r="C755" s="1"/>
      <c r="D755" s="1"/>
      <c r="E755" s="1"/>
      <c r="F755" s="1173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173"/>
    </row>
    <row r="756" ht="14.25" customHeight="1">
      <c r="A756" s="1"/>
      <c r="B756" s="1"/>
      <c r="C756" s="1"/>
      <c r="D756" s="1"/>
      <c r="E756" s="1"/>
      <c r="F756" s="1173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173"/>
    </row>
    <row r="757" ht="14.25" customHeight="1">
      <c r="A757" s="1"/>
      <c r="B757" s="1"/>
      <c r="C757" s="1"/>
      <c r="D757" s="1"/>
      <c r="E757" s="1"/>
      <c r="F757" s="1173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173"/>
    </row>
    <row r="758" ht="14.25" customHeight="1">
      <c r="A758" s="1"/>
      <c r="B758" s="1"/>
      <c r="C758" s="1"/>
      <c r="D758" s="1"/>
      <c r="E758" s="1"/>
      <c r="F758" s="1173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173"/>
    </row>
    <row r="759" ht="14.25" customHeight="1">
      <c r="A759" s="1"/>
      <c r="B759" s="1"/>
      <c r="C759" s="1"/>
      <c r="D759" s="1"/>
      <c r="E759" s="1"/>
      <c r="F759" s="1173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173"/>
    </row>
    <row r="760" ht="14.25" customHeight="1">
      <c r="A760" s="1"/>
      <c r="B760" s="1"/>
      <c r="C760" s="1"/>
      <c r="D760" s="1"/>
      <c r="E760" s="1"/>
      <c r="F760" s="1173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173"/>
    </row>
    <row r="761" ht="14.25" customHeight="1">
      <c r="A761" s="1"/>
      <c r="B761" s="1"/>
      <c r="C761" s="1"/>
      <c r="D761" s="1"/>
      <c r="E761" s="1"/>
      <c r="F761" s="1173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173"/>
    </row>
    <row r="762" ht="14.25" customHeight="1">
      <c r="A762" s="1"/>
      <c r="B762" s="1"/>
      <c r="C762" s="1"/>
      <c r="D762" s="1"/>
      <c r="E762" s="1"/>
      <c r="F762" s="1173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173"/>
    </row>
    <row r="763" ht="14.25" customHeight="1">
      <c r="A763" s="1"/>
      <c r="B763" s="1"/>
      <c r="C763" s="1"/>
      <c r="D763" s="1"/>
      <c r="E763" s="1"/>
      <c r="F763" s="1173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173"/>
    </row>
    <row r="764" ht="14.25" customHeight="1">
      <c r="A764" s="1"/>
      <c r="B764" s="1"/>
      <c r="C764" s="1"/>
      <c r="D764" s="1"/>
      <c r="E764" s="1"/>
      <c r="F764" s="1173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173"/>
    </row>
    <row r="765" ht="14.25" customHeight="1">
      <c r="A765" s="1"/>
      <c r="B765" s="1"/>
      <c r="C765" s="1"/>
      <c r="D765" s="1"/>
      <c r="E765" s="1"/>
      <c r="F765" s="1173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173"/>
    </row>
    <row r="766" ht="14.25" customHeight="1">
      <c r="A766" s="1"/>
      <c r="B766" s="1"/>
      <c r="C766" s="1"/>
      <c r="D766" s="1"/>
      <c r="E766" s="1"/>
      <c r="F766" s="1173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173"/>
    </row>
    <row r="767" ht="14.25" customHeight="1">
      <c r="A767" s="1"/>
      <c r="B767" s="1"/>
      <c r="C767" s="1"/>
      <c r="D767" s="1"/>
      <c r="E767" s="1"/>
      <c r="F767" s="1173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173"/>
    </row>
    <row r="768" ht="14.25" customHeight="1">
      <c r="A768" s="1"/>
      <c r="B768" s="1"/>
      <c r="C768" s="1"/>
      <c r="D768" s="1"/>
      <c r="E768" s="1"/>
      <c r="F768" s="1173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173"/>
    </row>
    <row r="769" ht="14.25" customHeight="1">
      <c r="A769" s="1"/>
      <c r="B769" s="1"/>
      <c r="C769" s="1"/>
      <c r="D769" s="1"/>
      <c r="E769" s="1"/>
      <c r="F769" s="1173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173"/>
    </row>
    <row r="770" ht="14.25" customHeight="1">
      <c r="A770" s="1"/>
      <c r="B770" s="1"/>
      <c r="C770" s="1"/>
      <c r="D770" s="1"/>
      <c r="E770" s="1"/>
      <c r="F770" s="1173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173"/>
    </row>
    <row r="771" ht="14.25" customHeight="1">
      <c r="A771" s="1"/>
      <c r="B771" s="1"/>
      <c r="C771" s="1"/>
      <c r="D771" s="1"/>
      <c r="E771" s="1"/>
      <c r="F771" s="1173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173"/>
    </row>
    <row r="772" ht="14.25" customHeight="1">
      <c r="A772" s="1"/>
      <c r="B772" s="1"/>
      <c r="C772" s="1"/>
      <c r="D772" s="1"/>
      <c r="E772" s="1"/>
      <c r="F772" s="1173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173"/>
    </row>
    <row r="773" ht="14.25" customHeight="1">
      <c r="A773" s="1"/>
      <c r="B773" s="1"/>
      <c r="C773" s="1"/>
      <c r="D773" s="1"/>
      <c r="E773" s="1"/>
      <c r="F773" s="1173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173"/>
    </row>
    <row r="774" ht="14.25" customHeight="1">
      <c r="A774" s="1"/>
      <c r="B774" s="1"/>
      <c r="C774" s="1"/>
      <c r="D774" s="1"/>
      <c r="E774" s="1"/>
      <c r="F774" s="1173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173"/>
    </row>
    <row r="775" ht="14.25" customHeight="1">
      <c r="A775" s="1"/>
      <c r="B775" s="1"/>
      <c r="C775" s="1"/>
      <c r="D775" s="1"/>
      <c r="E775" s="1"/>
      <c r="F775" s="1173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173"/>
    </row>
    <row r="776" ht="14.25" customHeight="1">
      <c r="A776" s="1"/>
      <c r="B776" s="1"/>
      <c r="C776" s="1"/>
      <c r="D776" s="1"/>
      <c r="E776" s="1"/>
      <c r="F776" s="1173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173"/>
    </row>
    <row r="777" ht="14.25" customHeight="1">
      <c r="A777" s="1"/>
      <c r="B777" s="1"/>
      <c r="C777" s="1"/>
      <c r="D777" s="1"/>
      <c r="E777" s="1"/>
      <c r="F777" s="1173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173"/>
    </row>
    <row r="778" ht="14.25" customHeight="1">
      <c r="A778" s="1"/>
      <c r="B778" s="1"/>
      <c r="C778" s="1"/>
      <c r="D778" s="1"/>
      <c r="E778" s="1"/>
      <c r="F778" s="1173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173"/>
    </row>
    <row r="779" ht="14.25" customHeight="1">
      <c r="A779" s="1"/>
      <c r="B779" s="1"/>
      <c r="C779" s="1"/>
      <c r="D779" s="1"/>
      <c r="E779" s="1"/>
      <c r="F779" s="1173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173"/>
    </row>
    <row r="780" ht="14.25" customHeight="1">
      <c r="A780" s="1"/>
      <c r="B780" s="1"/>
      <c r="C780" s="1"/>
      <c r="D780" s="1"/>
      <c r="E780" s="1"/>
      <c r="F780" s="1173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173"/>
    </row>
    <row r="781" ht="14.25" customHeight="1">
      <c r="A781" s="1"/>
      <c r="B781" s="1"/>
      <c r="C781" s="1"/>
      <c r="D781" s="1"/>
      <c r="E781" s="1"/>
      <c r="F781" s="1173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173"/>
    </row>
    <row r="782" ht="14.25" customHeight="1">
      <c r="A782" s="1"/>
      <c r="B782" s="1"/>
      <c r="C782" s="1"/>
      <c r="D782" s="1"/>
      <c r="E782" s="1"/>
      <c r="F782" s="1173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173"/>
    </row>
    <row r="783" ht="14.25" customHeight="1">
      <c r="A783" s="1"/>
      <c r="B783" s="1"/>
      <c r="C783" s="1"/>
      <c r="D783" s="1"/>
      <c r="E783" s="1"/>
      <c r="F783" s="1173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173"/>
    </row>
    <row r="784" ht="14.25" customHeight="1">
      <c r="A784" s="1"/>
      <c r="B784" s="1"/>
      <c r="C784" s="1"/>
      <c r="D784" s="1"/>
      <c r="E784" s="1"/>
      <c r="F784" s="1173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173"/>
    </row>
    <row r="785" ht="14.25" customHeight="1">
      <c r="A785" s="1"/>
      <c r="B785" s="1"/>
      <c r="C785" s="1"/>
      <c r="D785" s="1"/>
      <c r="E785" s="1"/>
      <c r="F785" s="1173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173"/>
    </row>
    <row r="786" ht="14.25" customHeight="1">
      <c r="A786" s="1"/>
      <c r="B786" s="1"/>
      <c r="C786" s="1"/>
      <c r="D786" s="1"/>
      <c r="E786" s="1"/>
      <c r="F786" s="1173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173"/>
    </row>
    <row r="787" ht="14.25" customHeight="1">
      <c r="A787" s="1"/>
      <c r="B787" s="1"/>
      <c r="C787" s="1"/>
      <c r="D787" s="1"/>
      <c r="E787" s="1"/>
      <c r="F787" s="1173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173"/>
    </row>
    <row r="788" ht="14.25" customHeight="1">
      <c r="A788" s="1"/>
      <c r="B788" s="1"/>
      <c r="C788" s="1"/>
      <c r="D788" s="1"/>
      <c r="E788" s="1"/>
      <c r="F788" s="1173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173"/>
    </row>
    <row r="789" ht="14.25" customHeight="1">
      <c r="A789" s="1"/>
      <c r="B789" s="1"/>
      <c r="C789" s="1"/>
      <c r="D789" s="1"/>
      <c r="E789" s="1"/>
      <c r="F789" s="1173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173"/>
    </row>
    <row r="790" ht="14.25" customHeight="1">
      <c r="A790" s="1"/>
      <c r="B790" s="1"/>
      <c r="C790" s="1"/>
      <c r="D790" s="1"/>
      <c r="E790" s="1"/>
      <c r="F790" s="1173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173"/>
    </row>
    <row r="791" ht="14.25" customHeight="1">
      <c r="A791" s="1"/>
      <c r="B791" s="1"/>
      <c r="C791" s="1"/>
      <c r="D791" s="1"/>
      <c r="E791" s="1"/>
      <c r="F791" s="1173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173"/>
    </row>
    <row r="792" ht="14.25" customHeight="1">
      <c r="A792" s="1"/>
      <c r="B792" s="1"/>
      <c r="C792" s="1"/>
      <c r="D792" s="1"/>
      <c r="E792" s="1"/>
      <c r="F792" s="1173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173"/>
    </row>
    <row r="793" ht="14.25" customHeight="1">
      <c r="A793" s="1"/>
      <c r="B793" s="1"/>
      <c r="C793" s="1"/>
      <c r="D793" s="1"/>
      <c r="E793" s="1"/>
      <c r="F793" s="1173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173"/>
    </row>
    <row r="794" ht="14.25" customHeight="1">
      <c r="A794" s="1"/>
      <c r="B794" s="1"/>
      <c r="C794" s="1"/>
      <c r="D794" s="1"/>
      <c r="E794" s="1"/>
      <c r="F794" s="1173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173"/>
    </row>
    <row r="795" ht="14.25" customHeight="1">
      <c r="A795" s="1"/>
      <c r="B795" s="1"/>
      <c r="C795" s="1"/>
      <c r="D795" s="1"/>
      <c r="E795" s="1"/>
      <c r="F795" s="1173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173"/>
    </row>
    <row r="796" ht="14.25" customHeight="1">
      <c r="A796" s="1"/>
      <c r="B796" s="1"/>
      <c r="C796" s="1"/>
      <c r="D796" s="1"/>
      <c r="E796" s="1"/>
      <c r="F796" s="1173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173"/>
    </row>
    <row r="797" ht="14.25" customHeight="1">
      <c r="A797" s="1"/>
      <c r="B797" s="1"/>
      <c r="C797" s="1"/>
      <c r="D797" s="1"/>
      <c r="E797" s="1"/>
      <c r="F797" s="1173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173"/>
    </row>
    <row r="798" ht="14.25" customHeight="1">
      <c r="A798" s="1"/>
      <c r="B798" s="1"/>
      <c r="C798" s="1"/>
      <c r="D798" s="1"/>
      <c r="E798" s="1"/>
      <c r="F798" s="1173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173"/>
    </row>
    <row r="799" ht="14.25" customHeight="1">
      <c r="A799" s="1"/>
      <c r="B799" s="1"/>
      <c r="C799" s="1"/>
      <c r="D799" s="1"/>
      <c r="E799" s="1"/>
      <c r="F799" s="1173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173"/>
    </row>
    <row r="800" ht="14.25" customHeight="1">
      <c r="A800" s="1"/>
      <c r="B800" s="1"/>
      <c r="C800" s="1"/>
      <c r="D800" s="1"/>
      <c r="E800" s="1"/>
      <c r="F800" s="1173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173"/>
    </row>
    <row r="801" ht="14.25" customHeight="1">
      <c r="A801" s="1"/>
      <c r="B801" s="1"/>
      <c r="C801" s="1"/>
      <c r="D801" s="1"/>
      <c r="E801" s="1"/>
      <c r="F801" s="1173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173"/>
    </row>
    <row r="802" ht="14.25" customHeight="1">
      <c r="A802" s="1"/>
      <c r="B802" s="1"/>
      <c r="C802" s="1"/>
      <c r="D802" s="1"/>
      <c r="E802" s="1"/>
      <c r="F802" s="1173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173"/>
    </row>
    <row r="803" ht="14.25" customHeight="1">
      <c r="A803" s="1"/>
      <c r="B803" s="1"/>
      <c r="C803" s="1"/>
      <c r="D803" s="1"/>
      <c r="E803" s="1"/>
      <c r="F803" s="1173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173"/>
    </row>
    <row r="804" ht="14.25" customHeight="1">
      <c r="A804" s="1"/>
      <c r="B804" s="1"/>
      <c r="C804" s="1"/>
      <c r="D804" s="1"/>
      <c r="E804" s="1"/>
      <c r="F804" s="1173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173"/>
    </row>
    <row r="805" ht="14.25" customHeight="1">
      <c r="A805" s="1"/>
      <c r="B805" s="1"/>
      <c r="C805" s="1"/>
      <c r="D805" s="1"/>
      <c r="E805" s="1"/>
      <c r="F805" s="1173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173"/>
    </row>
    <row r="806" ht="14.25" customHeight="1">
      <c r="A806" s="1"/>
      <c r="B806" s="1"/>
      <c r="C806" s="1"/>
      <c r="D806" s="1"/>
      <c r="E806" s="1"/>
      <c r="F806" s="1173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173"/>
    </row>
    <row r="807" ht="14.25" customHeight="1">
      <c r="A807" s="1"/>
      <c r="B807" s="1"/>
      <c r="C807" s="1"/>
      <c r="D807" s="1"/>
      <c r="E807" s="1"/>
      <c r="F807" s="1173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173"/>
    </row>
    <row r="808" ht="14.25" customHeight="1">
      <c r="A808" s="1"/>
      <c r="B808" s="1"/>
      <c r="C808" s="1"/>
      <c r="D808" s="1"/>
      <c r="E808" s="1"/>
      <c r="F808" s="1173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173"/>
    </row>
    <row r="809" ht="14.25" customHeight="1">
      <c r="A809" s="1"/>
      <c r="B809" s="1"/>
      <c r="C809" s="1"/>
      <c r="D809" s="1"/>
      <c r="E809" s="1"/>
      <c r="F809" s="1173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173"/>
    </row>
    <row r="810" ht="14.25" customHeight="1">
      <c r="A810" s="1"/>
      <c r="B810" s="1"/>
      <c r="C810" s="1"/>
      <c r="D810" s="1"/>
      <c r="E810" s="1"/>
      <c r="F810" s="1173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173"/>
    </row>
    <row r="811" ht="14.25" customHeight="1">
      <c r="A811" s="1"/>
      <c r="B811" s="1"/>
      <c r="C811" s="1"/>
      <c r="D811" s="1"/>
      <c r="E811" s="1"/>
      <c r="F811" s="1173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173"/>
    </row>
    <row r="812" ht="14.25" customHeight="1">
      <c r="A812" s="1"/>
      <c r="B812" s="1"/>
      <c r="C812" s="1"/>
      <c r="D812" s="1"/>
      <c r="E812" s="1"/>
      <c r="F812" s="1173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173"/>
    </row>
    <row r="813" ht="14.25" customHeight="1">
      <c r="A813" s="1"/>
      <c r="B813" s="1"/>
      <c r="C813" s="1"/>
      <c r="D813" s="1"/>
      <c r="E813" s="1"/>
      <c r="F813" s="1173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173"/>
    </row>
    <row r="814" ht="14.25" customHeight="1">
      <c r="A814" s="1"/>
      <c r="B814" s="1"/>
      <c r="C814" s="1"/>
      <c r="D814" s="1"/>
      <c r="E814" s="1"/>
      <c r="F814" s="1173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173"/>
    </row>
    <row r="815" ht="14.25" customHeight="1">
      <c r="A815" s="1"/>
      <c r="B815" s="1"/>
      <c r="C815" s="1"/>
      <c r="D815" s="1"/>
      <c r="E815" s="1"/>
      <c r="F815" s="1173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173"/>
    </row>
    <row r="816" ht="14.25" customHeight="1">
      <c r="A816" s="1"/>
      <c r="B816" s="1"/>
      <c r="C816" s="1"/>
      <c r="D816" s="1"/>
      <c r="E816" s="1"/>
      <c r="F816" s="1173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173"/>
    </row>
    <row r="817" ht="14.25" customHeight="1">
      <c r="A817" s="1"/>
      <c r="B817" s="1"/>
      <c r="C817" s="1"/>
      <c r="D817" s="1"/>
      <c r="E817" s="1"/>
      <c r="F817" s="1173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173"/>
    </row>
    <row r="818" ht="14.25" customHeight="1">
      <c r="A818" s="1"/>
      <c r="B818" s="1"/>
      <c r="C818" s="1"/>
      <c r="D818" s="1"/>
      <c r="E818" s="1"/>
      <c r="F818" s="1173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173"/>
    </row>
    <row r="819" ht="14.25" customHeight="1">
      <c r="A819" s="1"/>
      <c r="B819" s="1"/>
      <c r="C819" s="1"/>
      <c r="D819" s="1"/>
      <c r="E819" s="1"/>
      <c r="F819" s="1173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173"/>
    </row>
    <row r="820" ht="14.25" customHeight="1">
      <c r="A820" s="1"/>
      <c r="B820" s="1"/>
      <c r="C820" s="1"/>
      <c r="D820" s="1"/>
      <c r="E820" s="1"/>
      <c r="F820" s="1173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173"/>
    </row>
    <row r="821" ht="14.25" customHeight="1">
      <c r="A821" s="1"/>
      <c r="B821" s="1"/>
      <c r="C821" s="1"/>
      <c r="D821" s="1"/>
      <c r="E821" s="1"/>
      <c r="F821" s="1173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173"/>
    </row>
    <row r="822" ht="14.25" customHeight="1">
      <c r="A822" s="1"/>
      <c r="B822" s="1"/>
      <c r="C822" s="1"/>
      <c r="D822" s="1"/>
      <c r="E822" s="1"/>
      <c r="F822" s="1173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173"/>
    </row>
    <row r="823" ht="14.25" customHeight="1">
      <c r="A823" s="1"/>
      <c r="B823" s="1"/>
      <c r="C823" s="1"/>
      <c r="D823" s="1"/>
      <c r="E823" s="1"/>
      <c r="F823" s="1173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173"/>
    </row>
    <row r="824" ht="14.25" customHeight="1">
      <c r="A824" s="1"/>
      <c r="B824" s="1"/>
      <c r="C824" s="1"/>
      <c r="D824" s="1"/>
      <c r="E824" s="1"/>
      <c r="F824" s="1173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173"/>
    </row>
    <row r="825" ht="14.25" customHeight="1">
      <c r="A825" s="1"/>
      <c r="B825" s="1"/>
      <c r="C825" s="1"/>
      <c r="D825" s="1"/>
      <c r="E825" s="1"/>
      <c r="F825" s="1173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173"/>
    </row>
    <row r="826" ht="14.25" customHeight="1">
      <c r="A826" s="1"/>
      <c r="B826" s="1"/>
      <c r="C826" s="1"/>
      <c r="D826" s="1"/>
      <c r="E826" s="1"/>
      <c r="F826" s="1173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173"/>
    </row>
    <row r="827" ht="14.25" customHeight="1">
      <c r="A827" s="1"/>
      <c r="B827" s="1"/>
      <c r="C827" s="1"/>
      <c r="D827" s="1"/>
      <c r="E827" s="1"/>
      <c r="F827" s="1173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173"/>
    </row>
    <row r="828" ht="14.25" customHeight="1">
      <c r="A828" s="1"/>
      <c r="B828" s="1"/>
      <c r="C828" s="1"/>
      <c r="D828" s="1"/>
      <c r="E828" s="1"/>
      <c r="F828" s="1173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173"/>
    </row>
    <row r="829" ht="14.25" customHeight="1">
      <c r="A829" s="1"/>
      <c r="B829" s="1"/>
      <c r="C829" s="1"/>
      <c r="D829" s="1"/>
      <c r="E829" s="1"/>
      <c r="F829" s="1173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173"/>
    </row>
    <row r="830" ht="14.25" customHeight="1">
      <c r="A830" s="1"/>
      <c r="B830" s="1"/>
      <c r="C830" s="1"/>
      <c r="D830" s="1"/>
      <c r="E830" s="1"/>
      <c r="F830" s="1173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173"/>
    </row>
    <row r="831" ht="14.25" customHeight="1">
      <c r="A831" s="1"/>
      <c r="B831" s="1"/>
      <c r="C831" s="1"/>
      <c r="D831" s="1"/>
      <c r="E831" s="1"/>
      <c r="F831" s="1173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173"/>
    </row>
    <row r="832" ht="14.25" customHeight="1">
      <c r="A832" s="1"/>
      <c r="B832" s="1"/>
      <c r="C832" s="1"/>
      <c r="D832" s="1"/>
      <c r="E832" s="1"/>
      <c r="F832" s="1173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173"/>
    </row>
    <row r="833" ht="14.25" customHeight="1">
      <c r="A833" s="1"/>
      <c r="B833" s="1"/>
      <c r="C833" s="1"/>
      <c r="D833" s="1"/>
      <c r="E833" s="1"/>
      <c r="F833" s="1173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173"/>
    </row>
    <row r="834" ht="14.25" customHeight="1">
      <c r="A834" s="1"/>
      <c r="B834" s="1"/>
      <c r="C834" s="1"/>
      <c r="D834" s="1"/>
      <c r="E834" s="1"/>
      <c r="F834" s="1173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173"/>
    </row>
    <row r="835" ht="14.25" customHeight="1">
      <c r="A835" s="1"/>
      <c r="B835" s="1"/>
      <c r="C835" s="1"/>
      <c r="D835" s="1"/>
      <c r="E835" s="1"/>
      <c r="F835" s="1173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173"/>
    </row>
    <row r="836" ht="14.25" customHeight="1">
      <c r="A836" s="1"/>
      <c r="B836" s="1"/>
      <c r="C836" s="1"/>
      <c r="D836" s="1"/>
      <c r="E836" s="1"/>
      <c r="F836" s="1173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173"/>
    </row>
    <row r="837" ht="14.25" customHeight="1">
      <c r="A837" s="1"/>
      <c r="B837" s="1"/>
      <c r="C837" s="1"/>
      <c r="D837" s="1"/>
      <c r="E837" s="1"/>
      <c r="F837" s="1173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173"/>
    </row>
    <row r="838" ht="14.25" customHeight="1">
      <c r="A838" s="1"/>
      <c r="B838" s="1"/>
      <c r="C838" s="1"/>
      <c r="D838" s="1"/>
      <c r="E838" s="1"/>
      <c r="F838" s="1173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173"/>
    </row>
    <row r="839" ht="14.25" customHeight="1">
      <c r="A839" s="1"/>
      <c r="B839" s="1"/>
      <c r="C839" s="1"/>
      <c r="D839" s="1"/>
      <c r="E839" s="1"/>
      <c r="F839" s="1173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173"/>
    </row>
    <row r="840" ht="14.25" customHeight="1">
      <c r="A840" s="1"/>
      <c r="B840" s="1"/>
      <c r="C840" s="1"/>
      <c r="D840" s="1"/>
      <c r="E840" s="1"/>
      <c r="F840" s="1173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173"/>
    </row>
    <row r="841" ht="14.25" customHeight="1">
      <c r="A841" s="1"/>
      <c r="B841" s="1"/>
      <c r="C841" s="1"/>
      <c r="D841" s="1"/>
      <c r="E841" s="1"/>
      <c r="F841" s="1173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173"/>
    </row>
    <row r="842" ht="14.25" customHeight="1">
      <c r="A842" s="1"/>
      <c r="B842" s="1"/>
      <c r="C842" s="1"/>
      <c r="D842" s="1"/>
      <c r="E842" s="1"/>
      <c r="F842" s="1173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173"/>
    </row>
    <row r="843" ht="14.25" customHeight="1">
      <c r="A843" s="1"/>
      <c r="B843" s="1"/>
      <c r="C843" s="1"/>
      <c r="D843" s="1"/>
      <c r="E843" s="1"/>
      <c r="F843" s="1173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173"/>
    </row>
    <row r="844" ht="14.25" customHeight="1">
      <c r="A844" s="1"/>
      <c r="B844" s="1"/>
      <c r="C844" s="1"/>
      <c r="D844" s="1"/>
      <c r="E844" s="1"/>
      <c r="F844" s="1173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173"/>
    </row>
    <row r="845" ht="14.25" customHeight="1">
      <c r="A845" s="1"/>
      <c r="B845" s="1"/>
      <c r="C845" s="1"/>
      <c r="D845" s="1"/>
      <c r="E845" s="1"/>
      <c r="F845" s="1173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173"/>
    </row>
    <row r="846" ht="14.25" customHeight="1">
      <c r="A846" s="1"/>
      <c r="B846" s="1"/>
      <c r="C846" s="1"/>
      <c r="D846" s="1"/>
      <c r="E846" s="1"/>
      <c r="F846" s="1173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173"/>
    </row>
    <row r="847" ht="14.25" customHeight="1">
      <c r="A847" s="1"/>
      <c r="B847" s="1"/>
      <c r="C847" s="1"/>
      <c r="D847" s="1"/>
      <c r="E847" s="1"/>
      <c r="F847" s="1173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173"/>
    </row>
    <row r="848" ht="14.25" customHeight="1">
      <c r="A848" s="1"/>
      <c r="B848" s="1"/>
      <c r="C848" s="1"/>
      <c r="D848" s="1"/>
      <c r="E848" s="1"/>
      <c r="F848" s="1173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173"/>
    </row>
    <row r="849" ht="14.25" customHeight="1">
      <c r="A849" s="1"/>
      <c r="B849" s="1"/>
      <c r="C849" s="1"/>
      <c r="D849" s="1"/>
      <c r="E849" s="1"/>
      <c r="F849" s="1173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173"/>
    </row>
    <row r="850" ht="14.25" customHeight="1">
      <c r="A850" s="1"/>
      <c r="B850" s="1"/>
      <c r="C850" s="1"/>
      <c r="D850" s="1"/>
      <c r="E850" s="1"/>
      <c r="F850" s="1173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173"/>
    </row>
    <row r="851" ht="14.25" customHeight="1">
      <c r="A851" s="1"/>
      <c r="B851" s="1"/>
      <c r="C851" s="1"/>
      <c r="D851" s="1"/>
      <c r="E851" s="1"/>
      <c r="F851" s="1173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173"/>
    </row>
    <row r="852" ht="14.25" customHeight="1">
      <c r="A852" s="1"/>
      <c r="B852" s="1"/>
      <c r="C852" s="1"/>
      <c r="D852" s="1"/>
      <c r="E852" s="1"/>
      <c r="F852" s="1173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173"/>
    </row>
    <row r="853" ht="14.25" customHeight="1">
      <c r="A853" s="1"/>
      <c r="B853" s="1"/>
      <c r="C853" s="1"/>
      <c r="D853" s="1"/>
      <c r="E853" s="1"/>
      <c r="F853" s="1173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173"/>
    </row>
    <row r="854" ht="14.25" customHeight="1">
      <c r="A854" s="1"/>
      <c r="B854" s="1"/>
      <c r="C854" s="1"/>
      <c r="D854" s="1"/>
      <c r="E854" s="1"/>
      <c r="F854" s="1173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173"/>
    </row>
    <row r="855" ht="14.25" customHeight="1">
      <c r="A855" s="1"/>
      <c r="B855" s="1"/>
      <c r="C855" s="1"/>
      <c r="D855" s="1"/>
      <c r="E855" s="1"/>
      <c r="F855" s="1173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173"/>
    </row>
    <row r="856" ht="14.25" customHeight="1">
      <c r="A856" s="1"/>
      <c r="B856" s="1"/>
      <c r="C856" s="1"/>
      <c r="D856" s="1"/>
      <c r="E856" s="1"/>
      <c r="F856" s="1173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173"/>
    </row>
    <row r="857" ht="14.25" customHeight="1">
      <c r="A857" s="1"/>
      <c r="B857" s="1"/>
      <c r="C857" s="1"/>
      <c r="D857" s="1"/>
      <c r="E857" s="1"/>
      <c r="F857" s="1173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173"/>
    </row>
    <row r="858" ht="14.25" customHeight="1">
      <c r="A858" s="1"/>
      <c r="B858" s="1"/>
      <c r="C858" s="1"/>
      <c r="D858" s="1"/>
      <c r="E858" s="1"/>
      <c r="F858" s="1173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173"/>
    </row>
    <row r="859" ht="14.25" customHeight="1">
      <c r="A859" s="1"/>
      <c r="B859" s="1"/>
      <c r="C859" s="1"/>
      <c r="D859" s="1"/>
      <c r="E859" s="1"/>
      <c r="F859" s="1173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173"/>
    </row>
    <row r="860" ht="14.25" customHeight="1">
      <c r="A860" s="1"/>
      <c r="B860" s="1"/>
      <c r="C860" s="1"/>
      <c r="D860" s="1"/>
      <c r="E860" s="1"/>
      <c r="F860" s="1173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173"/>
    </row>
    <row r="861" ht="14.25" customHeight="1">
      <c r="A861" s="1"/>
      <c r="B861" s="1"/>
      <c r="C861" s="1"/>
      <c r="D861" s="1"/>
      <c r="E861" s="1"/>
      <c r="F861" s="1173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173"/>
    </row>
    <row r="862" ht="14.25" customHeight="1">
      <c r="A862" s="1"/>
      <c r="B862" s="1"/>
      <c r="C862" s="1"/>
      <c r="D862" s="1"/>
      <c r="E862" s="1"/>
      <c r="F862" s="1173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173"/>
    </row>
    <row r="863" ht="14.25" customHeight="1">
      <c r="A863" s="1"/>
      <c r="B863" s="1"/>
      <c r="C863" s="1"/>
      <c r="D863" s="1"/>
      <c r="E863" s="1"/>
      <c r="F863" s="1173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173"/>
    </row>
    <row r="864" ht="14.25" customHeight="1">
      <c r="A864" s="1"/>
      <c r="B864" s="1"/>
      <c r="C864" s="1"/>
      <c r="D864" s="1"/>
      <c r="E864" s="1"/>
      <c r="F864" s="1173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173"/>
    </row>
    <row r="865" ht="14.25" customHeight="1">
      <c r="A865" s="1"/>
      <c r="B865" s="1"/>
      <c r="C865" s="1"/>
      <c r="D865" s="1"/>
      <c r="E865" s="1"/>
      <c r="F865" s="1173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173"/>
    </row>
    <row r="866" ht="14.25" customHeight="1">
      <c r="A866" s="1"/>
      <c r="B866" s="1"/>
      <c r="C866" s="1"/>
      <c r="D866" s="1"/>
      <c r="E866" s="1"/>
      <c r="F866" s="1173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173"/>
    </row>
    <row r="867" ht="14.25" customHeight="1">
      <c r="A867" s="1"/>
      <c r="B867" s="1"/>
      <c r="C867" s="1"/>
      <c r="D867" s="1"/>
      <c r="E867" s="1"/>
      <c r="F867" s="1173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173"/>
    </row>
    <row r="868" ht="14.25" customHeight="1">
      <c r="A868" s="1"/>
      <c r="B868" s="1"/>
      <c r="C868" s="1"/>
      <c r="D868" s="1"/>
      <c r="E868" s="1"/>
      <c r="F868" s="1173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173"/>
    </row>
    <row r="869" ht="14.25" customHeight="1">
      <c r="A869" s="1"/>
      <c r="B869" s="1"/>
      <c r="C869" s="1"/>
      <c r="D869" s="1"/>
      <c r="E869" s="1"/>
      <c r="F869" s="1173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173"/>
    </row>
    <row r="870" ht="14.25" customHeight="1">
      <c r="A870" s="1"/>
      <c r="B870" s="1"/>
      <c r="C870" s="1"/>
      <c r="D870" s="1"/>
      <c r="E870" s="1"/>
      <c r="F870" s="1173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173"/>
    </row>
    <row r="871" ht="14.25" customHeight="1">
      <c r="A871" s="1"/>
      <c r="B871" s="1"/>
      <c r="C871" s="1"/>
      <c r="D871" s="1"/>
      <c r="E871" s="1"/>
      <c r="F871" s="1173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173"/>
    </row>
    <row r="872" ht="14.25" customHeight="1">
      <c r="A872" s="1"/>
      <c r="B872" s="1"/>
      <c r="C872" s="1"/>
      <c r="D872" s="1"/>
      <c r="E872" s="1"/>
      <c r="F872" s="1173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173"/>
    </row>
    <row r="873" ht="14.25" customHeight="1">
      <c r="A873" s="1"/>
      <c r="B873" s="1"/>
      <c r="C873" s="1"/>
      <c r="D873" s="1"/>
      <c r="E873" s="1"/>
      <c r="F873" s="1173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173"/>
    </row>
    <row r="874" ht="14.25" customHeight="1">
      <c r="A874" s="1"/>
      <c r="B874" s="1"/>
      <c r="C874" s="1"/>
      <c r="D874" s="1"/>
      <c r="E874" s="1"/>
      <c r="F874" s="1173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173"/>
    </row>
    <row r="875" ht="14.25" customHeight="1">
      <c r="A875" s="1"/>
      <c r="B875" s="1"/>
      <c r="C875" s="1"/>
      <c r="D875" s="1"/>
      <c r="E875" s="1"/>
      <c r="F875" s="1173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173"/>
    </row>
    <row r="876" ht="14.25" customHeight="1">
      <c r="A876" s="1"/>
      <c r="B876" s="1"/>
      <c r="C876" s="1"/>
      <c r="D876" s="1"/>
      <c r="E876" s="1"/>
      <c r="F876" s="1173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173"/>
    </row>
    <row r="877" ht="14.25" customHeight="1">
      <c r="A877" s="1"/>
      <c r="B877" s="1"/>
      <c r="C877" s="1"/>
      <c r="D877" s="1"/>
      <c r="E877" s="1"/>
      <c r="F877" s="1173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173"/>
    </row>
    <row r="878" ht="14.25" customHeight="1">
      <c r="A878" s="1"/>
      <c r="B878" s="1"/>
      <c r="C878" s="1"/>
      <c r="D878" s="1"/>
      <c r="E878" s="1"/>
      <c r="F878" s="1173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173"/>
    </row>
    <row r="879" ht="14.25" customHeight="1">
      <c r="A879" s="1"/>
      <c r="B879" s="1"/>
      <c r="C879" s="1"/>
      <c r="D879" s="1"/>
      <c r="E879" s="1"/>
      <c r="F879" s="1173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173"/>
    </row>
    <row r="880" ht="14.25" customHeight="1">
      <c r="A880" s="1"/>
      <c r="B880" s="1"/>
      <c r="C880" s="1"/>
      <c r="D880" s="1"/>
      <c r="E880" s="1"/>
      <c r="F880" s="1173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173"/>
    </row>
    <row r="881" ht="14.25" customHeight="1">
      <c r="A881" s="1"/>
      <c r="B881" s="1"/>
      <c r="C881" s="1"/>
      <c r="D881" s="1"/>
      <c r="E881" s="1"/>
      <c r="F881" s="1173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173"/>
    </row>
    <row r="882" ht="14.25" customHeight="1">
      <c r="A882" s="1"/>
      <c r="B882" s="1"/>
      <c r="C882" s="1"/>
      <c r="D882" s="1"/>
      <c r="E882" s="1"/>
      <c r="F882" s="1173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173"/>
    </row>
    <row r="883" ht="14.25" customHeight="1">
      <c r="A883" s="1"/>
      <c r="B883" s="1"/>
      <c r="C883" s="1"/>
      <c r="D883" s="1"/>
      <c r="E883" s="1"/>
      <c r="F883" s="1173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173"/>
    </row>
    <row r="884" ht="14.25" customHeight="1">
      <c r="A884" s="1"/>
      <c r="B884" s="1"/>
      <c r="C884" s="1"/>
      <c r="D884" s="1"/>
      <c r="E884" s="1"/>
      <c r="F884" s="1173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173"/>
    </row>
    <row r="885" ht="14.25" customHeight="1">
      <c r="A885" s="1"/>
      <c r="B885" s="1"/>
      <c r="C885" s="1"/>
      <c r="D885" s="1"/>
      <c r="E885" s="1"/>
      <c r="F885" s="1173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173"/>
    </row>
    <row r="886" ht="14.25" customHeight="1">
      <c r="A886" s="1"/>
      <c r="B886" s="1"/>
      <c r="C886" s="1"/>
      <c r="D886" s="1"/>
      <c r="E886" s="1"/>
      <c r="F886" s="1173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173"/>
    </row>
    <row r="887" ht="14.25" customHeight="1">
      <c r="A887" s="1"/>
      <c r="B887" s="1"/>
      <c r="C887" s="1"/>
      <c r="D887" s="1"/>
      <c r="E887" s="1"/>
      <c r="F887" s="1173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173"/>
    </row>
    <row r="888" ht="14.25" customHeight="1">
      <c r="A888" s="1"/>
      <c r="B888" s="1"/>
      <c r="C888" s="1"/>
      <c r="D888" s="1"/>
      <c r="E888" s="1"/>
      <c r="F888" s="1173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173"/>
    </row>
    <row r="889" ht="14.25" customHeight="1">
      <c r="A889" s="1"/>
      <c r="B889" s="1"/>
      <c r="C889" s="1"/>
      <c r="D889" s="1"/>
      <c r="E889" s="1"/>
      <c r="F889" s="1173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173"/>
    </row>
    <row r="890" ht="14.25" customHeight="1">
      <c r="A890" s="1"/>
      <c r="B890" s="1"/>
      <c r="C890" s="1"/>
      <c r="D890" s="1"/>
      <c r="E890" s="1"/>
      <c r="F890" s="1173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173"/>
    </row>
    <row r="891" ht="14.25" customHeight="1">
      <c r="A891" s="1"/>
      <c r="B891" s="1"/>
      <c r="C891" s="1"/>
      <c r="D891" s="1"/>
      <c r="E891" s="1"/>
      <c r="F891" s="1173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173"/>
    </row>
    <row r="892" ht="14.25" customHeight="1">
      <c r="A892" s="1"/>
      <c r="B892" s="1"/>
      <c r="C892" s="1"/>
      <c r="D892" s="1"/>
      <c r="E892" s="1"/>
      <c r="F892" s="1173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173"/>
    </row>
    <row r="893" ht="14.25" customHeight="1">
      <c r="A893" s="1"/>
      <c r="B893" s="1"/>
      <c r="C893" s="1"/>
      <c r="D893" s="1"/>
      <c r="E893" s="1"/>
      <c r="F893" s="1173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173"/>
    </row>
    <row r="894" ht="14.25" customHeight="1">
      <c r="A894" s="1"/>
      <c r="B894" s="1"/>
      <c r="C894" s="1"/>
      <c r="D894" s="1"/>
      <c r="E894" s="1"/>
      <c r="F894" s="1173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173"/>
    </row>
    <row r="895" ht="14.25" customHeight="1">
      <c r="A895" s="1"/>
      <c r="B895" s="1"/>
      <c r="C895" s="1"/>
      <c r="D895" s="1"/>
      <c r="E895" s="1"/>
      <c r="F895" s="1173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173"/>
    </row>
    <row r="896" ht="14.25" customHeight="1">
      <c r="A896" s="1"/>
      <c r="B896" s="1"/>
      <c r="C896" s="1"/>
      <c r="D896" s="1"/>
      <c r="E896" s="1"/>
      <c r="F896" s="1173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173"/>
    </row>
    <row r="897" ht="14.25" customHeight="1">
      <c r="A897" s="1"/>
      <c r="B897" s="1"/>
      <c r="C897" s="1"/>
      <c r="D897" s="1"/>
      <c r="E897" s="1"/>
      <c r="F897" s="1173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173"/>
    </row>
    <row r="898" ht="14.25" customHeight="1">
      <c r="A898" s="1"/>
      <c r="B898" s="1"/>
      <c r="C898" s="1"/>
      <c r="D898" s="1"/>
      <c r="E898" s="1"/>
      <c r="F898" s="1173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173"/>
    </row>
    <row r="899" ht="14.25" customHeight="1">
      <c r="A899" s="1"/>
      <c r="B899" s="1"/>
      <c r="C899" s="1"/>
      <c r="D899" s="1"/>
      <c r="E899" s="1"/>
      <c r="F899" s="1173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173"/>
    </row>
    <row r="900" ht="14.25" customHeight="1">
      <c r="A900" s="1"/>
      <c r="B900" s="1"/>
      <c r="C900" s="1"/>
      <c r="D900" s="1"/>
      <c r="E900" s="1"/>
      <c r="F900" s="1173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173"/>
    </row>
    <row r="901" ht="14.25" customHeight="1">
      <c r="A901" s="1"/>
      <c r="B901" s="1"/>
      <c r="C901" s="1"/>
      <c r="D901" s="1"/>
      <c r="E901" s="1"/>
      <c r="F901" s="1173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173"/>
    </row>
    <row r="902" ht="14.25" customHeight="1">
      <c r="A902" s="1"/>
      <c r="B902" s="1"/>
      <c r="C902" s="1"/>
      <c r="D902" s="1"/>
      <c r="E902" s="1"/>
      <c r="F902" s="1173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173"/>
    </row>
    <row r="903" ht="14.25" customHeight="1">
      <c r="A903" s="1"/>
      <c r="B903" s="1"/>
      <c r="C903" s="1"/>
      <c r="D903" s="1"/>
      <c r="E903" s="1"/>
      <c r="F903" s="1173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173"/>
    </row>
    <row r="904" ht="14.25" customHeight="1">
      <c r="A904" s="1"/>
      <c r="B904" s="1"/>
      <c r="C904" s="1"/>
      <c r="D904" s="1"/>
      <c r="E904" s="1"/>
      <c r="F904" s="1173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173"/>
    </row>
    <row r="905" ht="14.25" customHeight="1">
      <c r="A905" s="1"/>
      <c r="B905" s="1"/>
      <c r="C905" s="1"/>
      <c r="D905" s="1"/>
      <c r="E905" s="1"/>
      <c r="F905" s="1173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173"/>
    </row>
    <row r="906" ht="14.25" customHeight="1">
      <c r="A906" s="1"/>
      <c r="B906" s="1"/>
      <c r="C906" s="1"/>
      <c r="D906" s="1"/>
      <c r="E906" s="1"/>
      <c r="F906" s="1173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173"/>
    </row>
    <row r="907" ht="14.25" customHeight="1">
      <c r="A907" s="1"/>
      <c r="B907" s="1"/>
      <c r="C907" s="1"/>
      <c r="D907" s="1"/>
      <c r="E907" s="1"/>
      <c r="F907" s="1173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173"/>
    </row>
    <row r="908" ht="14.25" customHeight="1">
      <c r="A908" s="1"/>
      <c r="B908" s="1"/>
      <c r="C908" s="1"/>
      <c r="D908" s="1"/>
      <c r="E908" s="1"/>
      <c r="F908" s="1173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173"/>
    </row>
    <row r="909" ht="14.25" customHeight="1">
      <c r="A909" s="1"/>
      <c r="B909" s="1"/>
      <c r="C909" s="1"/>
      <c r="D909" s="1"/>
      <c r="E909" s="1"/>
      <c r="F909" s="1173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173"/>
    </row>
    <row r="910" ht="14.25" customHeight="1">
      <c r="A910" s="1"/>
      <c r="B910" s="1"/>
      <c r="C910" s="1"/>
      <c r="D910" s="1"/>
      <c r="E910" s="1"/>
      <c r="F910" s="1173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173"/>
    </row>
    <row r="911" ht="14.25" customHeight="1">
      <c r="A911" s="1"/>
      <c r="B911" s="1"/>
      <c r="C911" s="1"/>
      <c r="D911" s="1"/>
      <c r="E911" s="1"/>
      <c r="F911" s="1173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173"/>
    </row>
    <row r="912" ht="14.25" customHeight="1">
      <c r="A912" s="1"/>
      <c r="B912" s="1"/>
      <c r="C912" s="1"/>
      <c r="D912" s="1"/>
      <c r="E912" s="1"/>
      <c r="F912" s="1173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173"/>
    </row>
    <row r="913" ht="14.25" customHeight="1">
      <c r="A913" s="1"/>
      <c r="B913" s="1"/>
      <c r="C913" s="1"/>
      <c r="D913" s="1"/>
      <c r="E913" s="1"/>
      <c r="F913" s="1173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173"/>
    </row>
    <row r="914" ht="14.25" customHeight="1">
      <c r="A914" s="1"/>
      <c r="B914" s="1"/>
      <c r="C914" s="1"/>
      <c r="D914" s="1"/>
      <c r="E914" s="1"/>
      <c r="F914" s="1173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173"/>
    </row>
    <row r="915" ht="14.25" customHeight="1">
      <c r="A915" s="1"/>
      <c r="B915" s="1"/>
      <c r="C915" s="1"/>
      <c r="D915" s="1"/>
      <c r="E915" s="1"/>
      <c r="F915" s="1173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173"/>
    </row>
    <row r="916" ht="14.25" customHeight="1">
      <c r="A916" s="1"/>
      <c r="B916" s="1"/>
      <c r="C916" s="1"/>
      <c r="D916" s="1"/>
      <c r="E916" s="1"/>
      <c r="F916" s="1173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173"/>
    </row>
    <row r="917" ht="14.25" customHeight="1">
      <c r="A917" s="1"/>
      <c r="B917" s="1"/>
      <c r="C917" s="1"/>
      <c r="D917" s="1"/>
      <c r="E917" s="1"/>
      <c r="F917" s="1173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173"/>
    </row>
    <row r="918" ht="14.25" customHeight="1">
      <c r="A918" s="1"/>
      <c r="B918" s="1"/>
      <c r="C918" s="1"/>
      <c r="D918" s="1"/>
      <c r="E918" s="1"/>
      <c r="F918" s="1173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173"/>
    </row>
    <row r="919" ht="14.25" customHeight="1">
      <c r="A919" s="1"/>
      <c r="B919" s="1"/>
      <c r="C919" s="1"/>
      <c r="D919" s="1"/>
      <c r="E919" s="1"/>
      <c r="F919" s="1173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173"/>
    </row>
    <row r="920" ht="14.25" customHeight="1">
      <c r="A920" s="1"/>
      <c r="B920" s="1"/>
      <c r="C920" s="1"/>
      <c r="D920" s="1"/>
      <c r="E920" s="1"/>
      <c r="F920" s="1173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173"/>
    </row>
    <row r="921" ht="14.25" customHeight="1">
      <c r="A921" s="1"/>
      <c r="B921" s="1"/>
      <c r="C921" s="1"/>
      <c r="D921" s="1"/>
      <c r="E921" s="1"/>
      <c r="F921" s="1173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173"/>
    </row>
    <row r="922" ht="14.25" customHeight="1">
      <c r="A922" s="1"/>
      <c r="B922" s="1"/>
      <c r="C922" s="1"/>
      <c r="D922" s="1"/>
      <c r="E922" s="1"/>
      <c r="F922" s="1173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173"/>
    </row>
    <row r="923" ht="14.25" customHeight="1">
      <c r="A923" s="1"/>
      <c r="B923" s="1"/>
      <c r="C923" s="1"/>
      <c r="D923" s="1"/>
      <c r="E923" s="1"/>
      <c r="F923" s="1173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173"/>
    </row>
    <row r="924" ht="14.25" customHeight="1">
      <c r="A924" s="1"/>
      <c r="B924" s="1"/>
      <c r="C924" s="1"/>
      <c r="D924" s="1"/>
      <c r="E924" s="1"/>
      <c r="F924" s="1173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173"/>
    </row>
    <row r="925" ht="14.25" customHeight="1">
      <c r="A925" s="1"/>
      <c r="B925" s="1"/>
      <c r="C925" s="1"/>
      <c r="D925" s="1"/>
      <c r="E925" s="1"/>
      <c r="F925" s="1173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173"/>
    </row>
    <row r="926" ht="14.25" customHeight="1">
      <c r="A926" s="1"/>
      <c r="B926" s="1"/>
      <c r="C926" s="1"/>
      <c r="D926" s="1"/>
      <c r="E926" s="1"/>
      <c r="F926" s="1173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173"/>
    </row>
    <row r="927" ht="14.25" customHeight="1">
      <c r="A927" s="1"/>
      <c r="B927" s="1"/>
      <c r="C927" s="1"/>
      <c r="D927" s="1"/>
      <c r="E927" s="1"/>
      <c r="F927" s="1173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173"/>
    </row>
    <row r="928" ht="14.25" customHeight="1">
      <c r="A928" s="1"/>
      <c r="B928" s="1"/>
      <c r="C928" s="1"/>
      <c r="D928" s="1"/>
      <c r="E928" s="1"/>
      <c r="F928" s="1173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173"/>
    </row>
    <row r="929" ht="14.25" customHeight="1">
      <c r="A929" s="1"/>
      <c r="B929" s="1"/>
      <c r="C929" s="1"/>
      <c r="D929" s="1"/>
      <c r="E929" s="1"/>
      <c r="F929" s="1173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173"/>
    </row>
    <row r="930" ht="14.25" customHeight="1">
      <c r="A930" s="1"/>
      <c r="B930" s="1"/>
      <c r="C930" s="1"/>
      <c r="D930" s="1"/>
      <c r="E930" s="1"/>
      <c r="F930" s="1173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173"/>
    </row>
    <row r="931" ht="14.25" customHeight="1">
      <c r="A931" s="1"/>
      <c r="B931" s="1"/>
      <c r="C931" s="1"/>
      <c r="D931" s="1"/>
      <c r="E931" s="1"/>
      <c r="F931" s="1173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173"/>
    </row>
    <row r="932" ht="14.25" customHeight="1">
      <c r="A932" s="1"/>
      <c r="B932" s="1"/>
      <c r="C932" s="1"/>
      <c r="D932" s="1"/>
      <c r="E932" s="1"/>
      <c r="F932" s="1173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173"/>
    </row>
    <row r="933" ht="14.25" customHeight="1">
      <c r="A933" s="1"/>
      <c r="B933" s="1"/>
      <c r="C933" s="1"/>
      <c r="D933" s="1"/>
      <c r="E933" s="1"/>
      <c r="F933" s="1173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173"/>
    </row>
    <row r="934" ht="14.25" customHeight="1">
      <c r="A934" s="1"/>
      <c r="B934" s="1"/>
      <c r="C934" s="1"/>
      <c r="D934" s="1"/>
      <c r="E934" s="1"/>
      <c r="F934" s="1173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173"/>
    </row>
    <row r="935" ht="14.25" customHeight="1">
      <c r="A935" s="1"/>
      <c r="B935" s="1"/>
      <c r="C935" s="1"/>
      <c r="D935" s="1"/>
      <c r="E935" s="1"/>
      <c r="F935" s="1173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173"/>
    </row>
    <row r="936" ht="14.25" customHeight="1">
      <c r="A936" s="1"/>
      <c r="B936" s="1"/>
      <c r="C936" s="1"/>
      <c r="D936" s="1"/>
      <c r="E936" s="1"/>
      <c r="F936" s="1173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173"/>
    </row>
    <row r="937" ht="14.25" customHeight="1">
      <c r="A937" s="1"/>
      <c r="B937" s="1"/>
      <c r="C937" s="1"/>
      <c r="D937" s="1"/>
      <c r="E937" s="1"/>
      <c r="F937" s="1173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173"/>
    </row>
    <row r="938" ht="14.25" customHeight="1">
      <c r="A938" s="1"/>
      <c r="B938" s="1"/>
      <c r="C938" s="1"/>
      <c r="D938" s="1"/>
      <c r="E938" s="1"/>
      <c r="F938" s="1173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173"/>
    </row>
    <row r="939" ht="14.25" customHeight="1">
      <c r="A939" s="1"/>
      <c r="B939" s="1"/>
      <c r="C939" s="1"/>
      <c r="D939" s="1"/>
      <c r="E939" s="1"/>
      <c r="F939" s="1173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173"/>
    </row>
    <row r="940" ht="14.25" customHeight="1">
      <c r="A940" s="1"/>
      <c r="B940" s="1"/>
      <c r="C940" s="1"/>
      <c r="D940" s="1"/>
      <c r="E940" s="1"/>
      <c r="F940" s="1173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173"/>
    </row>
    <row r="941" ht="14.25" customHeight="1">
      <c r="A941" s="1"/>
      <c r="B941" s="1"/>
      <c r="C941" s="1"/>
      <c r="D941" s="1"/>
      <c r="E941" s="1"/>
      <c r="F941" s="1173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173"/>
    </row>
    <row r="942" ht="14.25" customHeight="1">
      <c r="A942" s="1"/>
      <c r="B942" s="1"/>
      <c r="C942" s="1"/>
      <c r="D942" s="1"/>
      <c r="E942" s="1"/>
      <c r="F942" s="1173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173"/>
    </row>
    <row r="943" ht="14.25" customHeight="1">
      <c r="A943" s="1"/>
      <c r="B943" s="1"/>
      <c r="C943" s="1"/>
      <c r="D943" s="1"/>
      <c r="E943" s="1"/>
      <c r="F943" s="1173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173"/>
    </row>
    <row r="944" ht="14.25" customHeight="1">
      <c r="A944" s="1"/>
      <c r="B944" s="1"/>
      <c r="C944" s="1"/>
      <c r="D944" s="1"/>
      <c r="E944" s="1"/>
      <c r="F944" s="1173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173"/>
    </row>
    <row r="945" ht="14.25" customHeight="1">
      <c r="A945" s="1"/>
      <c r="B945" s="1"/>
      <c r="C945" s="1"/>
      <c r="D945" s="1"/>
      <c r="E945" s="1"/>
      <c r="F945" s="1173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173"/>
    </row>
    <row r="946" ht="14.25" customHeight="1">
      <c r="A946" s="1"/>
      <c r="B946" s="1"/>
      <c r="C946" s="1"/>
      <c r="D946" s="1"/>
      <c r="E946" s="1"/>
      <c r="F946" s="1173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173"/>
    </row>
    <row r="947" ht="14.25" customHeight="1">
      <c r="A947" s="1"/>
      <c r="B947" s="1"/>
      <c r="C947" s="1"/>
      <c r="D947" s="1"/>
      <c r="E947" s="1"/>
      <c r="F947" s="1173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173"/>
    </row>
    <row r="948" ht="14.25" customHeight="1">
      <c r="A948" s="1"/>
      <c r="B948" s="1"/>
      <c r="C948" s="1"/>
      <c r="D948" s="1"/>
      <c r="E948" s="1"/>
      <c r="F948" s="1173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173"/>
    </row>
    <row r="949" ht="14.25" customHeight="1">
      <c r="A949" s="1"/>
      <c r="B949" s="1"/>
      <c r="C949" s="1"/>
      <c r="D949" s="1"/>
      <c r="E949" s="1"/>
      <c r="F949" s="1173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173"/>
    </row>
    <row r="950" ht="14.25" customHeight="1">
      <c r="A950" s="1"/>
      <c r="B950" s="1"/>
      <c r="C950" s="1"/>
      <c r="D950" s="1"/>
      <c r="E950" s="1"/>
      <c r="F950" s="1173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173"/>
    </row>
    <row r="951" ht="14.25" customHeight="1">
      <c r="A951" s="1"/>
      <c r="B951" s="1"/>
      <c r="C951" s="1"/>
      <c r="D951" s="1"/>
      <c r="E951" s="1"/>
      <c r="F951" s="1173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173"/>
    </row>
    <row r="952" ht="14.25" customHeight="1">
      <c r="A952" s="1"/>
      <c r="B952" s="1"/>
      <c r="C952" s="1"/>
      <c r="D952" s="1"/>
      <c r="E952" s="1"/>
      <c r="F952" s="1173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173"/>
    </row>
    <row r="953" ht="14.25" customHeight="1">
      <c r="A953" s="1"/>
      <c r="B953" s="1"/>
      <c r="C953" s="1"/>
      <c r="D953" s="1"/>
      <c r="E953" s="1"/>
      <c r="F953" s="1173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173"/>
    </row>
    <row r="954" ht="14.25" customHeight="1">
      <c r="A954" s="1"/>
      <c r="B954" s="1"/>
      <c r="C954" s="1"/>
      <c r="D954" s="1"/>
      <c r="E954" s="1"/>
      <c r="F954" s="1173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173"/>
    </row>
    <row r="955" ht="14.25" customHeight="1">
      <c r="A955" s="1"/>
      <c r="B955" s="1"/>
      <c r="C955" s="1"/>
      <c r="D955" s="1"/>
      <c r="E955" s="1"/>
      <c r="F955" s="1173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173"/>
    </row>
    <row r="956" ht="14.25" customHeight="1">
      <c r="A956" s="1"/>
      <c r="B956" s="1"/>
      <c r="C956" s="1"/>
      <c r="D956" s="1"/>
      <c r="E956" s="1"/>
      <c r="F956" s="1173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173"/>
    </row>
    <row r="957" ht="14.25" customHeight="1">
      <c r="A957" s="1"/>
      <c r="B957" s="1"/>
      <c r="C957" s="1"/>
      <c r="D957" s="1"/>
      <c r="E957" s="1"/>
      <c r="F957" s="1173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173"/>
    </row>
    <row r="958" ht="14.25" customHeight="1">
      <c r="A958" s="1"/>
      <c r="B958" s="1"/>
      <c r="C958" s="1"/>
      <c r="D958" s="1"/>
      <c r="E958" s="1"/>
      <c r="F958" s="1173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173"/>
    </row>
    <row r="959" ht="14.25" customHeight="1">
      <c r="A959" s="1"/>
      <c r="B959" s="1"/>
      <c r="C959" s="1"/>
      <c r="D959" s="1"/>
      <c r="E959" s="1"/>
      <c r="F959" s="1173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173"/>
    </row>
    <row r="960" ht="14.25" customHeight="1">
      <c r="A960" s="1"/>
      <c r="B960" s="1"/>
      <c r="C960" s="1"/>
      <c r="D960" s="1"/>
      <c r="E960" s="1"/>
      <c r="F960" s="1173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173"/>
    </row>
    <row r="961" ht="14.25" customHeight="1">
      <c r="A961" s="1"/>
      <c r="B961" s="1"/>
      <c r="C961" s="1"/>
      <c r="D961" s="1"/>
      <c r="E961" s="1"/>
      <c r="F961" s="1173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173"/>
    </row>
    <row r="962" ht="14.25" customHeight="1">
      <c r="A962" s="1"/>
      <c r="B962" s="1"/>
      <c r="C962" s="1"/>
      <c r="D962" s="1"/>
      <c r="E962" s="1"/>
      <c r="F962" s="1173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173"/>
    </row>
    <row r="963" ht="14.25" customHeight="1">
      <c r="A963" s="1"/>
      <c r="B963" s="1"/>
      <c r="C963" s="1"/>
      <c r="D963" s="1"/>
      <c r="E963" s="1"/>
      <c r="F963" s="1173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173"/>
    </row>
    <row r="964" ht="14.25" customHeight="1">
      <c r="A964" s="1"/>
      <c r="B964" s="1"/>
      <c r="C964" s="1"/>
      <c r="D964" s="1"/>
      <c r="E964" s="1"/>
      <c r="F964" s="1173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173"/>
    </row>
    <row r="965" ht="14.25" customHeight="1">
      <c r="A965" s="1"/>
      <c r="B965" s="1"/>
      <c r="C965" s="1"/>
      <c r="D965" s="1"/>
      <c r="E965" s="1"/>
      <c r="F965" s="1173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173"/>
    </row>
    <row r="966" ht="14.25" customHeight="1">
      <c r="A966" s="1"/>
      <c r="B966" s="1"/>
      <c r="C966" s="1"/>
      <c r="D966" s="1"/>
      <c r="E966" s="1"/>
      <c r="F966" s="1173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173"/>
    </row>
    <row r="967" ht="14.25" customHeight="1">
      <c r="A967" s="1"/>
      <c r="B967" s="1"/>
      <c r="C967" s="1"/>
      <c r="D967" s="1"/>
      <c r="E967" s="1"/>
      <c r="F967" s="1173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173"/>
    </row>
    <row r="968" ht="14.25" customHeight="1">
      <c r="A968" s="1"/>
      <c r="B968" s="1"/>
      <c r="C968" s="1"/>
      <c r="D968" s="1"/>
      <c r="E968" s="1"/>
      <c r="F968" s="1173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173"/>
    </row>
    <row r="969" ht="14.25" customHeight="1">
      <c r="A969" s="1"/>
      <c r="B969" s="1"/>
      <c r="C969" s="1"/>
      <c r="D969" s="1"/>
      <c r="E969" s="1"/>
      <c r="F969" s="1173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173"/>
    </row>
    <row r="970" ht="14.25" customHeight="1">
      <c r="A970" s="1"/>
      <c r="B970" s="1"/>
      <c r="C970" s="1"/>
      <c r="D970" s="1"/>
      <c r="E970" s="1"/>
      <c r="F970" s="1173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173"/>
    </row>
    <row r="971" ht="14.25" customHeight="1">
      <c r="A971" s="1"/>
      <c r="B971" s="1"/>
      <c r="C971" s="1"/>
      <c r="D971" s="1"/>
      <c r="E971" s="1"/>
      <c r="F971" s="1173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173"/>
    </row>
    <row r="972" ht="14.25" customHeight="1">
      <c r="A972" s="1"/>
      <c r="B972" s="1"/>
      <c r="C972" s="1"/>
      <c r="D972" s="1"/>
      <c r="E972" s="1"/>
      <c r="F972" s="1173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173"/>
    </row>
    <row r="973" ht="14.25" customHeight="1">
      <c r="A973" s="1"/>
      <c r="B973" s="1"/>
      <c r="C973" s="1"/>
      <c r="D973" s="1"/>
      <c r="E973" s="1"/>
      <c r="F973" s="1173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173"/>
    </row>
    <row r="974" ht="14.25" customHeight="1">
      <c r="A974" s="1"/>
      <c r="B974" s="1"/>
      <c r="C974" s="1"/>
      <c r="D974" s="1"/>
      <c r="E974" s="1"/>
      <c r="F974" s="1173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173"/>
    </row>
    <row r="975" ht="14.25" customHeight="1">
      <c r="A975" s="1"/>
      <c r="B975" s="1"/>
      <c r="C975" s="1"/>
      <c r="D975" s="1"/>
      <c r="E975" s="1"/>
      <c r="F975" s="1173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173"/>
    </row>
    <row r="976" ht="14.25" customHeight="1">
      <c r="A976" s="1"/>
      <c r="B976" s="1"/>
      <c r="C976" s="1"/>
      <c r="D976" s="1"/>
      <c r="E976" s="1"/>
      <c r="F976" s="1173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173"/>
    </row>
    <row r="977" ht="14.25" customHeight="1">
      <c r="A977" s="1"/>
      <c r="B977" s="1"/>
      <c r="C977" s="1"/>
      <c r="D977" s="1"/>
      <c r="E977" s="1"/>
      <c r="F977" s="1173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173"/>
    </row>
    <row r="978" ht="14.25" customHeight="1">
      <c r="A978" s="1"/>
      <c r="B978" s="1"/>
      <c r="C978" s="1"/>
      <c r="D978" s="1"/>
      <c r="E978" s="1"/>
      <c r="F978" s="1173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173"/>
    </row>
    <row r="979" ht="14.25" customHeight="1">
      <c r="A979" s="1"/>
      <c r="B979" s="1"/>
      <c r="C979" s="1"/>
      <c r="D979" s="1"/>
      <c r="E979" s="1"/>
      <c r="F979" s="1173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173"/>
    </row>
    <row r="980" ht="14.25" customHeight="1">
      <c r="A980" s="1"/>
      <c r="B980" s="1"/>
      <c r="C980" s="1"/>
      <c r="D980" s="1"/>
      <c r="E980" s="1"/>
      <c r="F980" s="1173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173"/>
    </row>
    <row r="981" ht="14.25" customHeight="1">
      <c r="A981" s="1"/>
      <c r="B981" s="1"/>
      <c r="C981" s="1"/>
      <c r="D981" s="1"/>
      <c r="E981" s="1"/>
      <c r="F981" s="1173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173"/>
    </row>
    <row r="982" ht="14.25" customHeight="1">
      <c r="A982" s="1"/>
      <c r="B982" s="1"/>
      <c r="C982" s="1"/>
      <c r="D982" s="1"/>
      <c r="E982" s="1"/>
      <c r="F982" s="1173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173"/>
    </row>
    <row r="983" ht="14.25" customHeight="1">
      <c r="A983" s="1"/>
      <c r="B983" s="1"/>
      <c r="C983" s="1"/>
      <c r="D983" s="1"/>
      <c r="E983" s="1"/>
      <c r="F983" s="1173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173"/>
    </row>
    <row r="984" ht="14.25" customHeight="1">
      <c r="A984" s="1"/>
      <c r="B984" s="1"/>
      <c r="C984" s="1"/>
      <c r="D984" s="1"/>
      <c r="E984" s="1"/>
      <c r="F984" s="1173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173"/>
    </row>
    <row r="985" ht="14.25" customHeight="1">
      <c r="A985" s="1"/>
      <c r="B985" s="1"/>
      <c r="C985" s="1"/>
      <c r="D985" s="1"/>
      <c r="E985" s="1"/>
      <c r="F985" s="1173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173"/>
    </row>
    <row r="986" ht="14.25" customHeight="1">
      <c r="A986" s="1"/>
      <c r="B986" s="1"/>
      <c r="C986" s="1"/>
      <c r="D986" s="1"/>
      <c r="E986" s="1"/>
      <c r="F986" s="1173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173"/>
    </row>
    <row r="987" ht="14.25" customHeight="1">
      <c r="A987" s="1"/>
      <c r="B987" s="1"/>
      <c r="C987" s="1"/>
      <c r="D987" s="1"/>
      <c r="E987" s="1"/>
      <c r="F987" s="1173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173"/>
    </row>
    <row r="988" ht="14.25" customHeight="1">
      <c r="A988" s="1"/>
      <c r="B988" s="1"/>
      <c r="C988" s="1"/>
      <c r="D988" s="1"/>
      <c r="E988" s="1"/>
      <c r="F988" s="1173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173"/>
    </row>
    <row r="989" ht="14.25" customHeight="1">
      <c r="A989" s="1"/>
      <c r="B989" s="1"/>
      <c r="C989" s="1"/>
      <c r="D989" s="1"/>
      <c r="E989" s="1"/>
      <c r="F989" s="1173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173"/>
    </row>
    <row r="990" ht="14.25" customHeight="1">
      <c r="A990" s="1"/>
      <c r="B990" s="1"/>
      <c r="C990" s="1"/>
      <c r="D990" s="1"/>
      <c r="E990" s="1"/>
      <c r="F990" s="1173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173"/>
    </row>
    <row r="991" ht="14.25" customHeight="1">
      <c r="A991" s="1"/>
      <c r="B991" s="1"/>
      <c r="C991" s="1"/>
      <c r="D991" s="1"/>
      <c r="E991" s="1"/>
      <c r="F991" s="1173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173"/>
    </row>
    <row r="992" ht="14.25" customHeight="1">
      <c r="A992" s="1"/>
      <c r="B992" s="1"/>
      <c r="C992" s="1"/>
      <c r="D992" s="1"/>
      <c r="E992" s="1"/>
      <c r="F992" s="1173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173"/>
    </row>
    <row r="993" ht="14.25" customHeight="1">
      <c r="A993" s="1"/>
      <c r="B993" s="1"/>
      <c r="C993" s="1"/>
      <c r="D993" s="1"/>
      <c r="E993" s="1"/>
      <c r="F993" s="1173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173"/>
    </row>
    <row r="994" ht="14.25" customHeight="1">
      <c r="A994" s="1"/>
      <c r="B994" s="1"/>
      <c r="C994" s="1"/>
      <c r="D994" s="1"/>
      <c r="E994" s="1"/>
      <c r="F994" s="1173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173"/>
    </row>
    <row r="995" ht="14.25" customHeight="1">
      <c r="A995" s="1"/>
      <c r="B995" s="1"/>
      <c r="C995" s="1"/>
      <c r="D995" s="1"/>
      <c r="E995" s="1"/>
      <c r="F995" s="1173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173"/>
    </row>
    <row r="996" ht="14.25" customHeight="1">
      <c r="A996" s="1"/>
      <c r="B996" s="1"/>
      <c r="C996" s="1"/>
      <c r="D996" s="1"/>
      <c r="E996" s="1"/>
      <c r="F996" s="1173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173"/>
    </row>
    <row r="997" ht="14.25" customHeight="1">
      <c r="A997" s="1"/>
      <c r="B997" s="1"/>
      <c r="C997" s="1"/>
      <c r="D997" s="1"/>
      <c r="E997" s="1"/>
      <c r="F997" s="1173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173"/>
    </row>
    <row r="998" ht="14.25" customHeight="1">
      <c r="A998" s="1"/>
      <c r="B998" s="1"/>
      <c r="C998" s="1"/>
      <c r="D998" s="1"/>
      <c r="E998" s="1"/>
      <c r="F998" s="1173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173"/>
    </row>
    <row r="999" ht="14.25" customHeight="1">
      <c r="A999" s="1"/>
      <c r="B999" s="1"/>
      <c r="C999" s="1"/>
      <c r="D999" s="1"/>
      <c r="E999" s="1"/>
      <c r="F999" s="1173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173"/>
    </row>
    <row r="1000" ht="14.25" customHeight="1">
      <c r="A1000" s="1"/>
      <c r="B1000" s="1"/>
      <c r="C1000" s="1"/>
      <c r="D1000" s="1"/>
      <c r="E1000" s="1"/>
      <c r="F1000" s="1173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173"/>
    </row>
  </sheetData>
  <printOptions/>
  <pageMargins bottom="0.75" footer="0.0" header="0.0" left="0.3" right="0.2" top="0.75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2">
    <pageSetUpPr/>
  </sheetPr>
  <sheetViews>
    <sheetView workbookViewId="0">
      <pane xSplit="3.0" ySplit="5.0" topLeftCell="D6" activePane="bottomRight" state="frozen"/>
      <selection activeCell="D1" sqref="D1" pane="topRight"/>
      <selection activeCell="A6" sqref="A6" pane="bottomLeft"/>
      <selection activeCell="D6" sqref="D6" pane="bottomRight"/>
    </sheetView>
  </sheetViews>
  <sheetFormatPr customHeight="1" defaultColWidth="12.63" defaultRowHeight="15.0" outlineLevelCol="1"/>
  <cols>
    <col customWidth="1" min="1" max="1" width="5.38"/>
    <col customWidth="1" min="2" max="2" width="39.13"/>
    <col customWidth="1" min="3" max="3" width="5.75"/>
    <col customWidth="1" min="4" max="4" width="1.75"/>
    <col customWidth="1" min="5" max="5" width="15.13"/>
    <col customWidth="1" min="6" max="6" width="4.63"/>
    <col customWidth="1" min="7" max="7" width="12.13"/>
    <col customWidth="1" min="8" max="8" width="4.63"/>
    <col customWidth="1" min="9" max="9" width="12.13"/>
    <col customWidth="1" min="10" max="10" width="4.63"/>
    <col customWidth="1" min="11" max="11" width="12.13"/>
    <col customWidth="1" min="12" max="12" width="4.38"/>
    <col customWidth="1" min="13" max="13" width="12.13"/>
    <col customWidth="1" min="14" max="14" width="4.38"/>
    <col customWidth="1" min="15" max="15" width="12.13"/>
    <col customWidth="1" min="16" max="16" width="4.38"/>
    <col customWidth="1" min="17" max="17" width="12.13"/>
    <col customWidth="1" min="18" max="18" width="5.13"/>
    <col customWidth="1" min="19" max="19" width="10.75"/>
    <col customWidth="1" min="20" max="20" width="8.75"/>
    <col customWidth="1" min="21" max="24" width="8.38"/>
    <col customWidth="1" min="25" max="25" width="10.13"/>
    <col customWidth="1" min="26" max="26" width="9.0"/>
  </cols>
  <sheetData>
    <row r="1" ht="69.0" customHeight="1">
      <c r="A1" s="1"/>
      <c r="B1" s="8" t="str">
        <f>'A Cover'!G$8</f>
        <v>Example University</v>
      </c>
      <c r="C1" s="8"/>
      <c r="D1" s="8"/>
      <c r="E1" s="8"/>
      <c r="F1" s="1115"/>
      <c r="G1" s="8"/>
      <c r="H1" s="1115"/>
      <c r="I1" s="436"/>
      <c r="J1" s="436"/>
      <c r="K1" s="436"/>
      <c r="L1" s="436"/>
      <c r="M1" s="436"/>
      <c r="N1" s="436"/>
      <c r="O1" s="438"/>
      <c r="P1" s="436"/>
      <c r="Q1" s="436"/>
      <c r="R1" s="436"/>
      <c r="S1" s="39"/>
      <c r="T1" s="1254"/>
      <c r="U1" s="1254"/>
      <c r="V1" s="1254"/>
      <c r="W1" s="1254"/>
      <c r="X1" s="1254"/>
      <c r="Y1" s="1254"/>
      <c r="Z1" s="1"/>
    </row>
    <row r="2" ht="18.75" customHeight="1">
      <c r="A2" s="1"/>
      <c r="B2" s="364" t="s">
        <v>620</v>
      </c>
      <c r="C2" s="1"/>
      <c r="D2" s="1"/>
      <c r="E2" s="29" t="s">
        <v>0</v>
      </c>
      <c r="F2" s="1121" t="s">
        <v>9</v>
      </c>
      <c r="G2" s="1"/>
      <c r="H2" s="1255"/>
      <c r="I2" s="436"/>
      <c r="J2" s="437"/>
      <c r="K2" s="49"/>
      <c r="L2" s="437"/>
      <c r="M2" s="1"/>
      <c r="N2" s="1"/>
      <c r="O2" s="438"/>
      <c r="P2" s="1018">
        <f>'A Cover'!G$12</f>
        <v>46307</v>
      </c>
      <c r="Q2" s="21"/>
      <c r="R2" s="5"/>
      <c r="S2" s="1"/>
      <c r="T2" s="1"/>
      <c r="U2" s="1"/>
      <c r="V2" s="1"/>
      <c r="W2" s="1"/>
      <c r="X2" s="1"/>
      <c r="Y2" s="1"/>
      <c r="Z2" s="1"/>
    </row>
    <row r="3" ht="15.0" customHeight="1">
      <c r="A3" s="1"/>
      <c r="B3" s="1"/>
      <c r="C3" s="1"/>
      <c r="D3" s="1"/>
      <c r="E3" s="1"/>
      <c r="F3" s="1173"/>
      <c r="G3" s="1"/>
      <c r="H3" s="1173"/>
      <c r="I3" s="438"/>
      <c r="J3" s="437"/>
      <c r="K3" s="438"/>
      <c r="L3" s="437"/>
      <c r="M3" s="438"/>
      <c r="N3" s="437"/>
      <c r="O3" s="438"/>
      <c r="P3" s="437"/>
      <c r="Q3" s="438"/>
      <c r="R3" s="437"/>
      <c r="S3" s="1"/>
      <c r="T3" s="1"/>
      <c r="U3" s="1"/>
      <c r="V3" s="1"/>
      <c r="W3" s="1"/>
      <c r="X3" s="1"/>
      <c r="Y3" s="1"/>
      <c r="Z3" s="1"/>
    </row>
    <row r="4" ht="27.0" customHeight="1">
      <c r="A4" s="446" t="s">
        <v>752</v>
      </c>
      <c r="B4" s="1256"/>
      <c r="C4" s="909" t="s">
        <v>753</v>
      </c>
      <c r="D4" s="1"/>
      <c r="E4" s="1125" t="s">
        <v>6</v>
      </c>
      <c r="F4" s="1120"/>
      <c r="G4" s="1126" t="str">
        <f>IF('J Proj CY'!F$151&gt;0,"Projected","Budgeted")</f>
        <v>Projected</v>
      </c>
      <c r="H4" s="1120"/>
      <c r="I4" s="33" t="s">
        <v>754</v>
      </c>
      <c r="J4" s="35"/>
      <c r="K4" s="35"/>
      <c r="L4" s="35"/>
      <c r="M4" s="35"/>
      <c r="N4" s="35"/>
      <c r="O4" s="35"/>
      <c r="P4" s="35"/>
      <c r="Q4" s="21"/>
      <c r="R4" s="437"/>
      <c r="S4" s="1"/>
      <c r="T4" s="1"/>
      <c r="U4" s="1"/>
      <c r="V4" s="1"/>
      <c r="W4" s="1"/>
      <c r="X4" s="1"/>
      <c r="Y4" s="1"/>
      <c r="Z4" s="1"/>
    </row>
    <row r="5" ht="14.25" customHeight="1">
      <c r="A5" s="1257">
        <v>0.2</v>
      </c>
      <c r="B5" s="1258" t="s">
        <v>755</v>
      </c>
      <c r="C5" s="1257">
        <v>0.3</v>
      </c>
      <c r="D5" s="1"/>
      <c r="E5" s="553" t="str">
        <f>'F Population'!N$6</f>
        <v>2025 - 26</v>
      </c>
      <c r="F5" s="1130"/>
      <c r="G5" s="553" t="str">
        <f>'F Population'!P$6</f>
        <v>2026 - 27</v>
      </c>
      <c r="H5" s="1130"/>
      <c r="I5" s="553" t="str">
        <f>'F Population'!U$6</f>
        <v>2027 - 28</v>
      </c>
      <c r="J5" s="39"/>
      <c r="K5" s="553" t="str">
        <f>'F Population'!W$6</f>
        <v>2028 - 29</v>
      </c>
      <c r="L5" s="39"/>
      <c r="M5" s="553" t="str">
        <f>'F Population'!Y$6</f>
        <v>2029 - 30</v>
      </c>
      <c r="N5" s="39"/>
      <c r="O5" s="553" t="str">
        <f>'F Population'!AA$6</f>
        <v>2030 - 31</v>
      </c>
      <c r="P5" s="554"/>
      <c r="Q5" s="553" t="str">
        <f>'F Population'!AC$6</f>
        <v>2031 - 32</v>
      </c>
      <c r="R5" s="437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158" t="s">
        <v>175</v>
      </c>
      <c r="C6" s="158"/>
      <c r="D6" s="158"/>
      <c r="E6" s="158"/>
      <c r="F6" s="1132"/>
      <c r="G6" s="158"/>
      <c r="H6" s="1132"/>
      <c r="I6" s="438"/>
      <c r="J6" s="437"/>
      <c r="K6" s="438"/>
      <c r="L6" s="437"/>
      <c r="M6" s="438"/>
      <c r="N6" s="437"/>
      <c r="O6" s="438"/>
      <c r="P6" s="437"/>
      <c r="Q6" s="438"/>
      <c r="R6" s="437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89" t="s">
        <v>28</v>
      </c>
      <c r="C7" s="89"/>
      <c r="D7" s="89"/>
      <c r="E7" s="291">
        <f>'E Budg CY'!L6</f>
        <v>51387224</v>
      </c>
      <c r="F7" s="1129"/>
      <c r="G7" s="291">
        <f>IF('J Proj CY'!F$151&gt;0,'J Proj CY'!F6,'J Proj CY'!L6)</f>
        <v>55818841.09</v>
      </c>
      <c r="H7" s="1129"/>
      <c r="I7" s="438">
        <f>'I Student rev'!L55</f>
        <v>61804870.92</v>
      </c>
      <c r="J7" s="1259"/>
      <c r="K7" s="438">
        <f>'G Price-Aid'!AX86</f>
        <v>63866308.32</v>
      </c>
      <c r="L7" s="1259"/>
      <c r="M7" s="438">
        <f>'G Price-Aid'!AX106</f>
        <v>67562030.69</v>
      </c>
      <c r="N7" s="1259"/>
      <c r="O7" s="438">
        <f>'G Price-Aid'!AX126</f>
        <v>69553380.98</v>
      </c>
      <c r="P7" s="1259"/>
      <c r="Q7" s="438">
        <f>'G Price-Aid'!AX146</f>
        <v>71008147.32</v>
      </c>
      <c r="R7" s="1259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89" t="s">
        <v>757</v>
      </c>
      <c r="C8" s="89"/>
      <c r="D8" s="89"/>
      <c r="E8" s="291">
        <f>'E Budg CY'!L8</f>
        <v>-25847774</v>
      </c>
      <c r="F8" s="1137">
        <f>-E8/E7</f>
        <v>0.5030000064</v>
      </c>
      <c r="G8" s="291">
        <f>IF('J Proj CY'!F$151&gt;0,'J Proj CY'!F8,'J Proj CY'!L8)</f>
        <v>-25928048.02</v>
      </c>
      <c r="H8" s="1137">
        <f>-G8/G7</f>
        <v>0.4645035173</v>
      </c>
      <c r="I8" s="1178">
        <f>'I Student rev'!L57</f>
        <v>-31826889.56</v>
      </c>
      <c r="J8" s="1137">
        <f>-I8/I7</f>
        <v>0.5149576254</v>
      </c>
      <c r="K8" s="1178">
        <f>-'G Price-Aid'!AX88</f>
        <v>-33889517.37</v>
      </c>
      <c r="L8" s="1137">
        <f>-K8/K7</f>
        <v>0.5306321637</v>
      </c>
      <c r="M8" s="1178">
        <f>-'G Price-Aid'!AX108</f>
        <v>-36119706.93</v>
      </c>
      <c r="N8" s="1137">
        <f>-M8/M7</f>
        <v>0.534615472</v>
      </c>
      <c r="O8" s="1178">
        <f>-'G Price-Aid'!AX128</f>
        <v>-37824163.17</v>
      </c>
      <c r="P8" s="1137">
        <f>-O8/O7</f>
        <v>0.5438148748</v>
      </c>
      <c r="Q8" s="1178">
        <f>-'G Price-Aid'!AX148</f>
        <v>-38987068.23</v>
      </c>
      <c r="R8" s="1137">
        <f>-Q8/Q7</f>
        <v>0.549050633</v>
      </c>
      <c r="S8" s="1"/>
      <c r="T8" s="1"/>
      <c r="U8" s="1"/>
      <c r="V8" s="1"/>
      <c r="W8" s="1"/>
      <c r="X8" s="1"/>
      <c r="Y8" s="1"/>
      <c r="Z8" s="1"/>
    </row>
    <row r="9" ht="13.5" customHeight="1">
      <c r="A9" s="1"/>
      <c r="B9" s="89" t="s">
        <v>38</v>
      </c>
      <c r="C9" s="89"/>
      <c r="D9" s="89"/>
      <c r="E9" s="1260">
        <f>E7+E8</f>
        <v>25539450</v>
      </c>
      <c r="F9" s="1129"/>
      <c r="G9" s="1260">
        <f>G7+G8</f>
        <v>29890793.07</v>
      </c>
      <c r="H9" s="1129"/>
      <c r="I9" s="1260">
        <f>I7+I8</f>
        <v>29977981.36</v>
      </c>
      <c r="J9" s="1129"/>
      <c r="K9" s="1260">
        <f>K7+K8</f>
        <v>29976790.95</v>
      </c>
      <c r="L9" s="1129"/>
      <c r="M9" s="1260">
        <f>M7+M8</f>
        <v>31442323.76</v>
      </c>
      <c r="N9" s="1129"/>
      <c r="O9" s="1260">
        <f>O7+O8</f>
        <v>31729217.81</v>
      </c>
      <c r="P9" s="1129"/>
      <c r="Q9" s="1260">
        <f>Q7+Q8</f>
        <v>32021079.09</v>
      </c>
      <c r="R9" s="1129"/>
      <c r="S9" s="85"/>
      <c r="T9" s="1"/>
      <c r="U9" s="1"/>
      <c r="V9" s="1"/>
      <c r="W9" s="1"/>
      <c r="X9" s="1"/>
      <c r="Y9" s="1261">
        <f>I9-G9</f>
        <v>87188.28301</v>
      </c>
      <c r="Z9" s="1"/>
    </row>
    <row r="10" ht="7.5" customHeight="1">
      <c r="A10" s="1"/>
      <c r="B10" s="89"/>
      <c r="C10" s="89"/>
      <c r="D10" s="89"/>
      <c r="E10" s="291"/>
      <c r="F10" s="1129"/>
      <c r="G10" s="89"/>
      <c r="H10" s="1129"/>
      <c r="I10" s="438"/>
      <c r="J10" s="1129"/>
      <c r="K10" s="438"/>
      <c r="L10" s="1129"/>
      <c r="M10" s="438"/>
      <c r="N10" s="1129"/>
      <c r="O10" s="438"/>
      <c r="P10" s="1129"/>
      <c r="Q10" s="438"/>
      <c r="R10" s="1129"/>
      <c r="S10" s="1"/>
      <c r="T10" s="1"/>
      <c r="U10" s="1"/>
      <c r="V10" s="1"/>
      <c r="W10" s="1"/>
      <c r="X10" s="1"/>
      <c r="Y10" s="1"/>
      <c r="Z10" s="1"/>
    </row>
    <row r="11" ht="14.25" customHeight="1">
      <c r="A11" s="1"/>
      <c r="B11" s="89" t="s">
        <v>637</v>
      </c>
      <c r="C11" s="89"/>
      <c r="D11" s="89"/>
      <c r="E11" s="291">
        <f>'E Budg CY'!L14</f>
        <v>16271443</v>
      </c>
      <c r="F11" s="1129"/>
      <c r="G11" s="291">
        <f>IF('J Proj CY'!F$151&gt;0,'J Proj CY'!F14,'J Proj CY'!L14)</f>
        <v>18897239</v>
      </c>
      <c r="H11" s="1129"/>
      <c r="I11" s="438">
        <f>'I Student rev'!H61</f>
        <v>19165822</v>
      </c>
      <c r="J11" s="1129"/>
      <c r="K11" s="438">
        <f>'H Non trad'!J26-'H Non trad'!J23</f>
        <v>19475000</v>
      </c>
      <c r="L11" s="1129"/>
      <c r="M11" s="438">
        <f>'H Non trad'!L26-'H Non trad'!L23</f>
        <v>19800000</v>
      </c>
      <c r="N11" s="1129"/>
      <c r="O11" s="438">
        <f>'H Non trad'!N26-'H Non trad'!N23</f>
        <v>20210000</v>
      </c>
      <c r="P11" s="1129"/>
      <c r="Q11" s="438">
        <f>'H Non trad'!P26-'H Non trad'!P23</f>
        <v>20607000</v>
      </c>
      <c r="R11" s="1129"/>
      <c r="S11" s="1"/>
      <c r="T11" s="1"/>
      <c r="U11" s="1"/>
      <c r="V11" s="1"/>
      <c r="W11" s="1"/>
      <c r="X11" s="1"/>
      <c r="Y11" s="1"/>
      <c r="Z11" s="1"/>
    </row>
    <row r="12" ht="14.25" customHeight="1">
      <c r="A12" s="1"/>
      <c r="B12" s="89" t="s">
        <v>640</v>
      </c>
      <c r="C12" s="89"/>
      <c r="D12" s="89"/>
      <c r="E12" s="291">
        <f>'E Budg CY'!L16</f>
        <v>-893562</v>
      </c>
      <c r="F12" s="1129"/>
      <c r="G12" s="291">
        <f>IF('J Proj CY'!F$151&gt;0,'J Proj CY'!F16,'J Proj CY'!L16)</f>
        <v>-1088743</v>
      </c>
      <c r="H12" s="1129"/>
      <c r="I12" s="1155">
        <f>'I Student rev'!J61</f>
        <v>-1134000</v>
      </c>
      <c r="J12" s="1129"/>
      <c r="K12" s="1155">
        <f>'H Non trad'!J23</f>
        <v>-1167000</v>
      </c>
      <c r="L12" s="1129"/>
      <c r="M12" s="1155">
        <f>'H Non trad'!L23</f>
        <v>-1178000</v>
      </c>
      <c r="N12" s="1129"/>
      <c r="O12" s="1155">
        <f>'H Non trad'!N23</f>
        <v>-1185000</v>
      </c>
      <c r="P12" s="1129"/>
      <c r="Q12" s="1155">
        <f>'H Non trad'!P23</f>
        <v>-1200000</v>
      </c>
      <c r="R12" s="1129"/>
      <c r="S12" s="1"/>
      <c r="T12" s="1"/>
      <c r="U12" s="1"/>
      <c r="V12" s="1"/>
      <c r="W12" s="1"/>
      <c r="X12" s="1"/>
      <c r="Y12" s="1"/>
      <c r="Z12" s="1"/>
    </row>
    <row r="13" ht="15.75" customHeight="1">
      <c r="A13" s="1"/>
      <c r="B13" s="89" t="s">
        <v>642</v>
      </c>
      <c r="C13" s="89"/>
      <c r="D13" s="89"/>
      <c r="E13" s="1260">
        <f>E11+E12</f>
        <v>15377881</v>
      </c>
      <c r="F13" s="1129"/>
      <c r="G13" s="1260">
        <f>G11+G12</f>
        <v>17808496</v>
      </c>
      <c r="H13" s="1129"/>
      <c r="I13" s="1260">
        <f>I11+I12</f>
        <v>18031822</v>
      </c>
      <c r="J13" s="1129"/>
      <c r="K13" s="1260">
        <f>K11+K12</f>
        <v>18308000</v>
      </c>
      <c r="L13" s="1129"/>
      <c r="M13" s="1260">
        <f>M11+M12</f>
        <v>18622000</v>
      </c>
      <c r="N13" s="1129"/>
      <c r="O13" s="1260">
        <f>O11+O12</f>
        <v>19025000</v>
      </c>
      <c r="P13" s="1129"/>
      <c r="Q13" s="1260">
        <f>Q11+Q12</f>
        <v>19407000</v>
      </c>
      <c r="R13" s="1129"/>
      <c r="S13" s="1"/>
      <c r="T13" s="85"/>
      <c r="U13" s="1"/>
      <c r="V13" s="1"/>
      <c r="W13" s="1"/>
      <c r="X13" s="1"/>
      <c r="Y13" s="1"/>
      <c r="Z13" s="1"/>
    </row>
    <row r="14" ht="8.25" customHeight="1">
      <c r="A14" s="1"/>
      <c r="B14" s="89"/>
      <c r="C14" s="89"/>
      <c r="D14" s="89"/>
      <c r="E14" s="291"/>
      <c r="F14" s="1129"/>
      <c r="G14" s="1"/>
      <c r="H14" s="1129"/>
      <c r="I14" s="438"/>
      <c r="J14" s="1129"/>
      <c r="K14" s="438"/>
      <c r="L14" s="1129"/>
      <c r="M14" s="438"/>
      <c r="N14" s="1129"/>
      <c r="O14" s="438"/>
      <c r="P14" s="1129"/>
      <c r="Q14" s="438"/>
      <c r="R14" s="1129"/>
      <c r="S14" s="1"/>
      <c r="T14" s="1"/>
      <c r="U14" s="1"/>
      <c r="V14" s="1"/>
      <c r="W14" s="1"/>
      <c r="X14" s="1"/>
      <c r="Y14" s="1"/>
      <c r="Z14" s="1"/>
    </row>
    <row r="15" ht="14.25" customHeight="1">
      <c r="A15" s="1"/>
      <c r="B15" s="132" t="s">
        <v>760</v>
      </c>
      <c r="C15" s="132"/>
      <c r="D15" s="132"/>
      <c r="E15" s="1142">
        <f>E9+E13</f>
        <v>40917331</v>
      </c>
      <c r="F15" s="1143"/>
      <c r="G15" s="438">
        <f>G9+G13</f>
        <v>47699289.07</v>
      </c>
      <c r="H15" s="1144">
        <f>G15/E15-1</f>
        <v>0.1657478117</v>
      </c>
      <c r="I15" s="438">
        <f>I9+I13</f>
        <v>48009803.36</v>
      </c>
      <c r="J15" s="1144">
        <f>I15/G15-1</f>
        <v>0.00650983042</v>
      </c>
      <c r="K15" s="438">
        <f>K9+K13</f>
        <v>48284790.95</v>
      </c>
      <c r="L15" s="1144">
        <f>K15/I15-1</f>
        <v>0.005727738301</v>
      </c>
      <c r="M15" s="438">
        <f>M9+M13</f>
        <v>50064323.76</v>
      </c>
      <c r="N15" s="1143">
        <f>M15/K15-1</f>
        <v>0.0368549347</v>
      </c>
      <c r="O15" s="438">
        <f>O9+O13</f>
        <v>50754217.81</v>
      </c>
      <c r="P15" s="1144">
        <f>O15/M15-1</f>
        <v>0.01378015319</v>
      </c>
      <c r="Q15" s="438">
        <f>Q9+Q13</f>
        <v>51428079.09</v>
      </c>
      <c r="R15" s="1144">
        <f>Q15/O15-1</f>
        <v>0.01327695127</v>
      </c>
      <c r="S15" s="1"/>
      <c r="T15" s="1"/>
      <c r="U15" s="1"/>
      <c r="V15" s="1"/>
      <c r="W15" s="1"/>
      <c r="X15" s="1"/>
      <c r="Y15" s="1"/>
      <c r="Z15" s="1"/>
    </row>
    <row r="16" ht="14.25" customHeight="1">
      <c r="A16" s="1"/>
      <c r="B16" s="132" t="s">
        <v>646</v>
      </c>
      <c r="C16" s="132"/>
      <c r="D16" s="132"/>
      <c r="E16" s="1142">
        <f>'E Budg CY'!N22</f>
        <v>9417500</v>
      </c>
      <c r="F16" s="1154"/>
      <c r="G16" s="1155">
        <f>IF('J Proj CY'!F$151&gt;0,'J Proj CY'!H22,'J Proj CY'!N22)</f>
        <v>10044010.32</v>
      </c>
      <c r="H16" s="1151"/>
      <c r="I16" s="438">
        <f>'I Student rev'!L63</f>
        <v>10980135.38</v>
      </c>
      <c r="J16" s="1151"/>
      <c r="K16" s="438">
        <f>SUM(K83:K85)</f>
        <v>11360832.42</v>
      </c>
      <c r="L16" s="1151"/>
      <c r="M16" s="438">
        <f>SUM(M83:M85)</f>
        <v>11960663.86</v>
      </c>
      <c r="N16" s="1154"/>
      <c r="O16" s="438">
        <f>SUM(O83:O85)</f>
        <v>12285314.75</v>
      </c>
      <c r="P16" s="1151"/>
      <c r="Q16" s="438">
        <f>SUM(Q83:Q85)</f>
        <v>12529434.13</v>
      </c>
      <c r="R16" s="1151"/>
      <c r="S16" s="1"/>
      <c r="T16" s="1"/>
      <c r="U16" s="1"/>
      <c r="V16" s="1"/>
      <c r="W16" s="1"/>
      <c r="X16" s="1"/>
      <c r="Y16" s="1"/>
      <c r="Z16" s="1"/>
    </row>
    <row r="17" ht="14.25" customHeight="1">
      <c r="A17" s="1"/>
      <c r="B17" s="132" t="s">
        <v>761</v>
      </c>
      <c r="C17" s="132"/>
      <c r="D17" s="132"/>
      <c r="E17" s="1142">
        <f>'E Budg CY'!N40</f>
        <v>6623000</v>
      </c>
      <c r="F17" s="1154"/>
      <c r="G17" s="1155">
        <f>IF('J Proj CY'!F$151&gt;0,'J Proj CY'!H40,'J Proj CY'!N40)</f>
        <v>5542000</v>
      </c>
      <c r="H17" s="1151"/>
      <c r="I17" s="438">
        <f>'M Non student'!H23</f>
        <v>5677741.48</v>
      </c>
      <c r="J17" s="1151"/>
      <c r="K17" s="438">
        <f>'M Non student'!J23</f>
        <v>5777741.48</v>
      </c>
      <c r="L17" s="1151"/>
      <c r="M17" s="438">
        <f>'M Non student'!L23</f>
        <v>5877741.48</v>
      </c>
      <c r="N17" s="1154"/>
      <c r="O17" s="438">
        <f>'M Non student'!N23</f>
        <v>5977741.48</v>
      </c>
      <c r="P17" s="1151"/>
      <c r="Q17" s="438">
        <f>'M Non student'!P23</f>
        <v>6077741.48</v>
      </c>
      <c r="R17" s="1151"/>
      <c r="S17" s="1"/>
      <c r="T17" s="1"/>
      <c r="U17" s="1"/>
      <c r="V17" s="1"/>
      <c r="W17" s="1"/>
      <c r="X17" s="1"/>
      <c r="Y17" s="1"/>
      <c r="Z17" s="1"/>
    </row>
    <row r="18" ht="14.25" customHeight="1">
      <c r="A18" s="1"/>
      <c r="B18" s="132" t="s">
        <v>763</v>
      </c>
      <c r="C18" s="1"/>
      <c r="D18" s="1"/>
      <c r="E18" s="1"/>
      <c r="F18" s="1173"/>
      <c r="G18" s="1155">
        <f>'G Price-Aid'!F18+'G Price-Aid'!F20</f>
        <v>2320000</v>
      </c>
      <c r="H18" s="1173"/>
      <c r="I18" s="1155">
        <f>'G Price-Aid'!H18+'G Price-Aid'!H20</f>
        <v>2664833.56</v>
      </c>
      <c r="J18" s="437"/>
      <c r="K18" s="1155">
        <f>'G Price-Aid'!J18+'G Price-Aid'!J20</f>
        <v>3045837.36</v>
      </c>
      <c r="L18" s="437"/>
      <c r="M18" s="1155">
        <f>'G Price-Aid'!L18+'G Price-Aid'!L20</f>
        <v>3409611.109</v>
      </c>
      <c r="N18" s="437"/>
      <c r="O18" s="1155">
        <f>'G Price-Aid'!N18+'G Price-Aid'!N20</f>
        <v>3775231.3</v>
      </c>
      <c r="P18" s="437"/>
      <c r="Q18" s="1155">
        <f>'G Price-Aid'!P18+'G Price-Aid'!P20</f>
        <v>4153945.447</v>
      </c>
      <c r="R18" s="1151"/>
      <c r="S18" s="1"/>
      <c r="T18" s="1"/>
      <c r="U18" s="1"/>
      <c r="V18" s="1"/>
      <c r="W18" s="1"/>
      <c r="X18" s="1"/>
      <c r="Y18" s="1"/>
      <c r="Z18" s="1"/>
    </row>
    <row r="19" ht="14.25" customHeight="1">
      <c r="A19" s="1"/>
      <c r="B19" s="132" t="s">
        <v>764</v>
      </c>
      <c r="C19" s="132"/>
      <c r="D19" s="132"/>
      <c r="E19" s="1142">
        <f>'E Budg CY'!N44</f>
        <v>5774308</v>
      </c>
      <c r="F19" s="1154"/>
      <c r="G19" s="1155">
        <f>IF('J Proj CY'!F$151&gt;0,'J Proj CY'!H44,'J Proj CY'!N44)</f>
        <v>5439130.817</v>
      </c>
      <c r="H19" s="1151"/>
      <c r="I19" s="1262">
        <f>-'M Non student'!H92+'M Non student'!H119-I18</f>
        <v>4738920.106</v>
      </c>
      <c r="J19" s="1151"/>
      <c r="K19" s="1262">
        <f>-'M Non student'!J92+'M Non student'!J119-K18</f>
        <v>4587287.965</v>
      </c>
      <c r="L19" s="1151"/>
      <c r="M19" s="1262">
        <f>-'M Non student'!L92+'M Non student'!L119-M18</f>
        <v>3824423.94</v>
      </c>
      <c r="N19" s="1154"/>
      <c r="O19" s="1262">
        <f>-'M Non student'!N92+'M Non student'!N119-O18</f>
        <v>3662763.569</v>
      </c>
      <c r="P19" s="1151"/>
      <c r="Q19" s="1262">
        <f>-'M Non student'!P92+'M Non student'!P119-Q18</f>
        <v>3509638.854</v>
      </c>
      <c r="R19" s="1151"/>
      <c r="S19" s="1"/>
      <c r="T19" s="1"/>
      <c r="U19" s="1"/>
      <c r="V19" s="1"/>
      <c r="W19" s="1"/>
      <c r="X19" s="1"/>
      <c r="Y19" s="1"/>
      <c r="Z19" s="1"/>
    </row>
    <row r="20" ht="7.5" customHeight="1">
      <c r="A20" s="1"/>
      <c r="B20" s="89"/>
      <c r="C20" s="89"/>
      <c r="D20" s="89"/>
      <c r="E20" s="1263"/>
      <c r="F20" s="1129"/>
      <c r="G20" s="1263"/>
      <c r="H20" s="1264"/>
      <c r="I20" s="438"/>
      <c r="J20" s="1264"/>
      <c r="K20" s="438"/>
      <c r="L20" s="1264"/>
      <c r="M20" s="438"/>
      <c r="N20" s="1129"/>
      <c r="O20" s="438"/>
      <c r="P20" s="1264"/>
      <c r="Q20" s="438"/>
      <c r="R20" s="1264"/>
      <c r="S20" s="1"/>
      <c r="T20" s="1"/>
      <c r="U20" s="1"/>
      <c r="V20" s="1"/>
      <c r="W20" s="1"/>
      <c r="X20" s="1"/>
      <c r="Y20" s="1"/>
      <c r="Z20" s="1"/>
    </row>
    <row r="21" ht="14.25" customHeight="1">
      <c r="A21" s="1"/>
      <c r="B21" s="158" t="s">
        <v>765</v>
      </c>
      <c r="C21" s="158"/>
      <c r="D21" s="158"/>
      <c r="E21" s="438">
        <f>SUM(E15:E19)</f>
        <v>62732139</v>
      </c>
      <c r="F21" s="1143"/>
      <c r="G21" s="438">
        <f>SUM(G15:G19)</f>
        <v>71044430.21</v>
      </c>
      <c r="H21" s="1144">
        <f>G21/E21-1</f>
        <v>0.132504508</v>
      </c>
      <c r="I21" s="438">
        <f>SUM(I15:I19)</f>
        <v>72071433.88</v>
      </c>
      <c r="J21" s="1144">
        <f>I21/G21-1</f>
        <v>0.01445579433</v>
      </c>
      <c r="K21" s="438">
        <f>SUM(K15:K19)</f>
        <v>73056490.17</v>
      </c>
      <c r="L21" s="1144">
        <f>K21/I21-1</f>
        <v>0.01366777708</v>
      </c>
      <c r="M21" s="438">
        <f>SUM(M15:M19)</f>
        <v>75136764.15</v>
      </c>
      <c r="N21" s="1143">
        <f>M21/K21-1</f>
        <v>0.02847486889</v>
      </c>
      <c r="O21" s="438">
        <f>SUM(O15:O19)</f>
        <v>76455268.91</v>
      </c>
      <c r="P21" s="1144">
        <f>O21/M21-1</f>
        <v>0.01754806415</v>
      </c>
      <c r="Q21" s="438">
        <f>SUM(Q15:Q19)</f>
        <v>77698839</v>
      </c>
      <c r="R21" s="1144">
        <f>Q21/O21-1</f>
        <v>0.01626532889</v>
      </c>
      <c r="S21" s="1"/>
      <c r="T21" s="1"/>
      <c r="U21" s="1"/>
      <c r="V21" s="1"/>
      <c r="W21" s="1"/>
      <c r="X21" s="1"/>
      <c r="Y21" s="1"/>
      <c r="Z21" s="1"/>
    </row>
    <row r="22" ht="7.5" customHeight="1">
      <c r="A22" s="1"/>
      <c r="B22" s="89"/>
      <c r="C22" s="89"/>
      <c r="D22" s="89"/>
      <c r="E22" s="1178"/>
      <c r="F22" s="1129"/>
      <c r="G22" s="1178"/>
      <c r="H22" s="437"/>
      <c r="I22" s="1178"/>
      <c r="J22" s="437"/>
      <c r="K22" s="1178"/>
      <c r="L22" s="1265"/>
      <c r="M22" s="1178"/>
      <c r="N22" s="437"/>
      <c r="O22" s="1178"/>
      <c r="P22" s="1265"/>
      <c r="Q22" s="1178"/>
      <c r="R22" s="437"/>
      <c r="S22" s="1"/>
      <c r="T22" s="1"/>
      <c r="U22" s="1"/>
      <c r="V22" s="1"/>
      <c r="W22" s="1"/>
      <c r="X22" s="1"/>
      <c r="Y22" s="1"/>
      <c r="Z22" s="1"/>
    </row>
    <row r="23" ht="14.25" customHeight="1">
      <c r="A23" s="1"/>
      <c r="B23" s="158" t="s">
        <v>199</v>
      </c>
      <c r="C23" s="158"/>
      <c r="D23" s="158"/>
      <c r="E23" s="1142"/>
      <c r="F23" s="1154"/>
      <c r="G23" s="158"/>
      <c r="H23" s="437"/>
      <c r="I23" s="438"/>
      <c r="J23" s="437"/>
      <c r="K23" s="438"/>
      <c r="L23" s="437"/>
      <c r="M23" s="438"/>
      <c r="N23" s="437"/>
      <c r="O23" s="438"/>
      <c r="P23" s="1265"/>
      <c r="Q23" s="438"/>
      <c r="R23" s="437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89" t="s">
        <v>662</v>
      </c>
      <c r="C24" s="89"/>
      <c r="D24" s="89"/>
      <c r="E24" s="1142">
        <f>SUM('E Budg CY'!L50:L62)</f>
        <v>36462423.71</v>
      </c>
      <c r="F24" s="1129"/>
      <c r="G24" s="1155">
        <f>IF('J Proj CY'!F$151&gt;0,'J Proj CY'!H78-SUM('J Proj CY'!F64:F76),'J Proj CY'!N78-SUM('J Proj CY'!L64:L76))</f>
        <v>37482130.83</v>
      </c>
      <c r="H24" s="437"/>
      <c r="I24" s="438">
        <f>SUM('E Budg CY'!F50:F62)+'N Next Yr'!E40+'N Next Yr'!E67-'N Next Yr'!J38</f>
        <v>40579292</v>
      </c>
      <c r="J24" s="437"/>
      <c r="K24" s="438">
        <f>IF('F Population'!U$20&gt;0,IF('F Population'!W$20/'F Population'!U$20&gt;1,I24*(1+('F Population'!W$20/'F Population'!U$20-1)*$C$5)*(1+'M Non student'!J$27),I24*(1+('F Population'!W$20/'F Population'!U$20-1)*$A$5)*(1+'M Non student'!J$27)),I24*(1+'M Non student'!J$27))</f>
        <v>41786825.57</v>
      </c>
      <c r="L24" s="437"/>
      <c r="M24" s="438">
        <f>IF('F Population'!W$20&gt;0,IF('F Population'!Y$20/'F Population'!W$20&gt;1,K24*(1+('F Population'!Y$20/'F Population'!W$20-1)*$C$5)*(1+'M Non student'!L$27),K24*(1+('F Population'!Y$20/'F Population'!W$20-1)*$A$5)*(1+'M Non student'!L$27)),K24*(1+'M Non student'!L$27))</f>
        <v>43258624.71</v>
      </c>
      <c r="N24" s="437"/>
      <c r="O24" s="438">
        <f>IF('F Population'!Y$20&gt;0,IF('F Population'!AA$20/'F Population'!Y$20&gt;1,M24*(1+('F Population'!AA$20/'F Population'!Y$20-1)*$C$5)*(1+'M Non student'!N$27),M24*(1+('F Population'!AA$20/'F Population'!Y$20-1)*$A$5)*(1+'M Non student'!N$27)),M24*(1+'M Non student'!N$27))</f>
        <v>44447077.14</v>
      </c>
      <c r="P24" s="437"/>
      <c r="Q24" s="438">
        <f>IF('F Population'!AA$20&gt;0,IF('F Population'!AC$20/'F Population'!AA$20&gt;1,O24*(1+('F Population'!AC$20/'F Population'!AA$20-1)*$C$5)*(1+'M Non student'!P$27),O24*(1+('F Population'!AC$20/'F Population'!AA$20-1)*$A$5)*(1+'M Non student'!P$27)),O24*(1+'M Non student'!P$27))</f>
        <v>45570370.62</v>
      </c>
      <c r="R24" s="437"/>
      <c r="S24" s="1"/>
      <c r="T24" s="1"/>
      <c r="U24" s="1"/>
      <c r="V24" s="1"/>
      <c r="W24" s="1"/>
      <c r="X24" s="1"/>
      <c r="Y24" s="1"/>
      <c r="Z24" s="1"/>
    </row>
    <row r="25" ht="14.25" customHeight="1">
      <c r="A25" s="1"/>
      <c r="B25" s="89" t="s">
        <v>663</v>
      </c>
      <c r="C25" s="89"/>
      <c r="D25" s="89"/>
      <c r="E25" s="1142">
        <f>'E Budg CY'!L68</f>
        <v>2834988</v>
      </c>
      <c r="F25" s="1129"/>
      <c r="G25" s="1155">
        <f>IF('J Proj CY'!F151&gt;0,'J Proj CY'!F68,'J Proj CY'!L68)</f>
        <v>3032700</v>
      </c>
      <c r="H25" s="437"/>
      <c r="I25" s="438">
        <f>'E Budg CY'!F68+'N Next Yr'!J38</f>
        <v>3750000</v>
      </c>
      <c r="J25" s="437"/>
      <c r="K25" s="438">
        <f>I25*(1+'M Non student'!J29)</f>
        <v>3975000</v>
      </c>
      <c r="L25" s="437"/>
      <c r="M25" s="438">
        <f>K25*(1+'M Non student'!L29)</f>
        <v>4173750</v>
      </c>
      <c r="N25" s="437"/>
      <c r="O25" s="438">
        <f>M25*(1+'M Non student'!N29)</f>
        <v>4382437.5</v>
      </c>
      <c r="P25" s="437"/>
      <c r="Q25" s="438">
        <f>O25*(1+'M Non student'!P29)</f>
        <v>4601559.375</v>
      </c>
      <c r="R25" s="437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89" t="s">
        <v>129</v>
      </c>
      <c r="C26" s="89"/>
      <c r="D26" s="89"/>
      <c r="E26" s="1142">
        <f>'E Budg CY'!L74</f>
        <v>8377045</v>
      </c>
      <c r="F26" s="1129"/>
      <c r="G26" s="291">
        <f>IF('J Proj CY'!F$151&gt;0,'J Proj CY'!F74,'J Proj CY'!L74)</f>
        <v>8415372</v>
      </c>
      <c r="H26" s="437"/>
      <c r="I26" s="438">
        <f>'H Non trad'!H47</f>
        <v>8556000</v>
      </c>
      <c r="J26" s="437"/>
      <c r="K26" s="438">
        <f>'H Non trad'!J47</f>
        <v>8448000</v>
      </c>
      <c r="L26" s="437"/>
      <c r="M26" s="438">
        <f>'H Non trad'!L47</f>
        <v>8330000</v>
      </c>
      <c r="N26" s="437"/>
      <c r="O26" s="438">
        <f>'H Non trad'!N47</f>
        <v>8360000</v>
      </c>
      <c r="P26" s="437"/>
      <c r="Q26" s="438">
        <f>'H Non trad'!P47</f>
        <v>8580000</v>
      </c>
      <c r="R26" s="437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"/>
      <c r="B27" s="89" t="s">
        <v>207</v>
      </c>
      <c r="C27" s="89"/>
      <c r="D27" s="89"/>
      <c r="E27" s="438">
        <f>-E86</f>
        <v>6339780</v>
      </c>
      <c r="F27" s="1129"/>
      <c r="G27" s="438">
        <f>-G86</f>
        <v>6801342</v>
      </c>
      <c r="H27" s="437"/>
      <c r="I27" s="438">
        <f>-I86</f>
        <v>6750000</v>
      </c>
      <c r="J27" s="437"/>
      <c r="K27" s="438">
        <f>-K86</f>
        <v>6950862.342</v>
      </c>
      <c r="L27" s="437"/>
      <c r="M27" s="438">
        <f>IF('F Population'!W$20&gt;0,IF('F Population'!Y$20/'F Population'!W$20&gt;1,K27*(1+('F Population'!Y$20/'F Population'!W$20-1)*$C$5)*(1+'M Non student'!L$27),K27*(1+('F Population'!Y$20/'F Population'!W$20-1)*$A$5)*(1+'M Non student'!L$27)),K27*(1+'M Non student'!L$27))</f>
        <v>7195682.881</v>
      </c>
      <c r="N27" s="437"/>
      <c r="O27" s="438">
        <f>IF('F Population'!Y$20&gt;0,IF('F Population'!AA$20/'F Population'!Y$20&gt;1,M27*(1+('F Population'!AA$20/'F Population'!Y$20-1)*$C$5)*(1+'M Non student'!N$27),M27*(1+('F Population'!AA$20/'F Population'!Y$20-1)*$A$5)*(1+'M Non student'!N$27)),M27*(1+'M Non student'!N$27))</f>
        <v>7393371.247</v>
      </c>
      <c r="P27" s="437"/>
      <c r="Q27" s="438">
        <f>IF('F Population'!AA$20&gt;0,IF('F Population'!AC$20/'F Population'!AA$20&gt;1,O27*(1+('F Population'!AC$20/'F Population'!AA$20-1)*$C$5)*(1+'M Non student'!P$27),O27*(1+('F Population'!AC$20/'F Population'!AA$20-1)*$A$5)*(1+'M Non student'!P$27)),O27*(1+'M Non student'!P$27))</f>
        <v>7580221.008</v>
      </c>
      <c r="R27" s="437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89" t="s">
        <v>770</v>
      </c>
      <c r="C28" s="89"/>
      <c r="D28" s="89"/>
      <c r="E28" s="1142">
        <v>0.0</v>
      </c>
      <c r="F28" s="1129"/>
      <c r="G28" s="291">
        <f>IF('J Proj CY'!F$151&gt;0,'J Proj CY'!F72,'J Proj CY'!L72)</f>
        <v>105000</v>
      </c>
      <c r="H28" s="437"/>
      <c r="I28" s="438">
        <f>G28+'L Capital'!P50*'L Capital'!P52</f>
        <v>105000</v>
      </c>
      <c r="J28" s="437"/>
      <c r="K28" s="438">
        <f>'L Capital'!T50*'L Capital'!T52+I28*(1+'M Non student'!J27)</f>
        <v>357625</v>
      </c>
      <c r="L28" s="437"/>
      <c r="M28" s="438">
        <f>'L Capital'!X50*'L Capital'!X52+K28*(1+'M Non student'!L27)</f>
        <v>766565.625</v>
      </c>
      <c r="N28" s="437"/>
      <c r="O28" s="438">
        <f>'L Capital'!AB50*'L Capital'!AB52+M28*(1+'M Non student'!N27)</f>
        <v>1035729.766</v>
      </c>
      <c r="P28" s="437"/>
      <c r="Q28" s="438">
        <f>'L Capital'!AF50*'L Capital'!AF52+O28*(1+'M Non student'!P27)</f>
        <v>1311623.01</v>
      </c>
      <c r="R28" s="437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"/>
      <c r="B29" s="89" t="s">
        <v>118</v>
      </c>
      <c r="C29" s="89"/>
      <c r="D29" s="89"/>
      <c r="E29" s="1142">
        <f>'E Budg CY'!L66</f>
        <v>1392731.288</v>
      </c>
      <c r="F29" s="1129"/>
      <c r="G29" s="291">
        <f>IF('J Proj CY'!F$151&gt;0,'J Proj CY'!F66,'J Proj CY'!L66)</f>
        <v>1497652.397</v>
      </c>
      <c r="H29" s="437"/>
      <c r="I29" s="438">
        <f>'L Capital'!P183</f>
        <v>1606389.943</v>
      </c>
      <c r="J29" s="437"/>
      <c r="K29" s="438">
        <f>'L Capital'!T183</f>
        <v>1564977.256</v>
      </c>
      <c r="L29" s="437"/>
      <c r="M29" s="438">
        <f>'L Capital'!X183</f>
        <v>1521831.018</v>
      </c>
      <c r="N29" s="437"/>
      <c r="O29" s="438">
        <f>'L Capital'!AB183</f>
        <v>1476895.026</v>
      </c>
      <c r="P29" s="437"/>
      <c r="Q29" s="438">
        <f>'L Capital'!AF183</f>
        <v>1416318.381</v>
      </c>
      <c r="R29" s="437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89" t="s">
        <v>775</v>
      </c>
      <c r="C30" s="89"/>
      <c r="D30" s="89"/>
      <c r="E30" s="1142" t="str">
        <f>'E Budg CY'!L76</f>
        <v/>
      </c>
      <c r="F30" s="1129"/>
      <c r="G30" s="291">
        <f>IF('J Proj CY'!F$151&gt;0,'J Proj CY'!F76,'J Proj CY'!L76)</f>
        <v>231140</v>
      </c>
      <c r="H30" s="437"/>
      <c r="I30" s="438">
        <f>'K Strategic'!J33</f>
        <v>0</v>
      </c>
      <c r="J30" s="437"/>
      <c r="K30" s="438">
        <f>'K Strategic'!L33</f>
        <v>0</v>
      </c>
      <c r="L30" s="437"/>
      <c r="M30" s="438">
        <f>'K Strategic'!N33</f>
        <v>0</v>
      </c>
      <c r="N30" s="437"/>
      <c r="O30" s="438">
        <f>'K Strategic'!P33</f>
        <v>0</v>
      </c>
      <c r="P30" s="437"/>
      <c r="Q30" s="438">
        <f>'K Strategic'!R33</f>
        <v>0</v>
      </c>
      <c r="R30" s="437"/>
      <c r="S30" s="1"/>
      <c r="T30" s="1"/>
      <c r="U30" s="1"/>
      <c r="V30" s="1"/>
      <c r="W30" s="1"/>
      <c r="X30" s="1"/>
      <c r="Y30" s="1"/>
      <c r="Z30" s="1"/>
    </row>
    <row r="31" ht="14.25" customHeight="1">
      <c r="A31" s="1"/>
      <c r="B31" s="89" t="s">
        <v>671</v>
      </c>
      <c r="C31" s="89"/>
      <c r="D31" s="89"/>
      <c r="E31" s="1177" t="str">
        <f>'D PY Audit'!M72</f>
        <v/>
      </c>
      <c r="F31" s="1129"/>
      <c r="G31" s="1295" t="str">
        <f>IF('J Proj CY'!F$151&gt;0,'J Proj CY'!F70,'J Proj CY'!L70)</f>
        <v/>
      </c>
      <c r="H31" s="437"/>
      <c r="I31" s="1295" t="str">
        <f>'M Non student'!H123</f>
        <v/>
      </c>
      <c r="J31" s="437"/>
      <c r="K31" s="1295" t="str">
        <f>'M Non student'!J123</f>
        <v/>
      </c>
      <c r="L31" s="437"/>
      <c r="M31" s="1295" t="str">
        <f>'M Non student'!L123</f>
        <v/>
      </c>
      <c r="N31" s="437"/>
      <c r="O31" s="1295" t="str">
        <f>'M Non student'!N123</f>
        <v/>
      </c>
      <c r="P31" s="437"/>
      <c r="Q31" s="1295" t="str">
        <f>'M Non student'!P123</f>
        <v/>
      </c>
      <c r="R31" s="437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132" t="s">
        <v>131</v>
      </c>
      <c r="C32" s="132"/>
      <c r="D32" s="132"/>
      <c r="E32" s="438">
        <f>SUM(E24:E31)</f>
        <v>55406968</v>
      </c>
      <c r="F32" s="1154"/>
      <c r="G32" s="438">
        <f>SUM(G24:G31)</f>
        <v>57565337.22</v>
      </c>
      <c r="H32" s="437"/>
      <c r="I32" s="438">
        <f>SUM(I24:I31)</f>
        <v>61346681.94</v>
      </c>
      <c r="J32" s="437"/>
      <c r="K32" s="438">
        <f>SUM(K24:K31)</f>
        <v>63083290.17</v>
      </c>
      <c r="L32" s="437"/>
      <c r="M32" s="438">
        <f>SUM(M24:M31)</f>
        <v>65246454.23</v>
      </c>
      <c r="N32" s="437"/>
      <c r="O32" s="438">
        <f>SUM(O24:O31)</f>
        <v>67095510.68</v>
      </c>
      <c r="P32" s="437"/>
      <c r="Q32" s="438">
        <f>SUM(Q24:Q31)</f>
        <v>69060092.4</v>
      </c>
      <c r="R32" s="437"/>
      <c r="S32" s="1"/>
      <c r="T32" s="1"/>
      <c r="U32" s="1"/>
      <c r="V32" s="1"/>
      <c r="W32" s="1"/>
      <c r="X32" s="1"/>
      <c r="Y32" s="1"/>
      <c r="Z32" s="1"/>
    </row>
    <row r="33" ht="14.25" customHeight="1">
      <c r="A33" s="1"/>
      <c r="B33" s="132" t="s">
        <v>133</v>
      </c>
      <c r="C33" s="132"/>
      <c r="D33" s="132"/>
      <c r="E33" s="1177">
        <f>'E Budg CY'!N80</f>
        <v>6937000</v>
      </c>
      <c r="F33" s="1154"/>
      <c r="G33" s="1262">
        <f>IF('J Proj CY'!F$151&gt;0,'J Proj CY'!H80,'J Proj CY'!N80)</f>
        <v>7039635.775</v>
      </c>
      <c r="H33" s="437"/>
      <c r="I33" s="1178">
        <f>'L Capital'!P192</f>
        <v>6977450.781</v>
      </c>
      <c r="J33" s="437"/>
      <c r="K33" s="1178">
        <f>'L Capital'!T192</f>
        <v>7015315.996</v>
      </c>
      <c r="L33" s="437"/>
      <c r="M33" s="1178">
        <f>'L Capital'!X192</f>
        <v>6989512.796</v>
      </c>
      <c r="N33" s="437"/>
      <c r="O33" s="1178">
        <f>'L Capital'!AB192</f>
        <v>6961543.437</v>
      </c>
      <c r="P33" s="437"/>
      <c r="Q33" s="1178">
        <f>'L Capital'!AF192</f>
        <v>6936133.466</v>
      </c>
      <c r="R33" s="437"/>
      <c r="S33" s="1"/>
      <c r="T33" s="1"/>
      <c r="U33" s="1"/>
      <c r="V33" s="1"/>
      <c r="W33" s="1"/>
      <c r="X33" s="1"/>
      <c r="Y33" s="1"/>
      <c r="Z33" s="1"/>
    </row>
    <row r="34" ht="7.5" customHeight="1">
      <c r="A34" s="1"/>
      <c r="B34" s="1303" t="s">
        <v>475</v>
      </c>
      <c r="C34" s="89"/>
      <c r="D34" s="89"/>
      <c r="E34" s="1142"/>
      <c r="F34" s="1129"/>
      <c r="G34" s="89"/>
      <c r="H34" s="437"/>
      <c r="I34" s="438"/>
      <c r="J34" s="437"/>
      <c r="K34" s="438"/>
      <c r="L34" s="437"/>
      <c r="M34" s="438"/>
      <c r="N34" s="437"/>
      <c r="O34" s="438"/>
      <c r="P34" s="437"/>
      <c r="Q34" s="438"/>
      <c r="R34" s="437"/>
      <c r="S34" s="1"/>
      <c r="T34" s="1"/>
      <c r="U34" s="1"/>
      <c r="V34" s="1"/>
      <c r="W34" s="1"/>
      <c r="X34" s="1"/>
      <c r="Y34" s="1"/>
      <c r="Z34" s="1"/>
    </row>
    <row r="35" ht="14.25" customHeight="1">
      <c r="A35" s="1"/>
      <c r="B35" s="132" t="s">
        <v>784</v>
      </c>
      <c r="C35" s="158"/>
      <c r="D35" s="158"/>
      <c r="E35" s="1177">
        <f>E32+E33</f>
        <v>62343968</v>
      </c>
      <c r="F35" s="1154"/>
      <c r="G35" s="1178">
        <f>G32+G33</f>
        <v>64604973</v>
      </c>
      <c r="H35" s="1144">
        <f>G35/E35-1</f>
        <v>0.03626662005</v>
      </c>
      <c r="I35" s="1178">
        <f>I32+I33</f>
        <v>68324132.72</v>
      </c>
      <c r="J35" s="1144">
        <f>I35/G35-1</f>
        <v>0.0575677003</v>
      </c>
      <c r="K35" s="1178">
        <f>K32+K33</f>
        <v>70098606.17</v>
      </c>
      <c r="L35" s="1144">
        <f>K35/I35-1</f>
        <v>0.02597140091</v>
      </c>
      <c r="M35" s="1178">
        <f>M32+M33</f>
        <v>72235967.03</v>
      </c>
      <c r="N35" s="1144">
        <f>M35/K35-1</f>
        <v>0.03049077545</v>
      </c>
      <c r="O35" s="1178">
        <f>O32+O33</f>
        <v>74057054.11</v>
      </c>
      <c r="P35" s="1144">
        <f>O35/M35-1</f>
        <v>0.02521025413</v>
      </c>
      <c r="Q35" s="1178">
        <f>Q32+Q33</f>
        <v>75996225.86</v>
      </c>
      <c r="R35" s="1144">
        <f>Q35/O35-1</f>
        <v>0.0261848351</v>
      </c>
      <c r="S35" s="1"/>
      <c r="T35" s="1"/>
      <c r="U35" s="1"/>
      <c r="V35" s="1"/>
      <c r="W35" s="1"/>
      <c r="X35" s="1"/>
      <c r="Y35" s="1"/>
      <c r="Z35" s="1"/>
    </row>
    <row r="36" ht="7.5" customHeight="1">
      <c r="A36" s="1"/>
      <c r="B36" s="1303"/>
      <c r="C36" s="89"/>
      <c r="D36" s="89"/>
      <c r="E36" s="1142"/>
      <c r="F36" s="1129"/>
      <c r="G36" s="438"/>
      <c r="H36" s="1144"/>
      <c r="I36" s="438"/>
      <c r="J36" s="1144"/>
      <c r="K36" s="438"/>
      <c r="L36" s="1144"/>
      <c r="M36" s="438"/>
      <c r="N36" s="1144"/>
      <c r="O36" s="438"/>
      <c r="P36" s="1144"/>
      <c r="Q36" s="438"/>
      <c r="R36" s="1144"/>
      <c r="S36" s="1"/>
      <c r="T36" s="1"/>
      <c r="U36" s="1"/>
      <c r="V36" s="1"/>
      <c r="W36" s="1"/>
      <c r="X36" s="1"/>
      <c r="Y36" s="1"/>
      <c r="Z36" s="1"/>
    </row>
    <row r="37" ht="13.5" customHeight="1">
      <c r="A37" s="1"/>
      <c r="B37" s="132" t="s">
        <v>789</v>
      </c>
      <c r="C37" s="158"/>
      <c r="D37" s="158"/>
      <c r="E37" s="1142">
        <f>E21-E35</f>
        <v>388171</v>
      </c>
      <c r="F37" s="1154"/>
      <c r="G37" s="438">
        <f>G21-G35</f>
        <v>6439457.211</v>
      </c>
      <c r="H37" s="1144"/>
      <c r="I37" s="438">
        <f>I21-I35</f>
        <v>3747301.158</v>
      </c>
      <c r="J37" s="1144"/>
      <c r="K37" s="438">
        <f>K21-K35</f>
        <v>2957884.008</v>
      </c>
      <c r="L37" s="1144"/>
      <c r="M37" s="438">
        <f>M21-M35</f>
        <v>2900797.127</v>
      </c>
      <c r="N37" s="1144"/>
      <c r="O37" s="438">
        <f>O21-O35</f>
        <v>2398214.799</v>
      </c>
      <c r="P37" s="1144"/>
      <c r="Q37" s="438">
        <f>Q21-Q35</f>
        <v>1702613.143</v>
      </c>
      <c r="R37" s="1144"/>
      <c r="S37" s="1"/>
      <c r="T37" s="1"/>
      <c r="U37" s="1"/>
      <c r="V37" s="1"/>
      <c r="W37" s="1"/>
      <c r="X37" s="1"/>
      <c r="Y37" s="1"/>
      <c r="Z37" s="1"/>
    </row>
    <row r="38" ht="16.5" customHeight="1">
      <c r="A38" s="1"/>
      <c r="B38" s="132" t="s">
        <v>791</v>
      </c>
      <c r="C38" s="158"/>
      <c r="D38" s="158"/>
      <c r="E38" s="1142">
        <f>'E Budg CY'!N87</f>
        <v>1657229</v>
      </c>
      <c r="F38" s="1154"/>
      <c r="G38" s="1155">
        <f>IF('J Proj CY'!F$151&gt;0,'J Proj CY'!H87,'J Proj CY'!N87)</f>
        <v>2934772</v>
      </c>
      <c r="H38" s="1144"/>
      <c r="I38" s="438">
        <f>'L Capital'!P281</f>
        <v>3200000</v>
      </c>
      <c r="J38" s="1144"/>
      <c r="K38" s="438">
        <f>'L Capital'!T281</f>
        <v>1300000</v>
      </c>
      <c r="L38" s="1144"/>
      <c r="M38" s="438">
        <f>'L Capital'!X281</f>
        <v>0</v>
      </c>
      <c r="N38" s="1144"/>
      <c r="O38" s="438">
        <f>'L Capital'!AB281</f>
        <v>0</v>
      </c>
      <c r="P38" s="1144"/>
      <c r="Q38" s="438">
        <f>'L Capital'!AF281</f>
        <v>0</v>
      </c>
      <c r="R38" s="1144"/>
      <c r="S38" s="1"/>
      <c r="T38" s="1"/>
      <c r="U38" s="1"/>
      <c r="V38" s="1"/>
      <c r="W38" s="1"/>
      <c r="X38" s="1"/>
      <c r="Y38" s="1"/>
      <c r="Z38" s="1"/>
    </row>
    <row r="39" ht="14.25" customHeight="1">
      <c r="A39" s="1"/>
      <c r="B39" s="132" t="s">
        <v>794</v>
      </c>
      <c r="C39" s="1"/>
      <c r="D39" s="1"/>
      <c r="E39" s="1262">
        <f>'E Budg CY'!N89</f>
        <v>-1030000</v>
      </c>
      <c r="F39" s="1173"/>
      <c r="G39" s="1262">
        <f>IF('J Proj CY'!F151&gt;1,'J Proj CY'!H89,'J Proj CY'!N89)</f>
        <v>-370070</v>
      </c>
      <c r="H39" s="1174"/>
      <c r="I39" s="1262">
        <f>'M Non student'!H38</f>
        <v>1260000</v>
      </c>
      <c r="J39" s="1174"/>
      <c r="K39" s="1262">
        <f>'M Non student'!J38</f>
        <v>500000</v>
      </c>
      <c r="L39" s="1174"/>
      <c r="M39" s="1262">
        <f>'M Non student'!L38</f>
        <v>500000</v>
      </c>
      <c r="N39" s="1174"/>
      <c r="O39" s="1262">
        <f>'M Non student'!N38</f>
        <v>500000</v>
      </c>
      <c r="P39" s="1174"/>
      <c r="Q39" s="1262">
        <f>'M Non student'!P38</f>
        <v>500000</v>
      </c>
      <c r="R39" s="1174"/>
      <c r="S39" s="1"/>
      <c r="T39" s="1"/>
      <c r="U39" s="1"/>
      <c r="V39" s="1"/>
      <c r="W39" s="1"/>
      <c r="X39" s="1"/>
      <c r="Y39" s="1"/>
      <c r="Z39" s="1"/>
    </row>
    <row r="40" ht="6.75" customHeight="1">
      <c r="A40" s="1"/>
      <c r="B40" s="1315"/>
      <c r="C40" s="1"/>
      <c r="D40" s="1"/>
      <c r="E40" s="1155"/>
      <c r="F40" s="1173"/>
      <c r="G40" s="1155"/>
      <c r="H40" s="1174"/>
      <c r="I40" s="1155"/>
      <c r="J40" s="1174"/>
      <c r="K40" s="1155"/>
      <c r="L40" s="1174"/>
      <c r="M40" s="1155"/>
      <c r="N40" s="1174"/>
      <c r="O40" s="1155"/>
      <c r="P40" s="1174"/>
      <c r="Q40" s="1155"/>
      <c r="R40" s="1174"/>
      <c r="S40" s="1"/>
      <c r="T40" s="1"/>
      <c r="U40" s="1"/>
      <c r="V40" s="1"/>
      <c r="W40" s="1"/>
      <c r="X40" s="1"/>
      <c r="Y40" s="1"/>
      <c r="Z40" s="1"/>
    </row>
    <row r="41" ht="13.5" customHeight="1">
      <c r="A41" s="1"/>
      <c r="B41" s="132" t="s">
        <v>796</v>
      </c>
      <c r="C41" s="89"/>
      <c r="D41" s="89"/>
      <c r="E41" s="1142">
        <f>E37+E38+E39</f>
        <v>1015400</v>
      </c>
      <c r="F41" s="1120"/>
      <c r="G41" s="1142">
        <f>G37+G38+G39</f>
        <v>9004159.211</v>
      </c>
      <c r="H41" s="1144">
        <f>G41/G21</f>
        <v>0.1267398329</v>
      </c>
      <c r="I41" s="1142">
        <f>I37+I38+I39</f>
        <v>8207301.158</v>
      </c>
      <c r="J41" s="1144">
        <f>I41/I21</f>
        <v>0.1138773119</v>
      </c>
      <c r="K41" s="1142">
        <f>K37+K38+K39</f>
        <v>4757884.008</v>
      </c>
      <c r="L41" s="1144">
        <f>K41/K21</f>
        <v>0.06512609621</v>
      </c>
      <c r="M41" s="1142">
        <f>M37+M38+M39</f>
        <v>3400797.127</v>
      </c>
      <c r="N41" s="1144">
        <f>M41/M21</f>
        <v>0.04526142648</v>
      </c>
      <c r="O41" s="1142">
        <f>O37+O38+O39</f>
        <v>2898214.799</v>
      </c>
      <c r="P41" s="1144">
        <f>O41/O21</f>
        <v>0.03790732594</v>
      </c>
      <c r="Q41" s="1142">
        <f>Q37+Q38+Q39</f>
        <v>2202613.143</v>
      </c>
      <c r="R41" s="1144">
        <f>Q41/Q21</f>
        <v>0.02834808307</v>
      </c>
      <c r="S41" s="1"/>
      <c r="T41" s="1"/>
      <c r="U41" s="1"/>
      <c r="V41" s="1"/>
      <c r="W41" s="1"/>
      <c r="X41" s="1"/>
      <c r="Y41" s="1"/>
      <c r="Z41" s="1"/>
    </row>
    <row r="42" ht="14.25" customHeight="1">
      <c r="A42" s="1"/>
      <c r="B42" s="132" t="s">
        <v>801</v>
      </c>
      <c r="C42" s="89"/>
      <c r="D42" s="89"/>
      <c r="E42" s="1142">
        <f>'E Budg CY'!N94</f>
        <v>5974337</v>
      </c>
      <c r="F42" s="1129"/>
      <c r="G42" s="1155">
        <f>'M Non student'!F139</f>
        <v>4949337.403</v>
      </c>
      <c r="H42" s="1129"/>
      <c r="I42" s="1155">
        <f>'M Non student'!H139</f>
        <v>3896774.598</v>
      </c>
      <c r="J42" s="1323"/>
      <c r="K42" s="1155">
        <f>'M Non student'!J139</f>
        <v>5473209.415</v>
      </c>
      <c r="L42" s="1323"/>
      <c r="M42" s="1155">
        <f>'M Non student'!L139</f>
        <v>5246692.256</v>
      </c>
      <c r="N42" s="1323"/>
      <c r="O42" s="1155">
        <f>'M Non student'!N139</f>
        <v>5591533.972</v>
      </c>
      <c r="P42" s="1323"/>
      <c r="Q42" s="1155">
        <f>'M Non student'!P139</f>
        <v>3413326.577</v>
      </c>
      <c r="R42" s="437"/>
      <c r="S42" s="1"/>
      <c r="T42" s="1"/>
      <c r="U42" s="1"/>
      <c r="V42" s="1"/>
      <c r="W42" s="1"/>
      <c r="X42" s="1"/>
      <c r="Y42" s="1"/>
      <c r="Z42" s="1"/>
    </row>
    <row r="43" ht="14.25" customHeight="1">
      <c r="A43" s="1"/>
      <c r="B43" s="132" t="s">
        <v>804</v>
      </c>
      <c r="C43" s="89"/>
      <c r="D43" s="89"/>
      <c r="E43" s="1177">
        <f>'E Budg CY'!N96</f>
        <v>3071226</v>
      </c>
      <c r="F43" s="1129"/>
      <c r="G43" s="1295">
        <f>'R Bal sheets'!H38-'R Bal sheets'!F38</f>
        <v>8000000</v>
      </c>
      <c r="H43" s="1129"/>
      <c r="I43" s="1295">
        <f>'R Bal sheets'!J38-'R Bal sheets'!H38</f>
        <v>8000000</v>
      </c>
      <c r="J43" s="1323"/>
      <c r="K43" s="1295">
        <f>'R Bal sheets'!L38-'R Bal sheets'!J38</f>
        <v>7000000</v>
      </c>
      <c r="L43" s="1323"/>
      <c r="M43" s="1295">
        <f>'R Bal sheets'!N38-'R Bal sheets'!L38</f>
        <v>7200000</v>
      </c>
      <c r="N43" s="1323"/>
      <c r="O43" s="1295">
        <f>'R Bal sheets'!P38-'R Bal sheets'!N38</f>
        <v>7063000</v>
      </c>
      <c r="P43" s="1323"/>
      <c r="Q43" s="1295">
        <f>'R Bal sheets'!R38-'R Bal sheets'!P38</f>
        <v>3000000</v>
      </c>
      <c r="R43" s="437"/>
      <c r="S43" s="1"/>
      <c r="T43" s="1"/>
      <c r="U43" s="1"/>
      <c r="V43" s="1"/>
      <c r="W43" s="1"/>
      <c r="X43" s="1"/>
      <c r="Y43" s="1"/>
      <c r="Z43" s="1"/>
    </row>
    <row r="44" ht="6.0" customHeight="1">
      <c r="A44" s="1"/>
      <c r="B44" s="132"/>
      <c r="C44" s="89"/>
      <c r="D44" s="89"/>
      <c r="E44" s="1329"/>
      <c r="F44" s="1120"/>
      <c r="G44" s="89"/>
      <c r="H44" s="1120"/>
      <c r="I44" s="89"/>
      <c r="J44" s="437"/>
      <c r="K44" s="89"/>
      <c r="L44" s="437"/>
      <c r="M44" s="89"/>
      <c r="N44" s="437"/>
      <c r="O44" s="89"/>
      <c r="P44" s="437"/>
      <c r="Q44" s="89"/>
      <c r="R44" s="437"/>
      <c r="S44" s="1"/>
      <c r="T44" s="1"/>
      <c r="U44" s="1"/>
      <c r="V44" s="1"/>
      <c r="W44" s="1"/>
      <c r="X44" s="1"/>
      <c r="Y44" s="1"/>
      <c r="Z44" s="1"/>
    </row>
    <row r="45" ht="14.25" customHeight="1">
      <c r="A45" s="1"/>
      <c r="B45" s="158" t="s">
        <v>157</v>
      </c>
      <c r="C45" s="89"/>
      <c r="D45" s="89"/>
      <c r="E45" s="303">
        <f>SUM(E41:E43)</f>
        <v>10060963</v>
      </c>
      <c r="F45" s="1120"/>
      <c r="G45" s="303">
        <f>SUM(G41:G43)</f>
        <v>21953496.61</v>
      </c>
      <c r="H45" s="1120"/>
      <c r="I45" s="303">
        <f>SUM(I41:I43)</f>
        <v>20104075.76</v>
      </c>
      <c r="J45" s="437"/>
      <c r="K45" s="303">
        <f>SUM(K41:K43)</f>
        <v>17231093.42</v>
      </c>
      <c r="L45" s="437"/>
      <c r="M45" s="303">
        <f>SUM(M41:M43)</f>
        <v>15847489.38</v>
      </c>
      <c r="N45" s="437"/>
      <c r="O45" s="303">
        <f>SUM(O41:O43)</f>
        <v>15552748.77</v>
      </c>
      <c r="P45" s="437"/>
      <c r="Q45" s="303">
        <f>SUM(Q41:Q43)</f>
        <v>8615939.72</v>
      </c>
      <c r="R45" s="437"/>
      <c r="S45" s="1"/>
      <c r="T45" s="1"/>
      <c r="U45" s="1"/>
      <c r="V45" s="1"/>
      <c r="W45" s="1"/>
      <c r="X45" s="1"/>
      <c r="Y45" s="1"/>
      <c r="Z45" s="1"/>
    </row>
    <row r="46" ht="6.0" customHeight="1">
      <c r="A46" s="1"/>
      <c r="B46" s="158"/>
      <c r="C46" s="89"/>
      <c r="D46" s="89"/>
      <c r="E46" s="1331"/>
      <c r="F46" s="1120"/>
      <c r="G46" s="1331"/>
      <c r="H46" s="1120"/>
      <c r="I46" s="1331"/>
      <c r="J46" s="437"/>
      <c r="K46" s="1331"/>
      <c r="L46" s="437"/>
      <c r="M46" s="1331"/>
      <c r="N46" s="437"/>
      <c r="O46" s="1331"/>
      <c r="P46" s="437"/>
      <c r="Q46" s="1331"/>
      <c r="R46" s="437"/>
      <c r="S46" s="1"/>
      <c r="T46" s="1"/>
      <c r="U46" s="1"/>
      <c r="V46" s="1"/>
      <c r="W46" s="1"/>
      <c r="X46" s="1"/>
      <c r="Y46" s="1"/>
      <c r="Z46" s="1"/>
    </row>
    <row r="47" ht="8.25" customHeight="1">
      <c r="A47" s="1"/>
      <c r="B47" s="158"/>
      <c r="C47" s="89"/>
      <c r="D47" s="89"/>
      <c r="E47" s="1329"/>
      <c r="F47" s="1120"/>
      <c r="G47" s="89"/>
      <c r="H47" s="1120"/>
      <c r="I47" s="438"/>
      <c r="J47" s="437"/>
      <c r="K47" s="438"/>
      <c r="L47" s="437"/>
      <c r="M47" s="438"/>
      <c r="N47" s="437"/>
      <c r="O47" s="438"/>
      <c r="P47" s="437"/>
      <c r="Q47" s="438"/>
      <c r="R47" s="437"/>
      <c r="S47" s="1"/>
      <c r="T47" s="1"/>
      <c r="U47" s="1"/>
      <c r="V47" s="1"/>
      <c r="W47" s="1"/>
      <c r="X47" s="1"/>
      <c r="Y47" s="1"/>
      <c r="Z47" s="1"/>
    </row>
    <row r="48" ht="10.5" customHeight="1">
      <c r="A48" s="1"/>
      <c r="B48" s="1"/>
      <c r="C48" s="89"/>
      <c r="D48" s="89"/>
      <c r="E48" s="89"/>
      <c r="F48" s="1120"/>
      <c r="G48" s="189"/>
      <c r="H48" s="1120"/>
      <c r="I48" s="438"/>
      <c r="J48" s="437"/>
      <c r="K48" s="438"/>
      <c r="L48" s="437"/>
      <c r="M48" s="438"/>
      <c r="N48" s="437"/>
      <c r="O48" s="438"/>
      <c r="P48" s="437"/>
      <c r="Q48" s="438"/>
      <c r="R48" s="437"/>
      <c r="S48" s="1"/>
      <c r="T48" s="1"/>
      <c r="U48" s="1"/>
      <c r="V48" s="1"/>
      <c r="W48" s="1"/>
      <c r="X48" s="1"/>
      <c r="Y48" s="1"/>
      <c r="Z48" s="1"/>
    </row>
    <row r="49" ht="24.0" customHeight="1">
      <c r="A49" s="1"/>
      <c r="B49" s="8" t="str">
        <f>'A Cover'!G$8</f>
        <v>Example University</v>
      </c>
      <c r="C49" s="89"/>
      <c r="D49" s="89"/>
      <c r="E49" s="89"/>
      <c r="F49" s="1120"/>
      <c r="G49" s="89"/>
      <c r="H49" s="1120"/>
      <c r="I49" s="438"/>
      <c r="J49" s="437"/>
      <c r="K49" s="438"/>
      <c r="L49" s="437"/>
      <c r="M49" s="438"/>
      <c r="N49" s="437"/>
      <c r="O49" s="438"/>
      <c r="P49" s="437"/>
      <c r="Q49" s="438"/>
      <c r="R49" s="437"/>
      <c r="S49" s="1"/>
      <c r="T49" s="1"/>
      <c r="U49" s="1"/>
      <c r="V49" s="1"/>
      <c r="W49" s="1"/>
      <c r="X49" s="1"/>
      <c r="Y49" s="1"/>
      <c r="Z49" s="1"/>
    </row>
    <row r="50" ht="20.25" customHeight="1">
      <c r="A50" s="1"/>
      <c r="B50" s="8"/>
      <c r="C50" s="89"/>
      <c r="D50" s="89"/>
      <c r="E50" s="89"/>
      <c r="F50" s="1120"/>
      <c r="G50" s="89"/>
      <c r="H50" s="1120"/>
      <c r="I50" s="438"/>
      <c r="J50" s="437"/>
      <c r="K50" s="438"/>
      <c r="L50" s="437"/>
      <c r="M50" s="438"/>
      <c r="N50" s="437"/>
      <c r="O50" s="438"/>
      <c r="P50" s="1018">
        <f>'A Cover'!G$12</f>
        <v>46307</v>
      </c>
      <c r="Q50" s="35"/>
      <c r="R50" s="2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8"/>
      <c r="C51" s="89"/>
      <c r="D51" s="89"/>
      <c r="E51" s="89"/>
      <c r="F51" s="1120"/>
      <c r="G51" s="89"/>
      <c r="H51" s="1120"/>
      <c r="I51" s="438"/>
      <c r="J51" s="437"/>
      <c r="K51" s="438"/>
      <c r="L51" s="437"/>
      <c r="M51" s="438"/>
      <c r="N51" s="437"/>
      <c r="O51" s="438"/>
      <c r="P51" s="1338"/>
      <c r="Q51" s="1338"/>
      <c r="R51" s="1338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"/>
      <c r="B52" s="89"/>
      <c r="C52" s="89"/>
      <c r="D52" s="89"/>
      <c r="E52" s="1339" t="s">
        <v>6</v>
      </c>
      <c r="F52" s="1120"/>
      <c r="G52" s="1126" t="str">
        <f>IF('J Proj CY'!F$151&gt;0,"Projected","Budgeted")</f>
        <v>Projected</v>
      </c>
      <c r="H52" s="1120"/>
      <c r="I52" s="1275" t="s">
        <v>812</v>
      </c>
      <c r="J52" s="35"/>
      <c r="K52" s="35"/>
      <c r="L52" s="35"/>
      <c r="M52" s="35"/>
      <c r="N52" s="35"/>
      <c r="O52" s="35"/>
      <c r="P52" s="35"/>
      <c r="Q52" s="21"/>
      <c r="R52" s="437"/>
      <c r="S52" s="1"/>
      <c r="T52" s="1"/>
      <c r="U52" s="1"/>
      <c r="V52" s="1"/>
      <c r="W52" s="1"/>
      <c r="X52" s="1"/>
      <c r="Y52" s="1"/>
      <c r="Z52" s="1"/>
    </row>
    <row r="53" ht="14.25" customHeight="1">
      <c r="A53" s="1"/>
      <c r="B53" s="152" t="s">
        <v>216</v>
      </c>
      <c r="C53" s="152"/>
      <c r="D53" s="152"/>
      <c r="E53" s="553" t="str">
        <f>'F Population'!N$6</f>
        <v>2025 - 26</v>
      </c>
      <c r="F53" s="1130"/>
      <c r="G53" s="553" t="str">
        <f>'F Population'!P$6</f>
        <v>2026 - 27</v>
      </c>
      <c r="H53" s="1130"/>
      <c r="I53" s="553" t="str">
        <f>'F Population'!U$6</f>
        <v>2027 - 28</v>
      </c>
      <c r="J53" s="39"/>
      <c r="K53" s="553" t="str">
        <f>'F Population'!W$6</f>
        <v>2028 - 29</v>
      </c>
      <c r="L53" s="39"/>
      <c r="M53" s="553" t="str">
        <f>'F Population'!Y$6</f>
        <v>2029 - 30</v>
      </c>
      <c r="N53" s="39"/>
      <c r="O53" s="553" t="str">
        <f>'F Population'!AA$6</f>
        <v>2030 - 31</v>
      </c>
      <c r="P53" s="554"/>
      <c r="Q53" s="553" t="str">
        <f>'F Population'!AC$6</f>
        <v>2031 - 32</v>
      </c>
      <c r="R53" s="437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"/>
      <c r="B54" s="1341"/>
      <c r="C54" s="1341"/>
      <c r="D54" s="1341"/>
      <c r="E54" s="1341"/>
      <c r="F54" s="1342"/>
      <c r="G54" s="1341"/>
      <c r="H54" s="1342"/>
      <c r="I54" s="438"/>
      <c r="J54" s="437"/>
      <c r="K54" s="438"/>
      <c r="L54" s="437"/>
      <c r="M54" s="438"/>
      <c r="N54" s="437"/>
      <c r="O54" s="438"/>
      <c r="P54" s="437"/>
      <c r="Q54" s="438"/>
      <c r="R54" s="437"/>
      <c r="S54" s="1"/>
      <c r="T54" s="1"/>
      <c r="U54" s="1"/>
      <c r="V54" s="1"/>
      <c r="W54" s="1"/>
      <c r="X54" s="1"/>
      <c r="Y54" s="1"/>
      <c r="Z54" s="1"/>
    </row>
    <row r="55" ht="14.25" customHeight="1">
      <c r="A55" s="1"/>
      <c r="B55" s="1185" t="s">
        <v>695</v>
      </c>
      <c r="C55" s="89"/>
      <c r="D55" s="89"/>
      <c r="E55" s="291">
        <f>E37</f>
        <v>388171</v>
      </c>
      <c r="F55" s="1120"/>
      <c r="G55" s="291">
        <f>G45</f>
        <v>21953496.61</v>
      </c>
      <c r="H55" s="1120"/>
      <c r="I55" s="291">
        <f>I45</f>
        <v>20104075.76</v>
      </c>
      <c r="J55" s="437"/>
      <c r="K55" s="291">
        <f>K45</f>
        <v>17231093.42</v>
      </c>
      <c r="L55" s="437"/>
      <c r="M55" s="291">
        <f>M45</f>
        <v>15847489.38</v>
      </c>
      <c r="N55" s="437"/>
      <c r="O55" s="291">
        <f>O45</f>
        <v>15552748.77</v>
      </c>
      <c r="P55" s="437"/>
      <c r="Q55" s="291">
        <f>Q45</f>
        <v>8615939.72</v>
      </c>
      <c r="R55" s="437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"/>
      <c r="B56" s="1186" t="s">
        <v>696</v>
      </c>
      <c r="C56" s="1"/>
      <c r="D56" s="1"/>
      <c r="E56" s="1346"/>
      <c r="F56" s="1173"/>
      <c r="G56" s="1155">
        <f>G33</f>
        <v>7039635.775</v>
      </c>
      <c r="H56" s="1173"/>
      <c r="I56" s="1155">
        <f>I33</f>
        <v>6977450.781</v>
      </c>
      <c r="J56" s="437"/>
      <c r="K56" s="1155">
        <f>K33</f>
        <v>7015315.996</v>
      </c>
      <c r="L56" s="437"/>
      <c r="M56" s="1155">
        <f>M33</f>
        <v>6989512.796</v>
      </c>
      <c r="N56" s="437"/>
      <c r="O56" s="1155">
        <f>O33</f>
        <v>6961543.437</v>
      </c>
      <c r="P56" s="437"/>
      <c r="Q56" s="1155">
        <f>Q33</f>
        <v>6936133.466</v>
      </c>
      <c r="R56" s="437"/>
      <c r="S56" s="1"/>
      <c r="T56" s="1"/>
      <c r="U56" s="1"/>
      <c r="V56" s="1"/>
      <c r="W56" s="1"/>
      <c r="X56" s="1"/>
      <c r="Y56" s="1"/>
      <c r="Z56" s="1"/>
    </row>
    <row r="57" ht="14.25" customHeight="1">
      <c r="A57" s="1"/>
      <c r="B57" s="1185" t="s">
        <v>221</v>
      </c>
      <c r="C57" s="89"/>
      <c r="D57" s="89"/>
      <c r="E57" s="1"/>
      <c r="F57" s="1120"/>
      <c r="G57" s="438">
        <f>'R Bal sheets'!F13-'R Bal sheets'!H13</f>
        <v>-9409109.403</v>
      </c>
      <c r="H57" s="1120"/>
      <c r="I57" s="438">
        <f>'R Bal sheets'!H13-'R Bal sheets'!J13</f>
        <v>-10096774.6</v>
      </c>
      <c r="J57" s="437"/>
      <c r="K57" s="438">
        <f>'R Bal sheets'!J13-'R Bal sheets'!L13</f>
        <v>-10073209.42</v>
      </c>
      <c r="L57" s="437"/>
      <c r="M57" s="438">
        <f>'R Bal sheets'!L13-'R Bal sheets'!N13</f>
        <v>-9046692.256</v>
      </c>
      <c r="N57" s="437"/>
      <c r="O57" s="438">
        <f>'R Bal sheets'!N13-'R Bal sheets'!P13</f>
        <v>-9191533.972</v>
      </c>
      <c r="P57" s="437"/>
      <c r="Q57" s="438">
        <f>'R Bal sheets'!P13-'R Bal sheets'!R13</f>
        <v>-8976326.577</v>
      </c>
      <c r="R57" s="437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"/>
      <c r="B58" s="89" t="s">
        <v>816</v>
      </c>
      <c r="C58" s="89"/>
      <c r="D58" s="89"/>
      <c r="E58" s="25" t="s">
        <v>222</v>
      </c>
      <c r="F58" s="1120"/>
      <c r="G58" s="438">
        <f>'R Bal sheets'!F9+'R Bal sheets'!F11-'R Bal sheets'!H9-'R Bal sheets'!H11</f>
        <v>-918550.991</v>
      </c>
      <c r="H58" s="1120"/>
      <c r="I58" s="438">
        <f>'R Bal sheets'!H9+'R Bal sheets'!H11-'R Bal sheets'!J9-'R Bal sheets'!J11</f>
        <v>-48249.72414</v>
      </c>
      <c r="J58" s="437"/>
      <c r="K58" s="438">
        <f>'R Bal sheets'!J9+'R Bal sheets'!J11-'R Bal sheets'!L9-'R Bal sheets'!L11</f>
        <v>1283877.924</v>
      </c>
      <c r="L58" s="437"/>
      <c r="M58" s="438">
        <f>'R Bal sheets'!L9+'R Bal sheets'!L11-'R Bal sheets'!N9-'R Bal sheets'!N11</f>
        <v>2210054.611</v>
      </c>
      <c r="N58" s="437"/>
      <c r="O58" s="438">
        <f>'R Bal sheets'!N9+'R Bal sheets'!N11-'R Bal sheets'!P9-'R Bal sheets'!P11</f>
        <v>3797688.898</v>
      </c>
      <c r="P58" s="437"/>
      <c r="Q58" s="438">
        <f>'R Bal sheets'!P9+'R Bal sheets'!P11-'R Bal sheets'!R9-'R Bal sheets'!R11</f>
        <v>374325.8573</v>
      </c>
      <c r="R58" s="437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89" t="s">
        <v>223</v>
      </c>
      <c r="C59" s="89"/>
      <c r="D59" s="89"/>
      <c r="E59" s="25" t="s">
        <v>819</v>
      </c>
      <c r="F59" s="1120"/>
      <c r="G59" s="1155">
        <f>'R Bal sheets'!H24-'R Bal sheets'!F24</f>
        <v>434987.6797</v>
      </c>
      <c r="H59" s="1120"/>
      <c r="I59" s="1155">
        <f>'R Bal sheets'!J24-'R Bal sheets'!H24</f>
        <v>816387.4696</v>
      </c>
      <c r="J59" s="437"/>
      <c r="K59" s="1155">
        <f>'R Bal sheets'!L24-'R Bal sheets'!J24</f>
        <v>267859.9471</v>
      </c>
      <c r="L59" s="437"/>
      <c r="M59" s="1155">
        <f>'R Bal sheets'!N24-'R Bal sheets'!L24</f>
        <v>479013.4952</v>
      </c>
      <c r="N59" s="437"/>
      <c r="O59" s="1155">
        <f>'R Bal sheets'!P24-'R Bal sheets'!N24</f>
        <v>409457.1495</v>
      </c>
      <c r="P59" s="437"/>
      <c r="Q59" s="1155">
        <f>'R Bal sheets'!R24-'R Bal sheets'!P24</f>
        <v>435039.1975</v>
      </c>
      <c r="R59" s="437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89" t="s">
        <v>697</v>
      </c>
      <c r="C60" s="89"/>
      <c r="D60" s="89"/>
      <c r="E60" s="25"/>
      <c r="F60" s="1120"/>
      <c r="G60" s="1155">
        <f>'R Bal sheets'!H30-'R Bal sheets'!F30</f>
        <v>0</v>
      </c>
      <c r="H60" s="1120"/>
      <c r="I60" s="1155">
        <f>'R Bal sheets'!J30-'R Bal sheets'!H30</f>
        <v>0</v>
      </c>
      <c r="J60" s="437"/>
      <c r="K60" s="1155">
        <f>'R Bal sheets'!L30-'R Bal sheets'!J30</f>
        <v>0</v>
      </c>
      <c r="L60" s="437"/>
      <c r="M60" s="1155">
        <f>'R Bal sheets'!N30-'R Bal sheets'!L30</f>
        <v>0</v>
      </c>
      <c r="N60" s="437"/>
      <c r="O60" s="1155">
        <f>'R Bal sheets'!P30-'R Bal sheets'!N30</f>
        <v>0</v>
      </c>
      <c r="P60" s="437"/>
      <c r="Q60" s="1155">
        <f>'R Bal sheets'!R30-'R Bal sheets'!P30</f>
        <v>0</v>
      </c>
      <c r="R60" s="437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"/>
      <c r="B61" s="89" t="s">
        <v>226</v>
      </c>
      <c r="C61" s="89"/>
      <c r="D61" s="89"/>
      <c r="E61" s="25"/>
      <c r="F61" s="1120"/>
      <c r="G61" s="1155">
        <f>'R Bal sheets'!H26-'R Bal sheets'!F26</f>
        <v>1000000</v>
      </c>
      <c r="H61" s="1120"/>
      <c r="I61" s="1155">
        <f>'R Bal sheets'!J26-'R Bal sheets'!H26</f>
        <v>-2000000</v>
      </c>
      <c r="J61" s="437"/>
      <c r="K61" s="1155">
        <f>'R Bal sheets'!L26-'R Bal sheets'!J26</f>
        <v>0</v>
      </c>
      <c r="L61" s="437"/>
      <c r="M61" s="1155">
        <f>'R Bal sheets'!N26-'R Bal sheets'!L26</f>
        <v>0</v>
      </c>
      <c r="N61" s="437"/>
      <c r="O61" s="1155">
        <f>'R Bal sheets'!P26-'R Bal sheets'!N26</f>
        <v>0</v>
      </c>
      <c r="P61" s="437"/>
      <c r="Q61" s="1155">
        <f>'R Bal sheets'!R26-'R Bal sheets'!P26</f>
        <v>0</v>
      </c>
      <c r="R61" s="437"/>
      <c r="S61" s="1"/>
      <c r="T61" s="1"/>
      <c r="U61" s="1"/>
      <c r="V61" s="1"/>
      <c r="W61" s="1"/>
      <c r="X61" s="1"/>
      <c r="Y61" s="1"/>
      <c r="Z61" s="1"/>
    </row>
    <row r="62" ht="14.25" customHeight="1">
      <c r="A62" s="1"/>
      <c r="B62" s="89" t="s">
        <v>227</v>
      </c>
      <c r="C62" s="89"/>
      <c r="D62" s="89"/>
      <c r="E62" s="1357" t="s">
        <v>822</v>
      </c>
      <c r="F62" s="1120"/>
      <c r="G62" s="1155">
        <f>'R Bal sheets'!H28-'R Bal sheets'!F28</f>
        <v>6195564.816</v>
      </c>
      <c r="H62" s="1120"/>
      <c r="I62" s="1155">
        <f>'R Bal sheets'!J28-'R Bal sheets'!H28</f>
        <v>-854733.6545</v>
      </c>
      <c r="J62" s="437"/>
      <c r="K62" s="1155">
        <f>'R Bal sheets'!L28-'R Bal sheets'!J28</f>
        <v>-884711.3421</v>
      </c>
      <c r="L62" s="437"/>
      <c r="M62" s="1155">
        <f>'R Bal sheets'!N28-'R Bal sheets'!L28</f>
        <v>-925207.5793</v>
      </c>
      <c r="N62" s="437"/>
      <c r="O62" s="1155">
        <f>'R Bal sheets'!P28-'R Bal sheets'!N28</f>
        <v>-957256.072</v>
      </c>
      <c r="P62" s="437"/>
      <c r="Q62" s="1155">
        <f>'R Bal sheets'!R28-'R Bal sheets'!P28</f>
        <v>-1612892.717</v>
      </c>
      <c r="R62" s="437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89" t="s">
        <v>229</v>
      </c>
      <c r="C63" s="89"/>
      <c r="D63" s="89"/>
      <c r="E63" s="1357"/>
      <c r="F63" s="1120"/>
      <c r="G63" s="291">
        <f>-'L Capital'!L48+'L Capital'!L58</f>
        <v>-10530000</v>
      </c>
      <c r="H63" s="1120"/>
      <c r="I63" s="291">
        <f>-'L Capital'!P48+'L Capital'!P58</f>
        <v>-6260000</v>
      </c>
      <c r="J63" s="437"/>
      <c r="K63" s="291">
        <f>-'L Capital'!T48+'L Capital'!T58</f>
        <v>-1860000</v>
      </c>
      <c r="L63" s="437"/>
      <c r="M63" s="291">
        <f>-'L Capital'!X48+'L Capital'!X58</f>
        <v>-1000000</v>
      </c>
      <c r="N63" s="437"/>
      <c r="O63" s="291">
        <f>-'L Capital'!AB48+'L Capital'!AB58</f>
        <v>-1000000</v>
      </c>
      <c r="P63" s="437"/>
      <c r="Q63" s="291">
        <f>-'L Capital'!AF48+'L Capital'!AF58</f>
        <v>-1000000</v>
      </c>
      <c r="R63" s="437"/>
      <c r="S63" s="1"/>
      <c r="T63" s="1"/>
      <c r="U63" s="1"/>
      <c r="V63" s="1"/>
      <c r="W63" s="1"/>
      <c r="X63" s="1"/>
      <c r="Y63" s="1"/>
      <c r="Z63" s="1"/>
    </row>
    <row r="64" ht="3.75" customHeight="1">
      <c r="A64" s="1"/>
      <c r="B64" s="89"/>
      <c r="C64" s="89"/>
      <c r="D64" s="89"/>
      <c r="E64" s="291"/>
      <c r="F64" s="1120"/>
      <c r="G64" s="291"/>
      <c r="H64" s="1120"/>
      <c r="I64" s="438"/>
      <c r="J64" s="437"/>
      <c r="K64" s="438"/>
      <c r="L64" s="437"/>
      <c r="M64" s="438"/>
      <c r="N64" s="437"/>
      <c r="O64" s="438"/>
      <c r="P64" s="437"/>
      <c r="Q64" s="438"/>
      <c r="R64" s="437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"/>
      <c r="B65" s="158" t="s">
        <v>230</v>
      </c>
      <c r="C65" s="158"/>
      <c r="D65" s="158"/>
      <c r="E65" s="158"/>
      <c r="F65" s="1132"/>
      <c r="G65" s="1263">
        <f>SUM(G55:G63)</f>
        <v>15766024.49</v>
      </c>
      <c r="H65" s="1132"/>
      <c r="I65" s="1263">
        <f>SUM(I55:I64)</f>
        <v>8638156.03</v>
      </c>
      <c r="J65" s="437"/>
      <c r="K65" s="1263">
        <f>SUM(K55:K64)</f>
        <v>12980226.53</v>
      </c>
      <c r="L65" s="437"/>
      <c r="M65" s="1263">
        <f>SUM(M55:M64)</f>
        <v>14554170.45</v>
      </c>
      <c r="N65" s="437"/>
      <c r="O65" s="1263">
        <f>SUM(O55:O64)</f>
        <v>15572648.21</v>
      </c>
      <c r="P65" s="437"/>
      <c r="Q65" s="1263">
        <f>SUM(Q55:Q64)</f>
        <v>4772218.947</v>
      </c>
      <c r="R65" s="437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89" t="s">
        <v>699</v>
      </c>
      <c r="C66" s="89"/>
      <c r="D66" s="89"/>
      <c r="E66" s="89"/>
      <c r="F66" s="1120"/>
      <c r="G66" s="438">
        <f>'R Bal sheets'!F7</f>
        <v>6514000</v>
      </c>
      <c r="H66" s="1120"/>
      <c r="I66" s="438">
        <f>'R Bal sheets'!H7</f>
        <v>22280024.49</v>
      </c>
      <c r="J66" s="437"/>
      <c r="K66" s="438">
        <f>'R Bal sheets'!J7</f>
        <v>30918180.52</v>
      </c>
      <c r="L66" s="437"/>
      <c r="M66" s="438">
        <f>'R Bal sheets'!L7</f>
        <v>43898407.05</v>
      </c>
      <c r="N66" s="437"/>
      <c r="O66" s="438">
        <f>'R Bal sheets'!N7</f>
        <v>58452577.5</v>
      </c>
      <c r="P66" s="437"/>
      <c r="Q66" s="438">
        <f>'R Bal sheets'!P7</f>
        <v>74025225.71</v>
      </c>
      <c r="R66" s="437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89" t="s">
        <v>700</v>
      </c>
      <c r="C67" s="89"/>
      <c r="D67" s="89"/>
      <c r="E67" s="1377">
        <f>'R Bal sheets'!F7</f>
        <v>6514000</v>
      </c>
      <c r="F67" s="1005"/>
      <c r="G67" s="1377">
        <f>G65+G66</f>
        <v>22280024.49</v>
      </c>
      <c r="H67" s="1005"/>
      <c r="I67" s="1377">
        <f>I65+I66</f>
        <v>30918180.52</v>
      </c>
      <c r="J67" s="1104"/>
      <c r="K67" s="1377">
        <f>K65+K66</f>
        <v>43898407.05</v>
      </c>
      <c r="L67" s="1104"/>
      <c r="M67" s="1377">
        <f>M65+M66</f>
        <v>58452577.5</v>
      </c>
      <c r="N67" s="1104"/>
      <c r="O67" s="1377">
        <f>O65+O66</f>
        <v>74025225.71</v>
      </c>
      <c r="P67" s="1104"/>
      <c r="Q67" s="1377">
        <f>Q65+Q66</f>
        <v>78797444.66</v>
      </c>
      <c r="R67" s="437"/>
      <c r="S67" s="1"/>
      <c r="T67" s="1"/>
      <c r="U67" s="1"/>
      <c r="V67" s="1"/>
      <c r="W67" s="1"/>
      <c r="X67" s="1"/>
      <c r="Y67" s="1"/>
      <c r="Z67" s="1"/>
    </row>
    <row r="68" ht="7.5" customHeight="1">
      <c r="A68" s="1"/>
      <c r="B68" s="341"/>
      <c r="C68" s="341"/>
      <c r="D68" s="341"/>
      <c r="E68" s="341"/>
      <c r="F68" s="1187"/>
      <c r="G68" s="438"/>
      <c r="H68" s="1187"/>
      <c r="I68" s="438"/>
      <c r="J68" s="437"/>
      <c r="K68" s="438"/>
      <c r="L68" s="437"/>
      <c r="M68" s="438"/>
      <c r="N68" s="437"/>
      <c r="O68" s="438"/>
      <c r="P68" s="437"/>
      <c r="Q68" s="438"/>
      <c r="R68" s="437"/>
      <c r="S68" s="1"/>
      <c r="T68" s="1"/>
      <c r="U68" s="1"/>
      <c r="V68" s="1"/>
      <c r="W68" s="1"/>
      <c r="X68" s="1"/>
      <c r="Y68" s="1"/>
      <c r="Z68" s="1"/>
    </row>
    <row r="69" ht="17.25" customHeight="1">
      <c r="A69" s="1"/>
      <c r="B69" s="158" t="s">
        <v>701</v>
      </c>
      <c r="C69" s="341"/>
      <c r="D69" s="341"/>
      <c r="E69" s="341"/>
      <c r="F69" s="1187"/>
      <c r="G69" s="438"/>
      <c r="H69" s="1187"/>
      <c r="I69" s="438"/>
      <c r="J69" s="437"/>
      <c r="K69" s="438"/>
      <c r="L69" s="437"/>
      <c r="M69" s="438"/>
      <c r="N69" s="437"/>
      <c r="O69" s="438"/>
      <c r="P69" s="437"/>
      <c r="Q69" s="438"/>
      <c r="R69" s="437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89" t="s">
        <v>703</v>
      </c>
      <c r="C70" s="341"/>
      <c r="D70" s="341"/>
      <c r="E70" s="1155">
        <f>'R Bal sheets'!F7</f>
        <v>6514000</v>
      </c>
      <c r="F70" s="1187"/>
      <c r="G70" s="1155">
        <f>'R Bal sheets'!H7</f>
        <v>22280024.49</v>
      </c>
      <c r="H70" s="1187"/>
      <c r="I70" s="1155">
        <f>'R Bal sheets'!J7</f>
        <v>30918180.52</v>
      </c>
      <c r="J70" s="437"/>
      <c r="K70" s="1155">
        <f>'R Bal sheets'!L7</f>
        <v>43898407.05</v>
      </c>
      <c r="L70" s="437"/>
      <c r="M70" s="1155">
        <f>'R Bal sheets'!N7</f>
        <v>58452577.5</v>
      </c>
      <c r="N70" s="437"/>
      <c r="O70" s="1155">
        <f>'R Bal sheets'!P7</f>
        <v>74025225.71</v>
      </c>
      <c r="P70" s="437"/>
      <c r="Q70" s="1155">
        <f>'R Bal sheets'!R7</f>
        <v>78797444.66</v>
      </c>
      <c r="R70" s="437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89" t="s">
        <v>704</v>
      </c>
      <c r="C71" s="341"/>
      <c r="D71" s="341"/>
      <c r="E71" s="1155">
        <f>'R Bal sheets'!F13</f>
        <v>91599695</v>
      </c>
      <c r="F71" s="1187"/>
      <c r="G71" s="1155">
        <f>'R Bal sheets'!H13</f>
        <v>101008804.4</v>
      </c>
      <c r="H71" s="1187"/>
      <c r="I71" s="1155">
        <f>'R Bal sheets'!J13</f>
        <v>111105579</v>
      </c>
      <c r="J71" s="437"/>
      <c r="K71" s="1155">
        <f>'R Bal sheets'!L13</f>
        <v>121178788.4</v>
      </c>
      <c r="L71" s="437"/>
      <c r="M71" s="1155">
        <f>'R Bal sheets'!N13</f>
        <v>130225480.7</v>
      </c>
      <c r="N71" s="437"/>
      <c r="O71" s="1155">
        <f>'R Bal sheets'!P13</f>
        <v>139417014.6</v>
      </c>
      <c r="P71" s="437"/>
      <c r="Q71" s="1155">
        <f>'R Bal sheets'!R13</f>
        <v>148393341.2</v>
      </c>
      <c r="R71" s="437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89" t="s">
        <v>705</v>
      </c>
      <c r="C72" s="341"/>
      <c r="D72" s="341"/>
      <c r="E72" s="1155">
        <f>'R Bal sheets'!F11</f>
        <v>8866899</v>
      </c>
      <c r="F72" s="1187"/>
      <c r="G72" s="1155">
        <f>'R Bal sheets'!H11</f>
        <v>9066899</v>
      </c>
      <c r="H72" s="1187"/>
      <c r="I72" s="1155">
        <f>'R Bal sheets'!J11</f>
        <v>8766899</v>
      </c>
      <c r="J72" s="437"/>
      <c r="K72" s="1155">
        <f>'R Bal sheets'!L11</f>
        <v>7416899</v>
      </c>
      <c r="L72" s="437"/>
      <c r="M72" s="1155">
        <f>'R Bal sheets'!N11</f>
        <v>4966899</v>
      </c>
      <c r="N72" s="437"/>
      <c r="O72" s="1155">
        <f>'R Bal sheets'!P11</f>
        <v>1066899</v>
      </c>
      <c r="P72" s="437"/>
      <c r="Q72" s="1155">
        <f>'R Bal sheets'!R11</f>
        <v>600000</v>
      </c>
      <c r="R72" s="437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89" t="s">
        <v>706</v>
      </c>
      <c r="C73" s="341"/>
      <c r="D73" s="341"/>
      <c r="E73" s="1155">
        <f>-'R Bal sheets'!F26</f>
        <v>-1000000</v>
      </c>
      <c r="F73" s="1187"/>
      <c r="G73" s="1155">
        <f>-'R Bal sheets'!H26</f>
        <v>-2000000</v>
      </c>
      <c r="H73" s="1187"/>
      <c r="I73" s="1155">
        <f>-'R Bal sheets'!J26</f>
        <v>0</v>
      </c>
      <c r="J73" s="437"/>
      <c r="K73" s="1155">
        <f>-'R Bal sheets'!L26</f>
        <v>0</v>
      </c>
      <c r="L73" s="437"/>
      <c r="M73" s="1155">
        <f>-'R Bal sheets'!N26</f>
        <v>0</v>
      </c>
      <c r="N73" s="437"/>
      <c r="O73" s="1155">
        <f>-'R Bal sheets'!P26</f>
        <v>0</v>
      </c>
      <c r="P73" s="437"/>
      <c r="Q73" s="1155">
        <f>-'R Bal sheets'!R26</f>
        <v>0</v>
      </c>
      <c r="R73" s="437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89" t="s">
        <v>707</v>
      </c>
      <c r="C74" s="341"/>
      <c r="D74" s="341"/>
      <c r="E74" s="1155">
        <f>-'R Bal sheets'!F36-'R Bal sheets'!F38</f>
        <v>-123051888</v>
      </c>
      <c r="F74" s="1187"/>
      <c r="G74" s="1155">
        <f>-'R Bal sheets'!H36-'R Bal sheets'!H38</f>
        <v>-136001225.4</v>
      </c>
      <c r="H74" s="1187"/>
      <c r="I74" s="1155">
        <f>-'R Bal sheets'!J36-'R Bal sheets'!J38</f>
        <v>-147898000</v>
      </c>
      <c r="J74" s="437"/>
      <c r="K74" s="1155">
        <f>-'R Bal sheets'!L36-'R Bal sheets'!L38</f>
        <v>-160371209.4</v>
      </c>
      <c r="L74" s="437"/>
      <c r="M74" s="1155">
        <f>-'R Bal sheets'!N36-'R Bal sheets'!N38</f>
        <v>-172817901.7</v>
      </c>
      <c r="N74" s="437"/>
      <c r="O74" s="1155">
        <f>-'R Bal sheets'!P36-'R Bal sheets'!P38</f>
        <v>-185472435.6</v>
      </c>
      <c r="P74" s="437"/>
      <c r="Q74" s="1155">
        <f>-'R Bal sheets'!R36-'R Bal sheets'!R38</f>
        <v>-191885762.2</v>
      </c>
      <c r="R74" s="437"/>
      <c r="S74" s="1"/>
      <c r="T74" s="1"/>
      <c r="U74" s="1"/>
      <c r="V74" s="1"/>
      <c r="W74" s="1"/>
      <c r="X74" s="1"/>
      <c r="Y74" s="1"/>
      <c r="Z74" s="1"/>
    </row>
    <row r="75" ht="15.0" customHeight="1">
      <c r="A75" s="1"/>
      <c r="B75" s="158" t="s">
        <v>708</v>
      </c>
      <c r="C75" s="341"/>
      <c r="D75" s="341"/>
      <c r="E75" s="1395">
        <f>SUM(E70:E74)</f>
        <v>-17071294</v>
      </c>
      <c r="F75" s="1187"/>
      <c r="G75" s="1395">
        <f>SUM(G70:G74)</f>
        <v>-5645497.509</v>
      </c>
      <c r="H75" s="1187"/>
      <c r="I75" s="1395">
        <f>SUM(I70:I74)</f>
        <v>2892658.521</v>
      </c>
      <c r="J75" s="437"/>
      <c r="K75" s="1395">
        <f>SUM(K70:K74)</f>
        <v>12122885.05</v>
      </c>
      <c r="L75" s="437"/>
      <c r="M75" s="1395">
        <f>SUM(M70:M74)</f>
        <v>20827055.5</v>
      </c>
      <c r="N75" s="437"/>
      <c r="O75" s="1395">
        <f>SUM(O70:O74)</f>
        <v>29036703.71</v>
      </c>
      <c r="P75" s="437"/>
      <c r="Q75" s="1395">
        <f>SUM(Q70:Q74)</f>
        <v>35905023.66</v>
      </c>
      <c r="R75" s="437"/>
      <c r="S75" s="1"/>
      <c r="T75" s="1"/>
      <c r="U75" s="1"/>
      <c r="V75" s="1"/>
      <c r="W75" s="1"/>
      <c r="X75" s="1"/>
      <c r="Y75" s="1"/>
      <c r="Z75" s="1"/>
    </row>
    <row r="76" ht="7.5" customHeight="1">
      <c r="A76" s="1"/>
      <c r="B76" s="341"/>
      <c r="C76" s="341"/>
      <c r="D76" s="341"/>
      <c r="E76" s="1155"/>
      <c r="F76" s="1187"/>
      <c r="G76" s="438"/>
      <c r="H76" s="1187"/>
      <c r="I76" s="438"/>
      <c r="J76" s="437"/>
      <c r="K76" s="438"/>
      <c r="L76" s="437"/>
      <c r="M76" s="438"/>
      <c r="N76" s="437"/>
      <c r="O76" s="438"/>
      <c r="P76" s="437"/>
      <c r="Q76" s="438"/>
      <c r="R76" s="437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58" t="s">
        <v>233</v>
      </c>
      <c r="C77" s="158"/>
      <c r="D77" s="158"/>
      <c r="E77" s="1155"/>
      <c r="F77" s="1132"/>
      <c r="G77" s="438"/>
      <c r="H77" s="1132"/>
      <c r="I77" s="438"/>
      <c r="J77" s="437"/>
      <c r="K77" s="438"/>
      <c r="L77" s="437"/>
      <c r="M77" s="438"/>
      <c r="N77" s="437"/>
      <c r="O77" s="438"/>
      <c r="P77" s="437"/>
      <c r="Q77" s="438"/>
      <c r="R77" s="437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89" t="s">
        <v>234</v>
      </c>
      <c r="C78" s="89"/>
      <c r="D78" s="89"/>
      <c r="E78" s="438">
        <f>E13</f>
        <v>15377881</v>
      </c>
      <c r="F78" s="940"/>
      <c r="G78" s="438">
        <f>G13</f>
        <v>17808496</v>
      </c>
      <c r="H78" s="940"/>
      <c r="I78" s="438">
        <f>I13</f>
        <v>18031822</v>
      </c>
      <c r="J78" s="437"/>
      <c r="K78" s="438">
        <f>K13</f>
        <v>18308000</v>
      </c>
      <c r="L78" s="437"/>
      <c r="M78" s="438">
        <f>M13</f>
        <v>18622000</v>
      </c>
      <c r="N78" s="437"/>
      <c r="O78" s="438">
        <f>O13</f>
        <v>19025000</v>
      </c>
      <c r="P78" s="437"/>
      <c r="Q78" s="438">
        <f>Q13</f>
        <v>19407000</v>
      </c>
      <c r="R78" s="437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89" t="s">
        <v>235</v>
      </c>
      <c r="C79" s="89"/>
      <c r="D79" s="89"/>
      <c r="E79" s="438">
        <f>-E26</f>
        <v>-8377045</v>
      </c>
      <c r="F79" s="940"/>
      <c r="G79" s="438">
        <f>-G26</f>
        <v>-8415372</v>
      </c>
      <c r="H79" s="940"/>
      <c r="I79" s="438">
        <f>-I26</f>
        <v>-8556000</v>
      </c>
      <c r="J79" s="437"/>
      <c r="K79" s="438">
        <f>-K26</f>
        <v>-8448000</v>
      </c>
      <c r="L79" s="437"/>
      <c r="M79" s="438">
        <f>-M26</f>
        <v>-8330000</v>
      </c>
      <c r="N79" s="437"/>
      <c r="O79" s="438">
        <f>-O26</f>
        <v>-8360000</v>
      </c>
      <c r="P79" s="437"/>
      <c r="Q79" s="438">
        <f>-Q26</f>
        <v>-8580000</v>
      </c>
      <c r="R79" s="437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58" t="s">
        <v>237</v>
      </c>
      <c r="C80" s="158"/>
      <c r="D80" s="158"/>
      <c r="E80" s="1395">
        <f>E78+E79</f>
        <v>7000836</v>
      </c>
      <c r="F80" s="1188">
        <f>E80/E78</f>
        <v>0.4552536204</v>
      </c>
      <c r="G80" s="1395">
        <f>G78+G79</f>
        <v>9393124</v>
      </c>
      <c r="H80" s="1399">
        <f>G80/G78</f>
        <v>0.527451841</v>
      </c>
      <c r="I80" s="1395">
        <f>I78+I79</f>
        <v>9475822</v>
      </c>
      <c r="J80" s="1399">
        <f>I80/I78</f>
        <v>0.5255055202</v>
      </c>
      <c r="K80" s="1395">
        <f>K78+K79</f>
        <v>9860000</v>
      </c>
      <c r="L80" s="1399">
        <f>K80/K78</f>
        <v>0.5385623771</v>
      </c>
      <c r="M80" s="1395">
        <f>M78+M79</f>
        <v>10292000</v>
      </c>
      <c r="N80" s="1399">
        <f>M80/M78</f>
        <v>0.5526796262</v>
      </c>
      <c r="O80" s="1395">
        <f>O78+O79</f>
        <v>10665000</v>
      </c>
      <c r="P80" s="1399">
        <f>O80/O78</f>
        <v>0.5605781866</v>
      </c>
      <c r="Q80" s="1395">
        <f>Q78+Q79</f>
        <v>10827000</v>
      </c>
      <c r="R80" s="1399">
        <f>Q80/Q78</f>
        <v>0.5578914825</v>
      </c>
      <c r="S80" s="1"/>
      <c r="T80" s="1"/>
      <c r="U80" s="1"/>
      <c r="V80" s="1"/>
      <c r="W80" s="1"/>
      <c r="X80" s="1"/>
      <c r="Y80" s="1"/>
      <c r="Z80" s="1"/>
    </row>
    <row r="81" ht="7.5" customHeight="1">
      <c r="A81" s="1"/>
      <c r="B81" s="89"/>
      <c r="C81" s="89"/>
      <c r="D81" s="89"/>
      <c r="E81" s="438"/>
      <c r="F81" s="1188"/>
      <c r="G81" s="438"/>
      <c r="H81" s="1188"/>
      <c r="I81" s="438"/>
      <c r="J81" s="1188"/>
      <c r="K81" s="438"/>
      <c r="L81" s="1188"/>
      <c r="M81" s="438"/>
      <c r="N81" s="1188"/>
      <c r="O81" s="438"/>
      <c r="P81" s="1188"/>
      <c r="Q81" s="438"/>
      <c r="R81" s="1188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58" t="s">
        <v>238</v>
      </c>
      <c r="C82" s="158"/>
      <c r="D82" s="158"/>
      <c r="E82" s="438"/>
      <c r="F82" s="1188"/>
      <c r="G82" s="438"/>
      <c r="H82" s="1188"/>
      <c r="I82" s="438"/>
      <c r="J82" s="1188"/>
      <c r="K82" s="438"/>
      <c r="L82" s="1188"/>
      <c r="M82" s="438"/>
      <c r="N82" s="1188"/>
      <c r="O82" s="438"/>
      <c r="P82" s="1188"/>
      <c r="Q82" s="438"/>
      <c r="R82" s="1188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 t="s">
        <v>846</v>
      </c>
      <c r="C83" s="1"/>
      <c r="D83" s="1"/>
      <c r="E83" s="438">
        <f>'D PY Audit'!H92</f>
        <v>4541000</v>
      </c>
      <c r="F83" s="1188"/>
      <c r="G83" s="291">
        <f>IF('J Proj CY'!F$151&gt;0,'J Proj CY'!F140,'J Proj CY'!L140)</f>
        <v>4860660.5</v>
      </c>
      <c r="H83" s="1188"/>
      <c r="I83" s="438">
        <f>'I Student rev'!R40</f>
        <v>5319489.247</v>
      </c>
      <c r="J83" s="1188"/>
      <c r="K83" s="438">
        <f>(I83*('F Population'!W$20/'F Population'!U$20))*(1+'G Price-Aid'!J8)</f>
        <v>5509823.715</v>
      </c>
      <c r="L83" s="1188"/>
      <c r="M83" s="438">
        <f>(K83*('F Population'!Y$20/'F Population'!W$20))*(1+'G Price-Aid'!L8)</f>
        <v>5806835.265</v>
      </c>
      <c r="N83" s="1188"/>
      <c r="O83" s="438">
        <f>(M83*('F Population'!AA$20/'F Population'!Y$20))*(1+'G Price-Aid'!N8)</f>
        <v>5970609.814</v>
      </c>
      <c r="P83" s="1188"/>
      <c r="Q83" s="438">
        <f>(O83*('F Population'!AC$20/'F Population'!AA$20))*(1+'G Price-Aid'!P8)</f>
        <v>6095420.966</v>
      </c>
      <c r="R83" s="1188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 t="s">
        <v>849</v>
      </c>
      <c r="C84" s="1"/>
      <c r="D84" s="1"/>
      <c r="E84" s="438">
        <f>'D PY Audit'!H94</f>
        <v>4346500</v>
      </c>
      <c r="F84" s="1188"/>
      <c r="G84" s="291">
        <f>IF('J Proj CY'!F$151&gt;0,'J Proj CY'!F142,'J Proj CY'!L142)</f>
        <v>4624457.197</v>
      </c>
      <c r="H84" s="1188"/>
      <c r="I84" s="438">
        <f>'I Student rev'!R42</f>
        <v>5060989.208</v>
      </c>
      <c r="J84" s="1188"/>
      <c r="K84" s="438">
        <f>(I84*('F Population'!W$20/'F Population'!U$20))*(1+'G Price-Aid'!J10)</f>
        <v>5242074.392</v>
      </c>
      <c r="L84" s="1188"/>
      <c r="M84" s="438">
        <f>(K84*('F Population'!Y$20/'F Population'!W$20))*(1+'G Price-Aid'!L10)</f>
        <v>5524652.695</v>
      </c>
      <c r="N84" s="1188"/>
      <c r="O84" s="438">
        <f>(M84*('F Population'!AA$20/'F Population'!Y$20))*(1+'G Price-Aid'!N10)</f>
        <v>5680468.637</v>
      </c>
      <c r="P84" s="1188"/>
      <c r="Q84" s="438">
        <f>(O84*('F Population'!AC$20/'F Population'!AA$20))*(1+'G Price-Aid'!P10)</f>
        <v>5799214.604</v>
      </c>
      <c r="R84" s="1188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" t="s">
        <v>855</v>
      </c>
      <c r="C85" s="1"/>
      <c r="D85" s="1"/>
      <c r="E85" s="438">
        <f>'D PY Audit'!H96</f>
        <v>530000</v>
      </c>
      <c r="F85" s="1188"/>
      <c r="G85" s="291">
        <f>IF('J Proj CY'!F$151&gt;0,'J Proj CY'!F144,'J Proj CY'!L144)</f>
        <v>558892.6232</v>
      </c>
      <c r="H85" s="1188"/>
      <c r="I85" s="438">
        <f>'I Student rev'!R44</f>
        <v>599656.9242</v>
      </c>
      <c r="J85" s="1188"/>
      <c r="K85" s="438">
        <f>(I85*('F Population'!W$20/'F Population'!U$20))*(1+'G Price-Aid'!J12)</f>
        <v>608934.3169</v>
      </c>
      <c r="L85" s="1188"/>
      <c r="M85" s="438">
        <f>(K85*('F Population'!Y$20/'F Population'!W$20))*(1+'G Price-Aid'!L12)</f>
        <v>629175.9008</v>
      </c>
      <c r="N85" s="1188"/>
      <c r="O85" s="438">
        <f>(M85*('F Population'!AA$20/'F Population'!Y$20))*(1+'G Price-Aid'!N12)</f>
        <v>634236.2968</v>
      </c>
      <c r="P85" s="1188"/>
      <c r="Q85" s="438">
        <f>(O85*('F Population'!AC$20/'F Population'!AA$20))*(1+'G Price-Aid'!P12)</f>
        <v>634798.563</v>
      </c>
      <c r="R85" s="1188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" t="s">
        <v>242</v>
      </c>
      <c r="C86" s="1"/>
      <c r="D86" s="1"/>
      <c r="E86" s="1142">
        <f>'E Budg CY'!L$64*-1</f>
        <v>-6339780</v>
      </c>
      <c r="F86" s="1188"/>
      <c r="G86" s="291">
        <f>-1*(IF('J Proj CY'!F$151&gt;0,'J Proj CY'!F$64,'J Proj CY'!L$64))</f>
        <v>-6801342</v>
      </c>
      <c r="H86" s="1188"/>
      <c r="I86" s="438">
        <f>-1*('E Budg CY'!F$64+'N Next Yr'!H$74-'N Next Yr'!H$38)</f>
        <v>-6750000</v>
      </c>
      <c r="J86" s="1188"/>
      <c r="K86" s="438">
        <f>IF('F Population'!U$20&gt;0,IF('F Population'!W$20/'F Population'!U$20&gt;1,I86*(1+('F Population'!W$20/'F Population'!U$20-1)*$C$5)*(1+'M Non student'!J$27),I86*(1+('F Population'!W$20/'F Population'!U$20-1)*$A$5)*(1+'M Non student'!J$27)),I86*(1+'M Non student'!J$27))</f>
        <v>-6950862.342</v>
      </c>
      <c r="L86" s="1188"/>
      <c r="M86" s="438">
        <f>-M27</f>
        <v>-7195682.881</v>
      </c>
      <c r="N86" s="1188"/>
      <c r="O86" s="438">
        <f>-O27</f>
        <v>-7393371.247</v>
      </c>
      <c r="P86" s="1188"/>
      <c r="Q86" s="438">
        <f>-Q27</f>
        <v>-7580221.008</v>
      </c>
      <c r="R86" s="1188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97" t="s">
        <v>860</v>
      </c>
      <c r="C87" s="197"/>
      <c r="D87" s="197"/>
      <c r="E87" s="1395">
        <f>SUM(E83:E86)</f>
        <v>3077720</v>
      </c>
      <c r="F87" s="1188">
        <f>E87/SUM(E83:E85)</f>
        <v>0.326808601</v>
      </c>
      <c r="G87" s="1395">
        <f>SUM(G83:G86)</f>
        <v>3242668.32</v>
      </c>
      <c r="H87" s="1399">
        <f>G87/SUM(G83:G85)</f>
        <v>0.3228459766</v>
      </c>
      <c r="I87" s="1395">
        <f>SUM(I83:I86)</f>
        <v>4230135.379</v>
      </c>
      <c r="J87" s="1399">
        <f>I87/SUM(I83:I85)</f>
        <v>0.3852534812</v>
      </c>
      <c r="K87" s="1395">
        <f>SUM(K83:K86)</f>
        <v>4409970.081</v>
      </c>
      <c r="L87" s="1399">
        <f>K87/SUM(K83:K85)</f>
        <v>0.3881731476</v>
      </c>
      <c r="M87" s="1395">
        <f>SUM(M83:M86)</f>
        <v>4764980.98</v>
      </c>
      <c r="N87" s="1399">
        <f>M87/SUM(M83:M85)</f>
        <v>0.3983876677</v>
      </c>
      <c r="O87" s="1395">
        <f>SUM(O83:O86)</f>
        <v>4891943.502</v>
      </c>
      <c r="P87" s="1399">
        <f>O87/SUM(O83:O85)</f>
        <v>0.3981943973</v>
      </c>
      <c r="Q87" s="1395">
        <f>SUM(Q83:Q86)</f>
        <v>4949213.125</v>
      </c>
      <c r="R87" s="1399">
        <f>Q87/SUM(Q83:Q85)</f>
        <v>0.3950069151</v>
      </c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"/>
      <c r="C88" s="1"/>
      <c r="D88" s="1"/>
      <c r="E88" s="1"/>
      <c r="F88" s="1173"/>
      <c r="G88" s="1"/>
      <c r="H88" s="1173"/>
      <c r="I88" s="438"/>
      <c r="J88" s="437"/>
      <c r="K88" s="438"/>
      <c r="L88" s="692"/>
      <c r="M88" s="438"/>
      <c r="N88" s="1430"/>
      <c r="O88" s="438"/>
      <c r="P88" s="437"/>
      <c r="Q88" s="438"/>
      <c r="R88" s="692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"/>
      <c r="C89" s="1"/>
      <c r="D89" s="1"/>
      <c r="E89" s="1"/>
      <c r="F89" s="1173"/>
      <c r="G89" s="1"/>
      <c r="H89" s="1173"/>
      <c r="I89" s="438"/>
      <c r="J89" s="437"/>
      <c r="K89" s="438"/>
      <c r="L89" s="437"/>
      <c r="M89" s="438"/>
      <c r="N89" s="437"/>
      <c r="O89" s="438"/>
      <c r="P89" s="437"/>
      <c r="Q89" s="438"/>
      <c r="R89" s="437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"/>
      <c r="C90" s="1"/>
      <c r="D90" s="1"/>
      <c r="E90" s="1"/>
      <c r="F90" s="1173"/>
      <c r="G90" s="1"/>
      <c r="H90" s="1173"/>
      <c r="I90" s="438"/>
      <c r="J90" s="437"/>
      <c r="K90" s="438"/>
      <c r="L90" s="437"/>
      <c r="M90" s="438"/>
      <c r="N90" s="437"/>
      <c r="O90" s="438"/>
      <c r="P90" s="437"/>
      <c r="Q90" s="438"/>
      <c r="R90" s="437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"/>
      <c r="C91" s="1"/>
      <c r="D91" s="1"/>
      <c r="E91" s="1"/>
      <c r="F91" s="1173"/>
      <c r="G91" s="1"/>
      <c r="H91" s="1173"/>
      <c r="I91" s="438"/>
      <c r="J91" s="437"/>
      <c r="K91" s="438"/>
      <c r="L91" s="437"/>
      <c r="M91" s="438"/>
      <c r="N91" s="437"/>
      <c r="O91" s="438"/>
      <c r="P91" s="437"/>
      <c r="Q91" s="438"/>
      <c r="R91" s="437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"/>
      <c r="C92" s="1"/>
      <c r="D92" s="1"/>
      <c r="E92" s="1"/>
      <c r="F92" s="1173"/>
      <c r="G92" s="1"/>
      <c r="H92" s="1173"/>
      <c r="I92" s="438"/>
      <c r="J92" s="437"/>
      <c r="K92" s="438"/>
      <c r="L92" s="437"/>
      <c r="M92" s="438"/>
      <c r="N92" s="437"/>
      <c r="O92" s="438"/>
      <c r="P92" s="437"/>
      <c r="Q92" s="438"/>
      <c r="R92" s="437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"/>
      <c r="C93" s="1"/>
      <c r="D93" s="1"/>
      <c r="E93" s="1"/>
      <c r="F93" s="1173"/>
      <c r="G93" s="1"/>
      <c r="H93" s="1173"/>
      <c r="I93" s="438"/>
      <c r="J93" s="437"/>
      <c r="K93" s="438"/>
      <c r="L93" s="437"/>
      <c r="M93" s="438"/>
      <c r="N93" s="437"/>
      <c r="O93" s="438"/>
      <c r="P93" s="437"/>
      <c r="Q93" s="438"/>
      <c r="R93" s="437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"/>
      <c r="C94" s="1"/>
      <c r="D94" s="1"/>
      <c r="E94" s="1"/>
      <c r="F94" s="1173"/>
      <c r="G94" s="1"/>
      <c r="H94" s="1173"/>
      <c r="I94" s="438"/>
      <c r="J94" s="437"/>
      <c r="K94" s="438"/>
      <c r="L94" s="437"/>
      <c r="M94" s="438"/>
      <c r="N94" s="437"/>
      <c r="O94" s="438"/>
      <c r="P94" s="437"/>
      <c r="Q94" s="438"/>
      <c r="R94" s="437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"/>
      <c r="C95" s="1"/>
      <c r="D95" s="1"/>
      <c r="E95" s="1"/>
      <c r="F95" s="1173"/>
      <c r="G95" s="1"/>
      <c r="H95" s="1173"/>
      <c r="I95" s="438"/>
      <c r="J95" s="437"/>
      <c r="K95" s="438"/>
      <c r="L95" s="437"/>
      <c r="M95" s="438"/>
      <c r="N95" s="437"/>
      <c r="O95" s="438"/>
      <c r="P95" s="437"/>
      <c r="Q95" s="438"/>
      <c r="R95" s="437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"/>
      <c r="C96" s="1"/>
      <c r="D96" s="1"/>
      <c r="E96" s="1"/>
      <c r="F96" s="1173"/>
      <c r="G96" s="1"/>
      <c r="H96" s="1173"/>
      <c r="I96" s="438"/>
      <c r="J96" s="437"/>
      <c r="K96" s="438"/>
      <c r="L96" s="437"/>
      <c r="M96" s="438"/>
      <c r="N96" s="437"/>
      <c r="O96" s="438"/>
      <c r="P96" s="437"/>
      <c r="Q96" s="438"/>
      <c r="R96" s="437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"/>
      <c r="C97" s="1"/>
      <c r="D97" s="1"/>
      <c r="E97" s="1"/>
      <c r="F97" s="1173"/>
      <c r="G97" s="1"/>
      <c r="H97" s="1173"/>
      <c r="I97" s="438"/>
      <c r="J97" s="437"/>
      <c r="K97" s="438"/>
      <c r="L97" s="437"/>
      <c r="M97" s="438"/>
      <c r="N97" s="437"/>
      <c r="O97" s="438"/>
      <c r="P97" s="437"/>
      <c r="Q97" s="438"/>
      <c r="R97" s="437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1"/>
      <c r="D98" s="1"/>
      <c r="E98" s="1"/>
      <c r="F98" s="1173"/>
      <c r="G98" s="1"/>
      <c r="H98" s="1173"/>
      <c r="I98" s="438"/>
      <c r="J98" s="437"/>
      <c r="K98" s="438"/>
      <c r="L98" s="437"/>
      <c r="M98" s="438"/>
      <c r="N98" s="437"/>
      <c r="O98" s="438"/>
      <c r="P98" s="437"/>
      <c r="Q98" s="438"/>
      <c r="R98" s="437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"/>
      <c r="C99" s="1"/>
      <c r="D99" s="1"/>
      <c r="E99" s="1"/>
      <c r="F99" s="1173"/>
      <c r="G99" s="1"/>
      <c r="H99" s="1173"/>
      <c r="I99" s="438"/>
      <c r="J99" s="437"/>
      <c r="K99" s="438"/>
      <c r="L99" s="437"/>
      <c r="M99" s="438"/>
      <c r="N99" s="437"/>
      <c r="O99" s="438"/>
      <c r="P99" s="437"/>
      <c r="Q99" s="438"/>
      <c r="R99" s="437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"/>
      <c r="C100" s="1"/>
      <c r="D100" s="1"/>
      <c r="E100" s="1"/>
      <c r="F100" s="1173"/>
      <c r="G100" s="1"/>
      <c r="H100" s="1173"/>
      <c r="I100" s="438"/>
      <c r="J100" s="437"/>
      <c r="K100" s="438"/>
      <c r="L100" s="437"/>
      <c r="M100" s="438"/>
      <c r="N100" s="437"/>
      <c r="O100" s="438"/>
      <c r="P100" s="437"/>
      <c r="Q100" s="438"/>
      <c r="R100" s="437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"/>
      <c r="C101" s="1"/>
      <c r="D101" s="1"/>
      <c r="E101" s="1"/>
      <c r="F101" s="1173"/>
      <c r="G101" s="1"/>
      <c r="H101" s="1173"/>
      <c r="I101" s="438"/>
      <c r="J101" s="437"/>
      <c r="K101" s="438"/>
      <c r="L101" s="437"/>
      <c r="M101" s="438"/>
      <c r="N101" s="437"/>
      <c r="O101" s="438"/>
      <c r="P101" s="437"/>
      <c r="Q101" s="438"/>
      <c r="R101" s="437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"/>
      <c r="C102" s="1"/>
      <c r="D102" s="1"/>
      <c r="E102" s="1"/>
      <c r="F102" s="1173"/>
      <c r="G102" s="1"/>
      <c r="H102" s="1173"/>
      <c r="I102" s="438"/>
      <c r="J102" s="437"/>
      <c r="K102" s="438"/>
      <c r="L102" s="437"/>
      <c r="M102" s="438"/>
      <c r="N102" s="437"/>
      <c r="O102" s="438"/>
      <c r="P102" s="437"/>
      <c r="Q102" s="438"/>
      <c r="R102" s="437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"/>
      <c r="C103" s="1"/>
      <c r="D103" s="1"/>
      <c r="E103" s="1"/>
      <c r="F103" s="1173"/>
      <c r="G103" s="1"/>
      <c r="H103" s="1173"/>
      <c r="I103" s="438"/>
      <c r="J103" s="437"/>
      <c r="K103" s="438"/>
      <c r="L103" s="437"/>
      <c r="M103" s="438"/>
      <c r="N103" s="437"/>
      <c r="O103" s="438"/>
      <c r="P103" s="437"/>
      <c r="Q103" s="438"/>
      <c r="R103" s="437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"/>
      <c r="C104" s="1"/>
      <c r="D104" s="1"/>
      <c r="E104" s="1"/>
      <c r="F104" s="1173"/>
      <c r="G104" s="1"/>
      <c r="H104" s="1173"/>
      <c r="I104" s="438"/>
      <c r="J104" s="437"/>
      <c r="K104" s="438"/>
      <c r="L104" s="437"/>
      <c r="M104" s="438"/>
      <c r="N104" s="437"/>
      <c r="O104" s="438"/>
      <c r="P104" s="437"/>
      <c r="Q104" s="438"/>
      <c r="R104" s="437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"/>
      <c r="C105" s="1"/>
      <c r="D105" s="1"/>
      <c r="E105" s="1"/>
      <c r="F105" s="1173"/>
      <c r="G105" s="1"/>
      <c r="H105" s="1173"/>
      <c r="I105" s="438"/>
      <c r="J105" s="437"/>
      <c r="K105" s="438"/>
      <c r="L105" s="437"/>
      <c r="M105" s="438"/>
      <c r="N105" s="437"/>
      <c r="O105" s="438"/>
      <c r="P105" s="437"/>
      <c r="Q105" s="438"/>
      <c r="R105" s="437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1"/>
      <c r="D106" s="1"/>
      <c r="E106" s="1"/>
      <c r="F106" s="1173"/>
      <c r="G106" s="1"/>
      <c r="H106" s="1173"/>
      <c r="I106" s="438"/>
      <c r="J106" s="437"/>
      <c r="K106" s="438"/>
      <c r="L106" s="437"/>
      <c r="M106" s="438"/>
      <c r="N106" s="437"/>
      <c r="O106" s="438"/>
      <c r="P106" s="437"/>
      <c r="Q106" s="438"/>
      <c r="R106" s="437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1"/>
      <c r="D107" s="1"/>
      <c r="E107" s="1"/>
      <c r="F107" s="1173"/>
      <c r="G107" s="1"/>
      <c r="H107" s="1173"/>
      <c r="I107" s="438"/>
      <c r="J107" s="437"/>
      <c r="K107" s="438"/>
      <c r="L107" s="437"/>
      <c r="M107" s="438"/>
      <c r="N107" s="437"/>
      <c r="O107" s="438"/>
      <c r="P107" s="437"/>
      <c r="Q107" s="438"/>
      <c r="R107" s="437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1"/>
      <c r="D108" s="1"/>
      <c r="E108" s="1"/>
      <c r="F108" s="1173"/>
      <c r="G108" s="1"/>
      <c r="H108" s="1173"/>
      <c r="I108" s="438"/>
      <c r="J108" s="437"/>
      <c r="K108" s="438"/>
      <c r="L108" s="437"/>
      <c r="M108" s="438"/>
      <c r="N108" s="437"/>
      <c r="O108" s="438"/>
      <c r="P108" s="437"/>
      <c r="Q108" s="438"/>
      <c r="R108" s="437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1"/>
      <c r="D109" s="1"/>
      <c r="E109" s="1"/>
      <c r="F109" s="1173"/>
      <c r="G109" s="1"/>
      <c r="H109" s="1173"/>
      <c r="I109" s="438"/>
      <c r="J109" s="437"/>
      <c r="K109" s="438"/>
      <c r="L109" s="437"/>
      <c r="M109" s="438"/>
      <c r="N109" s="437"/>
      <c r="O109" s="438"/>
      <c r="P109" s="437"/>
      <c r="Q109" s="438"/>
      <c r="R109" s="437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1"/>
      <c r="E110" s="1"/>
      <c r="F110" s="1173"/>
      <c r="G110" s="1"/>
      <c r="H110" s="1173"/>
      <c r="I110" s="438"/>
      <c r="J110" s="437"/>
      <c r="K110" s="438"/>
      <c r="L110" s="437"/>
      <c r="M110" s="438"/>
      <c r="N110" s="437"/>
      <c r="O110" s="438"/>
      <c r="P110" s="437"/>
      <c r="Q110" s="438"/>
      <c r="R110" s="437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1"/>
      <c r="E111" s="1"/>
      <c r="F111" s="1173"/>
      <c r="G111" s="1"/>
      <c r="H111" s="1173"/>
      <c r="I111" s="438"/>
      <c r="J111" s="437"/>
      <c r="K111" s="438"/>
      <c r="L111" s="437"/>
      <c r="M111" s="438"/>
      <c r="N111" s="437"/>
      <c r="O111" s="438"/>
      <c r="P111" s="437"/>
      <c r="Q111" s="438"/>
      <c r="R111" s="437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1"/>
      <c r="D112" s="1"/>
      <c r="E112" s="1"/>
      <c r="F112" s="1173"/>
      <c r="G112" s="1"/>
      <c r="H112" s="1173"/>
      <c r="I112" s="438"/>
      <c r="J112" s="437"/>
      <c r="K112" s="438"/>
      <c r="L112" s="437"/>
      <c r="M112" s="438"/>
      <c r="N112" s="437"/>
      <c r="O112" s="438"/>
      <c r="P112" s="437"/>
      <c r="Q112" s="438"/>
      <c r="R112" s="437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1"/>
      <c r="D113" s="1"/>
      <c r="E113" s="1"/>
      <c r="F113" s="1173"/>
      <c r="G113" s="1"/>
      <c r="H113" s="1173"/>
      <c r="I113" s="438"/>
      <c r="J113" s="437"/>
      <c r="K113" s="438"/>
      <c r="L113" s="437"/>
      <c r="M113" s="438"/>
      <c r="N113" s="437"/>
      <c r="O113" s="438"/>
      <c r="P113" s="437"/>
      <c r="Q113" s="438"/>
      <c r="R113" s="437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1"/>
      <c r="D114" s="1"/>
      <c r="E114" s="1"/>
      <c r="F114" s="1173"/>
      <c r="G114" s="1"/>
      <c r="H114" s="1173"/>
      <c r="I114" s="438"/>
      <c r="J114" s="437"/>
      <c r="K114" s="438"/>
      <c r="L114" s="437"/>
      <c r="M114" s="438"/>
      <c r="N114" s="437"/>
      <c r="O114" s="438"/>
      <c r="P114" s="437"/>
      <c r="Q114" s="438"/>
      <c r="R114" s="437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1"/>
      <c r="E115" s="1"/>
      <c r="F115" s="1173"/>
      <c r="G115" s="1"/>
      <c r="H115" s="1173"/>
      <c r="I115" s="438"/>
      <c r="J115" s="437"/>
      <c r="K115" s="438"/>
      <c r="L115" s="437"/>
      <c r="M115" s="438"/>
      <c r="N115" s="437"/>
      <c r="O115" s="438"/>
      <c r="P115" s="437"/>
      <c r="Q115" s="438"/>
      <c r="R115" s="437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1"/>
      <c r="D116" s="1"/>
      <c r="E116" s="1"/>
      <c r="F116" s="1173"/>
      <c r="G116" s="1"/>
      <c r="H116" s="1173"/>
      <c r="I116" s="438"/>
      <c r="J116" s="437"/>
      <c r="K116" s="438"/>
      <c r="L116" s="437"/>
      <c r="M116" s="438"/>
      <c r="N116" s="437"/>
      <c r="O116" s="438"/>
      <c r="P116" s="437"/>
      <c r="Q116" s="438"/>
      <c r="R116" s="437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1"/>
      <c r="E117" s="1"/>
      <c r="F117" s="1173"/>
      <c r="G117" s="1"/>
      <c r="H117" s="1173"/>
      <c r="I117" s="438"/>
      <c r="J117" s="437"/>
      <c r="K117" s="438"/>
      <c r="L117" s="437"/>
      <c r="M117" s="438"/>
      <c r="N117" s="437"/>
      <c r="O117" s="438"/>
      <c r="P117" s="437"/>
      <c r="Q117" s="438"/>
      <c r="R117" s="437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1"/>
      <c r="E118" s="1"/>
      <c r="F118" s="1173"/>
      <c r="G118" s="1"/>
      <c r="H118" s="1173"/>
      <c r="I118" s="438"/>
      <c r="J118" s="437"/>
      <c r="K118" s="438"/>
      <c r="L118" s="437"/>
      <c r="M118" s="438"/>
      <c r="N118" s="437"/>
      <c r="O118" s="438"/>
      <c r="P118" s="437"/>
      <c r="Q118" s="438"/>
      <c r="R118" s="437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1"/>
      <c r="F119" s="1173"/>
      <c r="G119" s="1"/>
      <c r="H119" s="1173"/>
      <c r="I119" s="438"/>
      <c r="J119" s="437"/>
      <c r="K119" s="438"/>
      <c r="L119" s="437"/>
      <c r="M119" s="438"/>
      <c r="N119" s="437"/>
      <c r="O119" s="438"/>
      <c r="P119" s="437"/>
      <c r="Q119" s="438"/>
      <c r="R119" s="437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1"/>
      <c r="F120" s="1173"/>
      <c r="G120" s="1"/>
      <c r="H120" s="1173"/>
      <c r="I120" s="438"/>
      <c r="J120" s="437"/>
      <c r="K120" s="438"/>
      <c r="L120" s="437"/>
      <c r="M120" s="438"/>
      <c r="N120" s="437"/>
      <c r="O120" s="438"/>
      <c r="P120" s="437"/>
      <c r="Q120" s="438"/>
      <c r="R120" s="437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1"/>
      <c r="F121" s="1173"/>
      <c r="G121" s="1"/>
      <c r="H121" s="1173"/>
      <c r="I121" s="438"/>
      <c r="J121" s="437"/>
      <c r="K121" s="438"/>
      <c r="L121" s="437"/>
      <c r="M121" s="438"/>
      <c r="N121" s="437"/>
      <c r="O121" s="438"/>
      <c r="P121" s="437"/>
      <c r="Q121" s="438"/>
      <c r="R121" s="437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1"/>
      <c r="F122" s="1173"/>
      <c r="G122" s="1"/>
      <c r="H122" s="1173"/>
      <c r="I122" s="438"/>
      <c r="J122" s="437"/>
      <c r="K122" s="438"/>
      <c r="L122" s="437"/>
      <c r="M122" s="438"/>
      <c r="N122" s="437"/>
      <c r="O122" s="438"/>
      <c r="P122" s="437"/>
      <c r="Q122" s="438"/>
      <c r="R122" s="437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1"/>
      <c r="F123" s="1173"/>
      <c r="G123" s="1"/>
      <c r="H123" s="1173"/>
      <c r="I123" s="438"/>
      <c r="J123" s="437"/>
      <c r="K123" s="438"/>
      <c r="L123" s="437"/>
      <c r="M123" s="438"/>
      <c r="N123" s="437"/>
      <c r="O123" s="438"/>
      <c r="P123" s="437"/>
      <c r="Q123" s="438"/>
      <c r="R123" s="437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1"/>
      <c r="F124" s="1173"/>
      <c r="G124" s="1"/>
      <c r="H124" s="1173"/>
      <c r="I124" s="438"/>
      <c r="J124" s="437"/>
      <c r="K124" s="438"/>
      <c r="L124" s="437"/>
      <c r="M124" s="438"/>
      <c r="N124" s="437"/>
      <c r="O124" s="438"/>
      <c r="P124" s="437"/>
      <c r="Q124" s="438"/>
      <c r="R124" s="437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1"/>
      <c r="F125" s="1173"/>
      <c r="G125" s="1"/>
      <c r="H125" s="1173"/>
      <c r="I125" s="438"/>
      <c r="J125" s="437"/>
      <c r="K125" s="438"/>
      <c r="L125" s="437"/>
      <c r="M125" s="438"/>
      <c r="N125" s="437"/>
      <c r="O125" s="438"/>
      <c r="P125" s="437"/>
      <c r="Q125" s="438"/>
      <c r="R125" s="437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1"/>
      <c r="F126" s="1173"/>
      <c r="G126" s="1"/>
      <c r="H126" s="1173"/>
      <c r="I126" s="438"/>
      <c r="J126" s="437"/>
      <c r="K126" s="438"/>
      <c r="L126" s="437"/>
      <c r="M126" s="438"/>
      <c r="N126" s="437"/>
      <c r="O126" s="438"/>
      <c r="P126" s="437"/>
      <c r="Q126" s="438"/>
      <c r="R126" s="437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1"/>
      <c r="F127" s="1173"/>
      <c r="G127" s="1"/>
      <c r="H127" s="1173"/>
      <c r="I127" s="438"/>
      <c r="J127" s="437"/>
      <c r="K127" s="438"/>
      <c r="L127" s="437"/>
      <c r="M127" s="438"/>
      <c r="N127" s="437"/>
      <c r="O127" s="438"/>
      <c r="P127" s="437"/>
      <c r="Q127" s="438"/>
      <c r="R127" s="437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1"/>
      <c r="F128" s="1173"/>
      <c r="G128" s="1"/>
      <c r="H128" s="1173"/>
      <c r="I128" s="438"/>
      <c r="J128" s="437"/>
      <c r="K128" s="438"/>
      <c r="L128" s="437"/>
      <c r="M128" s="438"/>
      <c r="N128" s="437"/>
      <c r="O128" s="438"/>
      <c r="P128" s="437"/>
      <c r="Q128" s="438"/>
      <c r="R128" s="437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1"/>
      <c r="F129" s="1173"/>
      <c r="G129" s="1"/>
      <c r="H129" s="1173"/>
      <c r="I129" s="438"/>
      <c r="J129" s="437"/>
      <c r="K129" s="438"/>
      <c r="L129" s="437"/>
      <c r="M129" s="438"/>
      <c r="N129" s="437"/>
      <c r="O129" s="438"/>
      <c r="P129" s="437"/>
      <c r="Q129" s="438"/>
      <c r="R129" s="437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1"/>
      <c r="F130" s="1173"/>
      <c r="G130" s="1"/>
      <c r="H130" s="1173"/>
      <c r="I130" s="438"/>
      <c r="J130" s="437"/>
      <c r="K130" s="438"/>
      <c r="L130" s="437"/>
      <c r="M130" s="438"/>
      <c r="N130" s="437"/>
      <c r="O130" s="438"/>
      <c r="P130" s="437"/>
      <c r="Q130" s="438"/>
      <c r="R130" s="437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1"/>
      <c r="F131" s="1173"/>
      <c r="G131" s="1"/>
      <c r="H131" s="1173"/>
      <c r="I131" s="438"/>
      <c r="J131" s="437"/>
      <c r="K131" s="438"/>
      <c r="L131" s="437"/>
      <c r="M131" s="438"/>
      <c r="N131" s="437"/>
      <c r="O131" s="438"/>
      <c r="P131" s="437"/>
      <c r="Q131" s="438"/>
      <c r="R131" s="437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1"/>
      <c r="F132" s="1173"/>
      <c r="G132" s="1"/>
      <c r="H132" s="1173"/>
      <c r="I132" s="438"/>
      <c r="J132" s="437"/>
      <c r="K132" s="438"/>
      <c r="L132" s="437"/>
      <c r="M132" s="438"/>
      <c r="N132" s="437"/>
      <c r="O132" s="438"/>
      <c r="P132" s="437"/>
      <c r="Q132" s="438"/>
      <c r="R132" s="437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1"/>
      <c r="F133" s="1173"/>
      <c r="G133" s="1"/>
      <c r="H133" s="1173"/>
      <c r="I133" s="438"/>
      <c r="J133" s="437"/>
      <c r="K133" s="438"/>
      <c r="L133" s="437"/>
      <c r="M133" s="438"/>
      <c r="N133" s="437"/>
      <c r="O133" s="438"/>
      <c r="P133" s="437"/>
      <c r="Q133" s="438"/>
      <c r="R133" s="437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1"/>
      <c r="F134" s="1173"/>
      <c r="G134" s="1"/>
      <c r="H134" s="1173"/>
      <c r="I134" s="438"/>
      <c r="J134" s="437"/>
      <c r="K134" s="438"/>
      <c r="L134" s="437"/>
      <c r="M134" s="438"/>
      <c r="N134" s="437"/>
      <c r="O134" s="438"/>
      <c r="P134" s="437"/>
      <c r="Q134" s="438"/>
      <c r="R134" s="437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1"/>
      <c r="F135" s="1173"/>
      <c r="G135" s="1"/>
      <c r="H135" s="1173"/>
      <c r="I135" s="438"/>
      <c r="J135" s="437"/>
      <c r="K135" s="438"/>
      <c r="L135" s="437"/>
      <c r="M135" s="438"/>
      <c r="N135" s="437"/>
      <c r="O135" s="438"/>
      <c r="P135" s="437"/>
      <c r="Q135" s="438"/>
      <c r="R135" s="437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1"/>
      <c r="F136" s="1173"/>
      <c r="G136" s="1"/>
      <c r="H136" s="1173"/>
      <c r="I136" s="438"/>
      <c r="J136" s="437"/>
      <c r="K136" s="438"/>
      <c r="L136" s="437"/>
      <c r="M136" s="438"/>
      <c r="N136" s="437"/>
      <c r="O136" s="438"/>
      <c r="P136" s="437"/>
      <c r="Q136" s="438"/>
      <c r="R136" s="437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1"/>
      <c r="F137" s="1173"/>
      <c r="G137" s="1"/>
      <c r="H137" s="1173"/>
      <c r="I137" s="438"/>
      <c r="J137" s="437"/>
      <c r="K137" s="438"/>
      <c r="L137" s="437"/>
      <c r="M137" s="438"/>
      <c r="N137" s="437"/>
      <c r="O137" s="438"/>
      <c r="P137" s="437"/>
      <c r="Q137" s="438"/>
      <c r="R137" s="437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1"/>
      <c r="F138" s="1173"/>
      <c r="G138" s="1"/>
      <c r="H138" s="1173"/>
      <c r="I138" s="438"/>
      <c r="J138" s="437"/>
      <c r="K138" s="438"/>
      <c r="L138" s="437"/>
      <c r="M138" s="438"/>
      <c r="N138" s="437"/>
      <c r="O138" s="438"/>
      <c r="P138" s="437"/>
      <c r="Q138" s="438"/>
      <c r="R138" s="437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1"/>
      <c r="F139" s="1173"/>
      <c r="G139" s="1"/>
      <c r="H139" s="1173"/>
      <c r="I139" s="438"/>
      <c r="J139" s="437"/>
      <c r="K139" s="438"/>
      <c r="L139" s="437"/>
      <c r="M139" s="438"/>
      <c r="N139" s="437"/>
      <c r="O139" s="438"/>
      <c r="P139" s="437"/>
      <c r="Q139" s="438"/>
      <c r="R139" s="437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1"/>
      <c r="F140" s="1173"/>
      <c r="G140" s="1"/>
      <c r="H140" s="1173"/>
      <c r="I140" s="438"/>
      <c r="J140" s="437"/>
      <c r="K140" s="438"/>
      <c r="L140" s="437"/>
      <c r="M140" s="438"/>
      <c r="N140" s="437"/>
      <c r="O140" s="438"/>
      <c r="P140" s="437"/>
      <c r="Q140" s="438"/>
      <c r="R140" s="437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1"/>
      <c r="F141" s="1173"/>
      <c r="G141" s="1"/>
      <c r="H141" s="1173"/>
      <c r="I141" s="438"/>
      <c r="J141" s="437"/>
      <c r="K141" s="438"/>
      <c r="L141" s="437"/>
      <c r="M141" s="438"/>
      <c r="N141" s="437"/>
      <c r="O141" s="438"/>
      <c r="P141" s="437"/>
      <c r="Q141" s="438"/>
      <c r="R141" s="437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1"/>
      <c r="F142" s="1173"/>
      <c r="G142" s="1"/>
      <c r="H142" s="1173"/>
      <c r="I142" s="438"/>
      <c r="J142" s="437"/>
      <c r="K142" s="438"/>
      <c r="L142" s="437"/>
      <c r="M142" s="438"/>
      <c r="N142" s="437"/>
      <c r="O142" s="438"/>
      <c r="P142" s="437"/>
      <c r="Q142" s="438"/>
      <c r="R142" s="437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1"/>
      <c r="F143" s="1173"/>
      <c r="G143" s="1"/>
      <c r="H143" s="1173"/>
      <c r="I143" s="438"/>
      <c r="J143" s="437"/>
      <c r="K143" s="438"/>
      <c r="L143" s="437"/>
      <c r="M143" s="438"/>
      <c r="N143" s="437"/>
      <c r="O143" s="438"/>
      <c r="P143" s="437"/>
      <c r="Q143" s="438"/>
      <c r="R143" s="437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1"/>
      <c r="F144" s="1173"/>
      <c r="G144" s="1"/>
      <c r="H144" s="1173"/>
      <c r="I144" s="438"/>
      <c r="J144" s="437"/>
      <c r="K144" s="438"/>
      <c r="L144" s="437"/>
      <c r="M144" s="438"/>
      <c r="N144" s="437"/>
      <c r="O144" s="438"/>
      <c r="P144" s="437"/>
      <c r="Q144" s="438"/>
      <c r="R144" s="437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1"/>
      <c r="F145" s="1173"/>
      <c r="G145" s="1"/>
      <c r="H145" s="1173"/>
      <c r="I145" s="438"/>
      <c r="J145" s="437"/>
      <c r="K145" s="438"/>
      <c r="L145" s="437"/>
      <c r="M145" s="438"/>
      <c r="N145" s="437"/>
      <c r="O145" s="438"/>
      <c r="P145" s="437"/>
      <c r="Q145" s="438"/>
      <c r="R145" s="437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1"/>
      <c r="F146" s="1173"/>
      <c r="G146" s="1"/>
      <c r="H146" s="1173"/>
      <c r="I146" s="438"/>
      <c r="J146" s="437"/>
      <c r="K146" s="438"/>
      <c r="L146" s="437"/>
      <c r="M146" s="438"/>
      <c r="N146" s="437"/>
      <c r="O146" s="438"/>
      <c r="P146" s="437"/>
      <c r="Q146" s="438"/>
      <c r="R146" s="437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1"/>
      <c r="F147" s="1173"/>
      <c r="G147" s="1"/>
      <c r="H147" s="1173"/>
      <c r="I147" s="438"/>
      <c r="J147" s="437"/>
      <c r="K147" s="438"/>
      <c r="L147" s="437"/>
      <c r="M147" s="438"/>
      <c r="N147" s="437"/>
      <c r="O147" s="438"/>
      <c r="P147" s="437"/>
      <c r="Q147" s="438"/>
      <c r="R147" s="437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1"/>
      <c r="F148" s="1173"/>
      <c r="G148" s="1"/>
      <c r="H148" s="1173"/>
      <c r="I148" s="438"/>
      <c r="J148" s="437"/>
      <c r="K148" s="438"/>
      <c r="L148" s="437"/>
      <c r="M148" s="438"/>
      <c r="N148" s="437"/>
      <c r="O148" s="438"/>
      <c r="P148" s="437"/>
      <c r="Q148" s="438"/>
      <c r="R148" s="437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1"/>
      <c r="F149" s="1173"/>
      <c r="G149" s="1"/>
      <c r="H149" s="1173"/>
      <c r="I149" s="438"/>
      <c r="J149" s="437"/>
      <c r="K149" s="438"/>
      <c r="L149" s="437"/>
      <c r="M149" s="438"/>
      <c r="N149" s="437"/>
      <c r="O149" s="438"/>
      <c r="P149" s="437"/>
      <c r="Q149" s="438"/>
      <c r="R149" s="437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1"/>
      <c r="F150" s="1173"/>
      <c r="G150" s="1"/>
      <c r="H150" s="1173"/>
      <c r="I150" s="438"/>
      <c r="J150" s="437"/>
      <c r="K150" s="438"/>
      <c r="L150" s="437"/>
      <c r="M150" s="438"/>
      <c r="N150" s="437"/>
      <c r="O150" s="438"/>
      <c r="P150" s="437"/>
      <c r="Q150" s="438"/>
      <c r="R150" s="437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1"/>
      <c r="F151" s="1173"/>
      <c r="G151" s="1"/>
      <c r="H151" s="1173"/>
      <c r="I151" s="438"/>
      <c r="J151" s="437"/>
      <c r="K151" s="438"/>
      <c r="L151" s="437"/>
      <c r="M151" s="438"/>
      <c r="N151" s="437"/>
      <c r="O151" s="438"/>
      <c r="P151" s="437"/>
      <c r="Q151" s="438"/>
      <c r="R151" s="437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1"/>
      <c r="F152" s="1173"/>
      <c r="G152" s="1"/>
      <c r="H152" s="1173"/>
      <c r="I152" s="438"/>
      <c r="J152" s="437"/>
      <c r="K152" s="438"/>
      <c r="L152" s="437"/>
      <c r="M152" s="438"/>
      <c r="N152" s="437"/>
      <c r="O152" s="438"/>
      <c r="P152" s="437"/>
      <c r="Q152" s="438"/>
      <c r="R152" s="437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1"/>
      <c r="F153" s="1173"/>
      <c r="G153" s="1"/>
      <c r="H153" s="1173"/>
      <c r="I153" s="438"/>
      <c r="J153" s="437"/>
      <c r="K153" s="438"/>
      <c r="L153" s="437"/>
      <c r="M153" s="438"/>
      <c r="N153" s="437"/>
      <c r="O153" s="438"/>
      <c r="P153" s="437"/>
      <c r="Q153" s="438"/>
      <c r="R153" s="437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1"/>
      <c r="F154" s="1173"/>
      <c r="G154" s="1"/>
      <c r="H154" s="1173"/>
      <c r="I154" s="438"/>
      <c r="J154" s="437"/>
      <c r="K154" s="438"/>
      <c r="L154" s="437"/>
      <c r="M154" s="438"/>
      <c r="N154" s="437"/>
      <c r="O154" s="438"/>
      <c r="P154" s="437"/>
      <c r="Q154" s="438"/>
      <c r="R154" s="437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1"/>
      <c r="F155" s="1173"/>
      <c r="G155" s="1"/>
      <c r="H155" s="1173"/>
      <c r="I155" s="438"/>
      <c r="J155" s="437"/>
      <c r="K155" s="438"/>
      <c r="L155" s="437"/>
      <c r="M155" s="438"/>
      <c r="N155" s="437"/>
      <c r="O155" s="438"/>
      <c r="P155" s="437"/>
      <c r="Q155" s="438"/>
      <c r="R155" s="437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1"/>
      <c r="F156" s="1173"/>
      <c r="G156" s="1"/>
      <c r="H156" s="1173"/>
      <c r="I156" s="438"/>
      <c r="J156" s="437"/>
      <c r="K156" s="438"/>
      <c r="L156" s="437"/>
      <c r="M156" s="438"/>
      <c r="N156" s="437"/>
      <c r="O156" s="438"/>
      <c r="P156" s="437"/>
      <c r="Q156" s="438"/>
      <c r="R156" s="437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1"/>
      <c r="F157" s="1173"/>
      <c r="G157" s="1"/>
      <c r="H157" s="1173"/>
      <c r="I157" s="438"/>
      <c r="J157" s="437"/>
      <c r="K157" s="438"/>
      <c r="L157" s="437"/>
      <c r="M157" s="438"/>
      <c r="N157" s="437"/>
      <c r="O157" s="438"/>
      <c r="P157" s="437"/>
      <c r="Q157" s="438"/>
      <c r="R157" s="437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1"/>
      <c r="F158" s="1173"/>
      <c r="G158" s="1"/>
      <c r="H158" s="1173"/>
      <c r="I158" s="438"/>
      <c r="J158" s="437"/>
      <c r="K158" s="438"/>
      <c r="L158" s="437"/>
      <c r="M158" s="438"/>
      <c r="N158" s="437"/>
      <c r="O158" s="438"/>
      <c r="P158" s="437"/>
      <c r="Q158" s="438"/>
      <c r="R158" s="437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1"/>
      <c r="F159" s="1173"/>
      <c r="G159" s="1"/>
      <c r="H159" s="1173"/>
      <c r="I159" s="438"/>
      <c r="J159" s="437"/>
      <c r="K159" s="438"/>
      <c r="L159" s="437"/>
      <c r="M159" s="438"/>
      <c r="N159" s="437"/>
      <c r="O159" s="438"/>
      <c r="P159" s="437"/>
      <c r="Q159" s="438"/>
      <c r="R159" s="437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1"/>
      <c r="F160" s="1173"/>
      <c r="G160" s="1"/>
      <c r="H160" s="1173"/>
      <c r="I160" s="438"/>
      <c r="J160" s="437"/>
      <c r="K160" s="438"/>
      <c r="L160" s="437"/>
      <c r="M160" s="438"/>
      <c r="N160" s="437"/>
      <c r="O160" s="438"/>
      <c r="P160" s="437"/>
      <c r="Q160" s="438"/>
      <c r="R160" s="437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1"/>
      <c r="F161" s="1173"/>
      <c r="G161" s="1"/>
      <c r="H161" s="1173"/>
      <c r="I161" s="438"/>
      <c r="J161" s="437"/>
      <c r="K161" s="438"/>
      <c r="L161" s="437"/>
      <c r="M161" s="438"/>
      <c r="N161" s="437"/>
      <c r="O161" s="438"/>
      <c r="P161" s="437"/>
      <c r="Q161" s="438"/>
      <c r="R161" s="437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1"/>
      <c r="F162" s="1173"/>
      <c r="G162" s="1"/>
      <c r="H162" s="1173"/>
      <c r="I162" s="438"/>
      <c r="J162" s="437"/>
      <c r="K162" s="438"/>
      <c r="L162" s="437"/>
      <c r="M162" s="438"/>
      <c r="N162" s="437"/>
      <c r="O162" s="438"/>
      <c r="P162" s="437"/>
      <c r="Q162" s="438"/>
      <c r="R162" s="437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1"/>
      <c r="F163" s="1173"/>
      <c r="G163" s="1"/>
      <c r="H163" s="1173"/>
      <c r="I163" s="438"/>
      <c r="J163" s="437"/>
      <c r="K163" s="438"/>
      <c r="L163" s="437"/>
      <c r="M163" s="438"/>
      <c r="N163" s="437"/>
      <c r="O163" s="438"/>
      <c r="P163" s="437"/>
      <c r="Q163" s="438"/>
      <c r="R163" s="437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1"/>
      <c r="F164" s="1173"/>
      <c r="G164" s="1"/>
      <c r="H164" s="1173"/>
      <c r="I164" s="438"/>
      <c r="J164" s="437"/>
      <c r="K164" s="438"/>
      <c r="L164" s="437"/>
      <c r="M164" s="438"/>
      <c r="N164" s="437"/>
      <c r="O164" s="438"/>
      <c r="P164" s="437"/>
      <c r="Q164" s="438"/>
      <c r="R164" s="437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1"/>
      <c r="F165" s="1173"/>
      <c r="G165" s="1"/>
      <c r="H165" s="1173"/>
      <c r="I165" s="438"/>
      <c r="J165" s="437"/>
      <c r="K165" s="438"/>
      <c r="L165" s="437"/>
      <c r="M165" s="438"/>
      <c r="N165" s="437"/>
      <c r="O165" s="438"/>
      <c r="P165" s="437"/>
      <c r="Q165" s="438"/>
      <c r="R165" s="437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1"/>
      <c r="F166" s="1173"/>
      <c r="G166" s="1"/>
      <c r="H166" s="1173"/>
      <c r="I166" s="438"/>
      <c r="J166" s="437"/>
      <c r="K166" s="438"/>
      <c r="L166" s="437"/>
      <c r="M166" s="438"/>
      <c r="N166" s="437"/>
      <c r="O166" s="438"/>
      <c r="P166" s="437"/>
      <c r="Q166" s="438"/>
      <c r="R166" s="437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1"/>
      <c r="F167" s="1173"/>
      <c r="G167" s="1"/>
      <c r="H167" s="1173"/>
      <c r="I167" s="438"/>
      <c r="J167" s="437"/>
      <c r="K167" s="438"/>
      <c r="L167" s="437"/>
      <c r="M167" s="438"/>
      <c r="N167" s="437"/>
      <c r="O167" s="438"/>
      <c r="P167" s="437"/>
      <c r="Q167" s="438"/>
      <c r="R167" s="437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1"/>
      <c r="F168" s="1173"/>
      <c r="G168" s="1"/>
      <c r="H168" s="1173"/>
      <c r="I168" s="438"/>
      <c r="J168" s="437"/>
      <c r="K168" s="438"/>
      <c r="L168" s="437"/>
      <c r="M168" s="438"/>
      <c r="N168" s="437"/>
      <c r="O168" s="438"/>
      <c r="P168" s="437"/>
      <c r="Q168" s="438"/>
      <c r="R168" s="437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1"/>
      <c r="F169" s="1173"/>
      <c r="G169" s="1"/>
      <c r="H169" s="1173"/>
      <c r="I169" s="438"/>
      <c r="J169" s="437"/>
      <c r="K169" s="438"/>
      <c r="L169" s="437"/>
      <c r="M169" s="438"/>
      <c r="N169" s="437"/>
      <c r="O169" s="438"/>
      <c r="P169" s="437"/>
      <c r="Q169" s="438"/>
      <c r="R169" s="437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1"/>
      <c r="F170" s="1173"/>
      <c r="G170" s="1"/>
      <c r="H170" s="1173"/>
      <c r="I170" s="438"/>
      <c r="J170" s="437"/>
      <c r="K170" s="438"/>
      <c r="L170" s="437"/>
      <c r="M170" s="438"/>
      <c r="N170" s="437"/>
      <c r="O170" s="438"/>
      <c r="P170" s="437"/>
      <c r="Q170" s="438"/>
      <c r="R170" s="437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1"/>
      <c r="F171" s="1173"/>
      <c r="G171" s="1"/>
      <c r="H171" s="1173"/>
      <c r="I171" s="438"/>
      <c r="J171" s="437"/>
      <c r="K171" s="438"/>
      <c r="L171" s="437"/>
      <c r="M171" s="438"/>
      <c r="N171" s="437"/>
      <c r="O171" s="438"/>
      <c r="P171" s="437"/>
      <c r="Q171" s="438"/>
      <c r="R171" s="437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1"/>
      <c r="F172" s="1173"/>
      <c r="G172" s="1"/>
      <c r="H172" s="1173"/>
      <c r="I172" s="438"/>
      <c r="J172" s="437"/>
      <c r="K172" s="438"/>
      <c r="L172" s="437"/>
      <c r="M172" s="438"/>
      <c r="N172" s="437"/>
      <c r="O172" s="438"/>
      <c r="P172" s="437"/>
      <c r="Q172" s="438"/>
      <c r="R172" s="437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1"/>
      <c r="F173" s="1173"/>
      <c r="G173" s="1"/>
      <c r="H173" s="1173"/>
      <c r="I173" s="438"/>
      <c r="J173" s="437"/>
      <c r="K173" s="438"/>
      <c r="L173" s="437"/>
      <c r="M173" s="438"/>
      <c r="N173" s="437"/>
      <c r="O173" s="438"/>
      <c r="P173" s="437"/>
      <c r="Q173" s="438"/>
      <c r="R173" s="437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1"/>
      <c r="F174" s="1173"/>
      <c r="G174" s="1"/>
      <c r="H174" s="1173"/>
      <c r="I174" s="438"/>
      <c r="J174" s="437"/>
      <c r="K174" s="438"/>
      <c r="L174" s="437"/>
      <c r="M174" s="438"/>
      <c r="N174" s="437"/>
      <c r="O174" s="438"/>
      <c r="P174" s="437"/>
      <c r="Q174" s="438"/>
      <c r="R174" s="437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1"/>
      <c r="F175" s="1173"/>
      <c r="G175" s="1"/>
      <c r="H175" s="1173"/>
      <c r="I175" s="438"/>
      <c r="J175" s="437"/>
      <c r="K175" s="438"/>
      <c r="L175" s="437"/>
      <c r="M175" s="438"/>
      <c r="N175" s="437"/>
      <c r="O175" s="438"/>
      <c r="P175" s="437"/>
      <c r="Q175" s="438"/>
      <c r="R175" s="437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1"/>
      <c r="F176" s="1173"/>
      <c r="G176" s="1"/>
      <c r="H176" s="1173"/>
      <c r="I176" s="438"/>
      <c r="J176" s="437"/>
      <c r="K176" s="438"/>
      <c r="L176" s="437"/>
      <c r="M176" s="438"/>
      <c r="N176" s="437"/>
      <c r="O176" s="438"/>
      <c r="P176" s="437"/>
      <c r="Q176" s="438"/>
      <c r="R176" s="437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1"/>
      <c r="F177" s="1173"/>
      <c r="G177" s="1"/>
      <c r="H177" s="1173"/>
      <c r="I177" s="438"/>
      <c r="J177" s="437"/>
      <c r="K177" s="438"/>
      <c r="L177" s="437"/>
      <c r="M177" s="438"/>
      <c r="N177" s="437"/>
      <c r="O177" s="438"/>
      <c r="P177" s="437"/>
      <c r="Q177" s="438"/>
      <c r="R177" s="437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1"/>
      <c r="F178" s="1173"/>
      <c r="G178" s="1"/>
      <c r="H178" s="1173"/>
      <c r="I178" s="438"/>
      <c r="J178" s="437"/>
      <c r="K178" s="438"/>
      <c r="L178" s="437"/>
      <c r="M178" s="438"/>
      <c r="N178" s="437"/>
      <c r="O178" s="438"/>
      <c r="P178" s="437"/>
      <c r="Q178" s="438"/>
      <c r="R178" s="437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1"/>
      <c r="F179" s="1173"/>
      <c r="G179" s="1"/>
      <c r="H179" s="1173"/>
      <c r="I179" s="438"/>
      <c r="J179" s="437"/>
      <c r="K179" s="438"/>
      <c r="L179" s="437"/>
      <c r="M179" s="438"/>
      <c r="N179" s="437"/>
      <c r="O179" s="438"/>
      <c r="P179" s="437"/>
      <c r="Q179" s="438"/>
      <c r="R179" s="437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1"/>
      <c r="F180" s="1173"/>
      <c r="G180" s="1"/>
      <c r="H180" s="1173"/>
      <c r="I180" s="438"/>
      <c r="J180" s="437"/>
      <c r="K180" s="438"/>
      <c r="L180" s="437"/>
      <c r="M180" s="438"/>
      <c r="N180" s="437"/>
      <c r="O180" s="438"/>
      <c r="P180" s="437"/>
      <c r="Q180" s="438"/>
      <c r="R180" s="437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1"/>
      <c r="F181" s="1173"/>
      <c r="G181" s="1"/>
      <c r="H181" s="1173"/>
      <c r="I181" s="438"/>
      <c r="J181" s="437"/>
      <c r="K181" s="438"/>
      <c r="L181" s="437"/>
      <c r="M181" s="438"/>
      <c r="N181" s="437"/>
      <c r="O181" s="438"/>
      <c r="P181" s="437"/>
      <c r="Q181" s="438"/>
      <c r="R181" s="437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1"/>
      <c r="F182" s="1173"/>
      <c r="G182" s="1"/>
      <c r="H182" s="1173"/>
      <c r="I182" s="438"/>
      <c r="J182" s="437"/>
      <c r="K182" s="438"/>
      <c r="L182" s="437"/>
      <c r="M182" s="438"/>
      <c r="N182" s="437"/>
      <c r="O182" s="438"/>
      <c r="P182" s="437"/>
      <c r="Q182" s="438"/>
      <c r="R182" s="437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1"/>
      <c r="F183" s="1173"/>
      <c r="G183" s="1"/>
      <c r="H183" s="1173"/>
      <c r="I183" s="438"/>
      <c r="J183" s="437"/>
      <c r="K183" s="438"/>
      <c r="L183" s="437"/>
      <c r="M183" s="438"/>
      <c r="N183" s="437"/>
      <c r="O183" s="438"/>
      <c r="P183" s="437"/>
      <c r="Q183" s="438"/>
      <c r="R183" s="437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1"/>
      <c r="F184" s="1173"/>
      <c r="G184" s="1"/>
      <c r="H184" s="1173"/>
      <c r="I184" s="438"/>
      <c r="J184" s="437"/>
      <c r="K184" s="438"/>
      <c r="L184" s="437"/>
      <c r="M184" s="438"/>
      <c r="N184" s="437"/>
      <c r="O184" s="438"/>
      <c r="P184" s="437"/>
      <c r="Q184" s="438"/>
      <c r="R184" s="437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1"/>
      <c r="F185" s="1173"/>
      <c r="G185" s="1"/>
      <c r="H185" s="1173"/>
      <c r="I185" s="438"/>
      <c r="J185" s="437"/>
      <c r="K185" s="438"/>
      <c r="L185" s="437"/>
      <c r="M185" s="438"/>
      <c r="N185" s="437"/>
      <c r="O185" s="438"/>
      <c r="P185" s="437"/>
      <c r="Q185" s="438"/>
      <c r="R185" s="437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1"/>
      <c r="F186" s="1173"/>
      <c r="G186" s="1"/>
      <c r="H186" s="1173"/>
      <c r="I186" s="438"/>
      <c r="J186" s="437"/>
      <c r="K186" s="438"/>
      <c r="L186" s="437"/>
      <c r="M186" s="438"/>
      <c r="N186" s="437"/>
      <c r="O186" s="438"/>
      <c r="P186" s="437"/>
      <c r="Q186" s="438"/>
      <c r="R186" s="437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1"/>
      <c r="F187" s="1173"/>
      <c r="G187" s="1"/>
      <c r="H187" s="1173"/>
      <c r="I187" s="438"/>
      <c r="J187" s="437"/>
      <c r="K187" s="438"/>
      <c r="L187" s="437"/>
      <c r="M187" s="438"/>
      <c r="N187" s="437"/>
      <c r="O187" s="438"/>
      <c r="P187" s="437"/>
      <c r="Q187" s="438"/>
      <c r="R187" s="437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1"/>
      <c r="F188" s="1173"/>
      <c r="G188" s="1"/>
      <c r="H188" s="1173"/>
      <c r="I188" s="438"/>
      <c r="J188" s="437"/>
      <c r="K188" s="438"/>
      <c r="L188" s="437"/>
      <c r="M188" s="438"/>
      <c r="N188" s="437"/>
      <c r="O188" s="438"/>
      <c r="P188" s="437"/>
      <c r="Q188" s="438"/>
      <c r="R188" s="437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1"/>
      <c r="F189" s="1173"/>
      <c r="G189" s="1"/>
      <c r="H189" s="1173"/>
      <c r="I189" s="438"/>
      <c r="J189" s="437"/>
      <c r="K189" s="438"/>
      <c r="L189" s="437"/>
      <c r="M189" s="438"/>
      <c r="N189" s="437"/>
      <c r="O189" s="438"/>
      <c r="P189" s="437"/>
      <c r="Q189" s="438"/>
      <c r="R189" s="437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1"/>
      <c r="F190" s="1173"/>
      <c r="G190" s="1"/>
      <c r="H190" s="1173"/>
      <c r="I190" s="438"/>
      <c r="J190" s="437"/>
      <c r="K190" s="438"/>
      <c r="L190" s="437"/>
      <c r="M190" s="438"/>
      <c r="N190" s="437"/>
      <c r="O190" s="438"/>
      <c r="P190" s="437"/>
      <c r="Q190" s="438"/>
      <c r="R190" s="437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1"/>
      <c r="F191" s="1173"/>
      <c r="G191" s="1"/>
      <c r="H191" s="1173"/>
      <c r="I191" s="438"/>
      <c r="J191" s="437"/>
      <c r="K191" s="438"/>
      <c r="L191" s="437"/>
      <c r="M191" s="438"/>
      <c r="N191" s="437"/>
      <c r="O191" s="438"/>
      <c r="P191" s="437"/>
      <c r="Q191" s="438"/>
      <c r="R191" s="437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1"/>
      <c r="F192" s="1173"/>
      <c r="G192" s="1"/>
      <c r="H192" s="1173"/>
      <c r="I192" s="438"/>
      <c r="J192" s="437"/>
      <c r="K192" s="438"/>
      <c r="L192" s="437"/>
      <c r="M192" s="438"/>
      <c r="N192" s="437"/>
      <c r="O192" s="438"/>
      <c r="P192" s="437"/>
      <c r="Q192" s="438"/>
      <c r="R192" s="437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1"/>
      <c r="F193" s="1173"/>
      <c r="G193" s="1"/>
      <c r="H193" s="1173"/>
      <c r="I193" s="438"/>
      <c r="J193" s="437"/>
      <c r="K193" s="438"/>
      <c r="L193" s="437"/>
      <c r="M193" s="438"/>
      <c r="N193" s="437"/>
      <c r="O193" s="438"/>
      <c r="P193" s="437"/>
      <c r="Q193" s="438"/>
      <c r="R193" s="437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1"/>
      <c r="F194" s="1173"/>
      <c r="G194" s="1"/>
      <c r="H194" s="1173"/>
      <c r="I194" s="438"/>
      <c r="J194" s="437"/>
      <c r="K194" s="438"/>
      <c r="L194" s="437"/>
      <c r="M194" s="438"/>
      <c r="N194" s="437"/>
      <c r="O194" s="438"/>
      <c r="P194" s="437"/>
      <c r="Q194" s="438"/>
      <c r="R194" s="437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1"/>
      <c r="F195" s="1173"/>
      <c r="G195" s="1"/>
      <c r="H195" s="1173"/>
      <c r="I195" s="438"/>
      <c r="J195" s="437"/>
      <c r="K195" s="438"/>
      <c r="L195" s="437"/>
      <c r="M195" s="438"/>
      <c r="N195" s="437"/>
      <c r="O195" s="438"/>
      <c r="P195" s="437"/>
      <c r="Q195" s="438"/>
      <c r="R195" s="437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1"/>
      <c r="F196" s="1173"/>
      <c r="G196" s="1"/>
      <c r="H196" s="1173"/>
      <c r="I196" s="438"/>
      <c r="J196" s="437"/>
      <c r="K196" s="438"/>
      <c r="L196" s="437"/>
      <c r="M196" s="438"/>
      <c r="N196" s="437"/>
      <c r="O196" s="438"/>
      <c r="P196" s="437"/>
      <c r="Q196" s="438"/>
      <c r="R196" s="437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1"/>
      <c r="F197" s="1173"/>
      <c r="G197" s="1"/>
      <c r="H197" s="1173"/>
      <c r="I197" s="438"/>
      <c r="J197" s="437"/>
      <c r="K197" s="438"/>
      <c r="L197" s="437"/>
      <c r="M197" s="438"/>
      <c r="N197" s="437"/>
      <c r="O197" s="438"/>
      <c r="P197" s="437"/>
      <c r="Q197" s="438"/>
      <c r="R197" s="437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1"/>
      <c r="F198" s="1173"/>
      <c r="G198" s="1"/>
      <c r="H198" s="1173"/>
      <c r="I198" s="438"/>
      <c r="J198" s="437"/>
      <c r="K198" s="438"/>
      <c r="L198" s="437"/>
      <c r="M198" s="438"/>
      <c r="N198" s="437"/>
      <c r="O198" s="438"/>
      <c r="P198" s="437"/>
      <c r="Q198" s="438"/>
      <c r="R198" s="437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1"/>
      <c r="F199" s="1173"/>
      <c r="G199" s="1"/>
      <c r="H199" s="1173"/>
      <c r="I199" s="438"/>
      <c r="J199" s="437"/>
      <c r="K199" s="438"/>
      <c r="L199" s="437"/>
      <c r="M199" s="438"/>
      <c r="N199" s="437"/>
      <c r="O199" s="438"/>
      <c r="P199" s="437"/>
      <c r="Q199" s="438"/>
      <c r="R199" s="437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1"/>
      <c r="F200" s="1173"/>
      <c r="G200" s="1"/>
      <c r="H200" s="1173"/>
      <c r="I200" s="438"/>
      <c r="J200" s="437"/>
      <c r="K200" s="438"/>
      <c r="L200" s="437"/>
      <c r="M200" s="438"/>
      <c r="N200" s="437"/>
      <c r="O200" s="438"/>
      <c r="P200" s="437"/>
      <c r="Q200" s="438"/>
      <c r="R200" s="437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1"/>
      <c r="F201" s="1173"/>
      <c r="G201" s="1"/>
      <c r="H201" s="1173"/>
      <c r="I201" s="438"/>
      <c r="J201" s="437"/>
      <c r="K201" s="438"/>
      <c r="L201" s="437"/>
      <c r="M201" s="438"/>
      <c r="N201" s="437"/>
      <c r="O201" s="438"/>
      <c r="P201" s="437"/>
      <c r="Q201" s="438"/>
      <c r="R201" s="437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1"/>
      <c r="F202" s="1173"/>
      <c r="G202" s="1"/>
      <c r="H202" s="1173"/>
      <c r="I202" s="438"/>
      <c r="J202" s="437"/>
      <c r="K202" s="438"/>
      <c r="L202" s="437"/>
      <c r="M202" s="438"/>
      <c r="N202" s="437"/>
      <c r="O202" s="438"/>
      <c r="P202" s="437"/>
      <c r="Q202" s="438"/>
      <c r="R202" s="437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1"/>
      <c r="F203" s="1173"/>
      <c r="G203" s="1"/>
      <c r="H203" s="1173"/>
      <c r="I203" s="438"/>
      <c r="J203" s="437"/>
      <c r="K203" s="438"/>
      <c r="L203" s="437"/>
      <c r="M203" s="438"/>
      <c r="N203" s="437"/>
      <c r="O203" s="438"/>
      <c r="P203" s="437"/>
      <c r="Q203" s="438"/>
      <c r="R203" s="437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1"/>
      <c r="F204" s="1173"/>
      <c r="G204" s="1"/>
      <c r="H204" s="1173"/>
      <c r="I204" s="438"/>
      <c r="J204" s="437"/>
      <c r="K204" s="438"/>
      <c r="L204" s="437"/>
      <c r="M204" s="438"/>
      <c r="N204" s="437"/>
      <c r="O204" s="438"/>
      <c r="P204" s="437"/>
      <c r="Q204" s="438"/>
      <c r="R204" s="437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1"/>
      <c r="F205" s="1173"/>
      <c r="G205" s="1"/>
      <c r="H205" s="1173"/>
      <c r="I205" s="438"/>
      <c r="J205" s="437"/>
      <c r="K205" s="438"/>
      <c r="L205" s="437"/>
      <c r="M205" s="438"/>
      <c r="N205" s="437"/>
      <c r="O205" s="438"/>
      <c r="P205" s="437"/>
      <c r="Q205" s="438"/>
      <c r="R205" s="437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1"/>
      <c r="F206" s="1173"/>
      <c r="G206" s="1"/>
      <c r="H206" s="1173"/>
      <c r="I206" s="438"/>
      <c r="J206" s="437"/>
      <c r="K206" s="438"/>
      <c r="L206" s="437"/>
      <c r="M206" s="438"/>
      <c r="N206" s="437"/>
      <c r="O206" s="438"/>
      <c r="P206" s="437"/>
      <c r="Q206" s="438"/>
      <c r="R206" s="437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1"/>
      <c r="F207" s="1173"/>
      <c r="G207" s="1"/>
      <c r="H207" s="1173"/>
      <c r="I207" s="438"/>
      <c r="J207" s="437"/>
      <c r="K207" s="438"/>
      <c r="L207" s="437"/>
      <c r="M207" s="438"/>
      <c r="N207" s="437"/>
      <c r="O207" s="438"/>
      <c r="P207" s="437"/>
      <c r="Q207" s="438"/>
      <c r="R207" s="437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1"/>
      <c r="F208" s="1173"/>
      <c r="G208" s="1"/>
      <c r="H208" s="1173"/>
      <c r="I208" s="438"/>
      <c r="J208" s="437"/>
      <c r="K208" s="438"/>
      <c r="L208" s="437"/>
      <c r="M208" s="438"/>
      <c r="N208" s="437"/>
      <c r="O208" s="438"/>
      <c r="P208" s="437"/>
      <c r="Q208" s="438"/>
      <c r="R208" s="437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1"/>
      <c r="F209" s="1173"/>
      <c r="G209" s="1"/>
      <c r="H209" s="1173"/>
      <c r="I209" s="438"/>
      <c r="J209" s="437"/>
      <c r="K209" s="438"/>
      <c r="L209" s="437"/>
      <c r="M209" s="438"/>
      <c r="N209" s="437"/>
      <c r="O209" s="438"/>
      <c r="P209" s="437"/>
      <c r="Q209" s="438"/>
      <c r="R209" s="437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1"/>
      <c r="F210" s="1173"/>
      <c r="G210" s="1"/>
      <c r="H210" s="1173"/>
      <c r="I210" s="438"/>
      <c r="J210" s="437"/>
      <c r="K210" s="438"/>
      <c r="L210" s="437"/>
      <c r="M210" s="438"/>
      <c r="N210" s="437"/>
      <c r="O210" s="438"/>
      <c r="P210" s="437"/>
      <c r="Q210" s="438"/>
      <c r="R210" s="437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1"/>
      <c r="F211" s="1173"/>
      <c r="G211" s="1"/>
      <c r="H211" s="1173"/>
      <c r="I211" s="438"/>
      <c r="J211" s="437"/>
      <c r="K211" s="438"/>
      <c r="L211" s="437"/>
      <c r="M211" s="438"/>
      <c r="N211" s="437"/>
      <c r="O211" s="438"/>
      <c r="P211" s="437"/>
      <c r="Q211" s="438"/>
      <c r="R211" s="437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1"/>
      <c r="F212" s="1173"/>
      <c r="G212" s="1"/>
      <c r="H212" s="1173"/>
      <c r="I212" s="438"/>
      <c r="J212" s="437"/>
      <c r="K212" s="438"/>
      <c r="L212" s="437"/>
      <c r="M212" s="438"/>
      <c r="N212" s="437"/>
      <c r="O212" s="438"/>
      <c r="P212" s="437"/>
      <c r="Q212" s="438"/>
      <c r="R212" s="437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1"/>
      <c r="F213" s="1173"/>
      <c r="G213" s="1"/>
      <c r="H213" s="1173"/>
      <c r="I213" s="438"/>
      <c r="J213" s="437"/>
      <c r="K213" s="438"/>
      <c r="L213" s="437"/>
      <c r="M213" s="438"/>
      <c r="N213" s="437"/>
      <c r="O213" s="438"/>
      <c r="P213" s="437"/>
      <c r="Q213" s="438"/>
      <c r="R213" s="437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1"/>
      <c r="F214" s="1173"/>
      <c r="G214" s="1"/>
      <c r="H214" s="1173"/>
      <c r="I214" s="438"/>
      <c r="J214" s="437"/>
      <c r="K214" s="438"/>
      <c r="L214" s="437"/>
      <c r="M214" s="438"/>
      <c r="N214" s="437"/>
      <c r="O214" s="438"/>
      <c r="P214" s="437"/>
      <c r="Q214" s="438"/>
      <c r="R214" s="437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1"/>
      <c r="F215" s="1173"/>
      <c r="G215" s="1"/>
      <c r="H215" s="1173"/>
      <c r="I215" s="438"/>
      <c r="J215" s="437"/>
      <c r="K215" s="438"/>
      <c r="L215" s="437"/>
      <c r="M215" s="438"/>
      <c r="N215" s="437"/>
      <c r="O215" s="438"/>
      <c r="P215" s="437"/>
      <c r="Q215" s="438"/>
      <c r="R215" s="437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1"/>
      <c r="F216" s="1173"/>
      <c r="G216" s="1"/>
      <c r="H216" s="1173"/>
      <c r="I216" s="438"/>
      <c r="J216" s="437"/>
      <c r="K216" s="438"/>
      <c r="L216" s="437"/>
      <c r="M216" s="438"/>
      <c r="N216" s="437"/>
      <c r="O216" s="438"/>
      <c r="P216" s="437"/>
      <c r="Q216" s="438"/>
      <c r="R216" s="437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1"/>
      <c r="F217" s="1173"/>
      <c r="G217" s="1"/>
      <c r="H217" s="1173"/>
      <c r="I217" s="438"/>
      <c r="J217" s="437"/>
      <c r="K217" s="438"/>
      <c r="L217" s="437"/>
      <c r="M217" s="438"/>
      <c r="N217" s="437"/>
      <c r="O217" s="438"/>
      <c r="P217" s="437"/>
      <c r="Q217" s="438"/>
      <c r="R217" s="437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1"/>
      <c r="F218" s="1173"/>
      <c r="G218" s="1"/>
      <c r="H218" s="1173"/>
      <c r="I218" s="438"/>
      <c r="J218" s="437"/>
      <c r="K218" s="438"/>
      <c r="L218" s="437"/>
      <c r="M218" s="438"/>
      <c r="N218" s="437"/>
      <c r="O218" s="438"/>
      <c r="P218" s="437"/>
      <c r="Q218" s="438"/>
      <c r="R218" s="437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1"/>
      <c r="F219" s="1173"/>
      <c r="G219" s="1"/>
      <c r="H219" s="1173"/>
      <c r="I219" s="438"/>
      <c r="J219" s="437"/>
      <c r="K219" s="438"/>
      <c r="L219" s="437"/>
      <c r="M219" s="438"/>
      <c r="N219" s="437"/>
      <c r="O219" s="438"/>
      <c r="P219" s="437"/>
      <c r="Q219" s="438"/>
      <c r="R219" s="437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1"/>
      <c r="F220" s="1173"/>
      <c r="G220" s="1"/>
      <c r="H220" s="1173"/>
      <c r="I220" s="438"/>
      <c r="J220" s="437"/>
      <c r="K220" s="438"/>
      <c r="L220" s="437"/>
      <c r="M220" s="438"/>
      <c r="N220" s="437"/>
      <c r="O220" s="438"/>
      <c r="P220" s="437"/>
      <c r="Q220" s="438"/>
      <c r="R220" s="437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1"/>
      <c r="F221" s="1173"/>
      <c r="G221" s="1"/>
      <c r="H221" s="1173"/>
      <c r="I221" s="438"/>
      <c r="J221" s="437"/>
      <c r="K221" s="438"/>
      <c r="L221" s="437"/>
      <c r="M221" s="438"/>
      <c r="N221" s="437"/>
      <c r="O221" s="438"/>
      <c r="P221" s="437"/>
      <c r="Q221" s="438"/>
      <c r="R221" s="437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1"/>
      <c r="F222" s="1173"/>
      <c r="G222" s="1"/>
      <c r="H222" s="1173"/>
      <c r="I222" s="438"/>
      <c r="J222" s="437"/>
      <c r="K222" s="438"/>
      <c r="L222" s="437"/>
      <c r="M222" s="438"/>
      <c r="N222" s="437"/>
      <c r="O222" s="438"/>
      <c r="P222" s="437"/>
      <c r="Q222" s="438"/>
      <c r="R222" s="437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1"/>
      <c r="F223" s="1173"/>
      <c r="G223" s="1"/>
      <c r="H223" s="1173"/>
      <c r="I223" s="438"/>
      <c r="J223" s="437"/>
      <c r="K223" s="438"/>
      <c r="L223" s="437"/>
      <c r="M223" s="438"/>
      <c r="N223" s="437"/>
      <c r="O223" s="438"/>
      <c r="P223" s="437"/>
      <c r="Q223" s="438"/>
      <c r="R223" s="437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1"/>
      <c r="F224" s="1173"/>
      <c r="G224" s="1"/>
      <c r="H224" s="1173"/>
      <c r="I224" s="438"/>
      <c r="J224" s="437"/>
      <c r="K224" s="438"/>
      <c r="L224" s="437"/>
      <c r="M224" s="438"/>
      <c r="N224" s="437"/>
      <c r="O224" s="438"/>
      <c r="P224" s="437"/>
      <c r="Q224" s="438"/>
      <c r="R224" s="437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1"/>
      <c r="F225" s="1173"/>
      <c r="G225" s="1"/>
      <c r="H225" s="1173"/>
      <c r="I225" s="438"/>
      <c r="J225" s="437"/>
      <c r="K225" s="438"/>
      <c r="L225" s="437"/>
      <c r="M225" s="438"/>
      <c r="N225" s="437"/>
      <c r="O225" s="438"/>
      <c r="P225" s="437"/>
      <c r="Q225" s="438"/>
      <c r="R225" s="437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1"/>
      <c r="F226" s="1173"/>
      <c r="G226" s="1"/>
      <c r="H226" s="1173"/>
      <c r="I226" s="438"/>
      <c r="J226" s="437"/>
      <c r="K226" s="438"/>
      <c r="L226" s="437"/>
      <c r="M226" s="438"/>
      <c r="N226" s="437"/>
      <c r="O226" s="438"/>
      <c r="P226" s="437"/>
      <c r="Q226" s="438"/>
      <c r="R226" s="437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1"/>
      <c r="F227" s="1173"/>
      <c r="G227" s="1"/>
      <c r="H227" s="1173"/>
      <c r="I227" s="438"/>
      <c r="J227" s="437"/>
      <c r="K227" s="438"/>
      <c r="L227" s="437"/>
      <c r="M227" s="438"/>
      <c r="N227" s="437"/>
      <c r="O227" s="438"/>
      <c r="P227" s="437"/>
      <c r="Q227" s="438"/>
      <c r="R227" s="437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1"/>
      <c r="F228" s="1173"/>
      <c r="G228" s="1"/>
      <c r="H228" s="1173"/>
      <c r="I228" s="438"/>
      <c r="J228" s="437"/>
      <c r="K228" s="438"/>
      <c r="L228" s="437"/>
      <c r="M228" s="438"/>
      <c r="N228" s="437"/>
      <c r="O228" s="438"/>
      <c r="P228" s="437"/>
      <c r="Q228" s="438"/>
      <c r="R228" s="437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1"/>
      <c r="F229" s="1173"/>
      <c r="G229" s="1"/>
      <c r="H229" s="1173"/>
      <c r="I229" s="438"/>
      <c r="J229" s="437"/>
      <c r="K229" s="438"/>
      <c r="L229" s="437"/>
      <c r="M229" s="438"/>
      <c r="N229" s="437"/>
      <c r="O229" s="438"/>
      <c r="P229" s="437"/>
      <c r="Q229" s="438"/>
      <c r="R229" s="437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1"/>
      <c r="F230" s="1173"/>
      <c r="G230" s="1"/>
      <c r="H230" s="1173"/>
      <c r="I230" s="438"/>
      <c r="J230" s="437"/>
      <c r="K230" s="438"/>
      <c r="L230" s="437"/>
      <c r="M230" s="438"/>
      <c r="N230" s="437"/>
      <c r="O230" s="438"/>
      <c r="P230" s="437"/>
      <c r="Q230" s="438"/>
      <c r="R230" s="437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1"/>
      <c r="F231" s="1173"/>
      <c r="G231" s="1"/>
      <c r="H231" s="1173"/>
      <c r="I231" s="438"/>
      <c r="J231" s="437"/>
      <c r="K231" s="438"/>
      <c r="L231" s="437"/>
      <c r="M231" s="438"/>
      <c r="N231" s="437"/>
      <c r="O231" s="438"/>
      <c r="P231" s="437"/>
      <c r="Q231" s="438"/>
      <c r="R231" s="437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1"/>
      <c r="F232" s="1173"/>
      <c r="G232" s="1"/>
      <c r="H232" s="1173"/>
      <c r="I232" s="438"/>
      <c r="J232" s="437"/>
      <c r="K232" s="438"/>
      <c r="L232" s="437"/>
      <c r="M232" s="438"/>
      <c r="N232" s="437"/>
      <c r="O232" s="438"/>
      <c r="P232" s="437"/>
      <c r="Q232" s="438"/>
      <c r="R232" s="437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1"/>
      <c r="F233" s="1173"/>
      <c r="G233" s="1"/>
      <c r="H233" s="1173"/>
      <c r="I233" s="438"/>
      <c r="J233" s="437"/>
      <c r="K233" s="438"/>
      <c r="L233" s="437"/>
      <c r="M233" s="438"/>
      <c r="N233" s="437"/>
      <c r="O233" s="438"/>
      <c r="P233" s="437"/>
      <c r="Q233" s="438"/>
      <c r="R233" s="437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1"/>
      <c r="F234" s="1173"/>
      <c r="G234" s="1"/>
      <c r="H234" s="1173"/>
      <c r="I234" s="438"/>
      <c r="J234" s="437"/>
      <c r="K234" s="438"/>
      <c r="L234" s="437"/>
      <c r="M234" s="438"/>
      <c r="N234" s="437"/>
      <c r="O234" s="438"/>
      <c r="P234" s="437"/>
      <c r="Q234" s="438"/>
      <c r="R234" s="437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1"/>
      <c r="F235" s="1173"/>
      <c r="G235" s="1"/>
      <c r="H235" s="1173"/>
      <c r="I235" s="438"/>
      <c r="J235" s="437"/>
      <c r="K235" s="438"/>
      <c r="L235" s="437"/>
      <c r="M235" s="438"/>
      <c r="N235" s="437"/>
      <c r="O235" s="438"/>
      <c r="P235" s="437"/>
      <c r="Q235" s="438"/>
      <c r="R235" s="437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1"/>
      <c r="F236" s="1173"/>
      <c r="G236" s="1"/>
      <c r="H236" s="1173"/>
      <c r="I236" s="438"/>
      <c r="J236" s="437"/>
      <c r="K236" s="438"/>
      <c r="L236" s="437"/>
      <c r="M236" s="438"/>
      <c r="N236" s="437"/>
      <c r="O236" s="438"/>
      <c r="P236" s="437"/>
      <c r="Q236" s="438"/>
      <c r="R236" s="437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1"/>
      <c r="F237" s="1173"/>
      <c r="G237" s="1"/>
      <c r="H237" s="1173"/>
      <c r="I237" s="438"/>
      <c r="J237" s="437"/>
      <c r="K237" s="438"/>
      <c r="L237" s="437"/>
      <c r="M237" s="438"/>
      <c r="N237" s="437"/>
      <c r="O237" s="438"/>
      <c r="P237" s="437"/>
      <c r="Q237" s="438"/>
      <c r="R237" s="437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1"/>
      <c r="F238" s="1173"/>
      <c r="G238" s="1"/>
      <c r="H238" s="1173"/>
      <c r="I238" s="438"/>
      <c r="J238" s="437"/>
      <c r="K238" s="438"/>
      <c r="L238" s="437"/>
      <c r="M238" s="438"/>
      <c r="N238" s="437"/>
      <c r="O238" s="438"/>
      <c r="P238" s="437"/>
      <c r="Q238" s="438"/>
      <c r="R238" s="437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1"/>
      <c r="F239" s="1173"/>
      <c r="G239" s="1"/>
      <c r="H239" s="1173"/>
      <c r="I239" s="438"/>
      <c r="J239" s="437"/>
      <c r="K239" s="438"/>
      <c r="L239" s="437"/>
      <c r="M239" s="438"/>
      <c r="N239" s="437"/>
      <c r="O239" s="438"/>
      <c r="P239" s="437"/>
      <c r="Q239" s="438"/>
      <c r="R239" s="437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1"/>
      <c r="F240" s="1173"/>
      <c r="G240" s="1"/>
      <c r="H240" s="1173"/>
      <c r="I240" s="438"/>
      <c r="J240" s="437"/>
      <c r="K240" s="438"/>
      <c r="L240" s="437"/>
      <c r="M240" s="438"/>
      <c r="N240" s="437"/>
      <c r="O240" s="438"/>
      <c r="P240" s="437"/>
      <c r="Q240" s="438"/>
      <c r="R240" s="437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1"/>
      <c r="F241" s="1173"/>
      <c r="G241" s="1"/>
      <c r="H241" s="1173"/>
      <c r="I241" s="438"/>
      <c r="J241" s="437"/>
      <c r="K241" s="438"/>
      <c r="L241" s="437"/>
      <c r="M241" s="438"/>
      <c r="N241" s="437"/>
      <c r="O241" s="438"/>
      <c r="P241" s="437"/>
      <c r="Q241" s="438"/>
      <c r="R241" s="437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1"/>
      <c r="F242" s="1173"/>
      <c r="G242" s="1"/>
      <c r="H242" s="1173"/>
      <c r="I242" s="438"/>
      <c r="J242" s="437"/>
      <c r="K242" s="438"/>
      <c r="L242" s="437"/>
      <c r="M242" s="438"/>
      <c r="N242" s="437"/>
      <c r="O242" s="438"/>
      <c r="P242" s="437"/>
      <c r="Q242" s="438"/>
      <c r="R242" s="437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1"/>
      <c r="F243" s="1173"/>
      <c r="G243" s="1"/>
      <c r="H243" s="1173"/>
      <c r="I243" s="438"/>
      <c r="J243" s="437"/>
      <c r="K243" s="438"/>
      <c r="L243" s="437"/>
      <c r="M243" s="438"/>
      <c r="N243" s="437"/>
      <c r="O243" s="438"/>
      <c r="P243" s="437"/>
      <c r="Q243" s="438"/>
      <c r="R243" s="437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1"/>
      <c r="F244" s="1173"/>
      <c r="G244" s="1"/>
      <c r="H244" s="1173"/>
      <c r="I244" s="438"/>
      <c r="J244" s="437"/>
      <c r="K244" s="438"/>
      <c r="L244" s="437"/>
      <c r="M244" s="438"/>
      <c r="N244" s="437"/>
      <c r="O244" s="438"/>
      <c r="P244" s="437"/>
      <c r="Q244" s="438"/>
      <c r="R244" s="437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1"/>
      <c r="F245" s="1173"/>
      <c r="G245" s="1"/>
      <c r="H245" s="1173"/>
      <c r="I245" s="438"/>
      <c r="J245" s="437"/>
      <c r="K245" s="438"/>
      <c r="L245" s="437"/>
      <c r="M245" s="438"/>
      <c r="N245" s="437"/>
      <c r="O245" s="438"/>
      <c r="P245" s="437"/>
      <c r="Q245" s="438"/>
      <c r="R245" s="437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1"/>
      <c r="F246" s="1173"/>
      <c r="G246" s="1"/>
      <c r="H246" s="1173"/>
      <c r="I246" s="438"/>
      <c r="J246" s="437"/>
      <c r="K246" s="438"/>
      <c r="L246" s="437"/>
      <c r="M246" s="438"/>
      <c r="N246" s="437"/>
      <c r="O246" s="438"/>
      <c r="P246" s="437"/>
      <c r="Q246" s="438"/>
      <c r="R246" s="437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1"/>
      <c r="F247" s="1173"/>
      <c r="G247" s="1"/>
      <c r="H247" s="1173"/>
      <c r="I247" s="438"/>
      <c r="J247" s="437"/>
      <c r="K247" s="438"/>
      <c r="L247" s="437"/>
      <c r="M247" s="438"/>
      <c r="N247" s="437"/>
      <c r="O247" s="438"/>
      <c r="P247" s="437"/>
      <c r="Q247" s="438"/>
      <c r="R247" s="437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1"/>
      <c r="F248" s="1173"/>
      <c r="G248" s="1"/>
      <c r="H248" s="1173"/>
      <c r="I248" s="438"/>
      <c r="J248" s="437"/>
      <c r="K248" s="438"/>
      <c r="L248" s="437"/>
      <c r="M248" s="438"/>
      <c r="N248" s="437"/>
      <c r="O248" s="438"/>
      <c r="P248" s="437"/>
      <c r="Q248" s="438"/>
      <c r="R248" s="437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1"/>
      <c r="F249" s="1173"/>
      <c r="G249" s="1"/>
      <c r="H249" s="1173"/>
      <c r="I249" s="438"/>
      <c r="J249" s="437"/>
      <c r="K249" s="438"/>
      <c r="L249" s="437"/>
      <c r="M249" s="438"/>
      <c r="N249" s="437"/>
      <c r="O249" s="438"/>
      <c r="P249" s="437"/>
      <c r="Q249" s="438"/>
      <c r="R249" s="437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1"/>
      <c r="F250" s="1173"/>
      <c r="G250" s="1"/>
      <c r="H250" s="1173"/>
      <c r="I250" s="438"/>
      <c r="J250" s="437"/>
      <c r="K250" s="438"/>
      <c r="L250" s="437"/>
      <c r="M250" s="438"/>
      <c r="N250" s="437"/>
      <c r="O250" s="438"/>
      <c r="P250" s="437"/>
      <c r="Q250" s="438"/>
      <c r="R250" s="437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1"/>
      <c r="F251" s="1173"/>
      <c r="G251" s="1"/>
      <c r="H251" s="1173"/>
      <c r="I251" s="438"/>
      <c r="J251" s="437"/>
      <c r="K251" s="438"/>
      <c r="L251" s="437"/>
      <c r="M251" s="438"/>
      <c r="N251" s="437"/>
      <c r="O251" s="438"/>
      <c r="P251" s="437"/>
      <c r="Q251" s="438"/>
      <c r="R251" s="437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1"/>
      <c r="F252" s="1173"/>
      <c r="G252" s="1"/>
      <c r="H252" s="1173"/>
      <c r="I252" s="438"/>
      <c r="J252" s="437"/>
      <c r="K252" s="438"/>
      <c r="L252" s="437"/>
      <c r="M252" s="438"/>
      <c r="N252" s="437"/>
      <c r="O252" s="438"/>
      <c r="P252" s="437"/>
      <c r="Q252" s="438"/>
      <c r="R252" s="437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1"/>
      <c r="F253" s="1173"/>
      <c r="G253" s="1"/>
      <c r="H253" s="1173"/>
      <c r="I253" s="438"/>
      <c r="J253" s="437"/>
      <c r="K253" s="438"/>
      <c r="L253" s="437"/>
      <c r="M253" s="438"/>
      <c r="N253" s="437"/>
      <c r="O253" s="438"/>
      <c r="P253" s="437"/>
      <c r="Q253" s="438"/>
      <c r="R253" s="437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1"/>
      <c r="F254" s="1173"/>
      <c r="G254" s="1"/>
      <c r="H254" s="1173"/>
      <c r="I254" s="438"/>
      <c r="J254" s="437"/>
      <c r="K254" s="438"/>
      <c r="L254" s="437"/>
      <c r="M254" s="438"/>
      <c r="N254" s="437"/>
      <c r="O254" s="438"/>
      <c r="P254" s="437"/>
      <c r="Q254" s="438"/>
      <c r="R254" s="437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1"/>
      <c r="F255" s="1173"/>
      <c r="G255" s="1"/>
      <c r="H255" s="1173"/>
      <c r="I255" s="438"/>
      <c r="J255" s="437"/>
      <c r="K255" s="438"/>
      <c r="L255" s="437"/>
      <c r="M255" s="438"/>
      <c r="N255" s="437"/>
      <c r="O255" s="438"/>
      <c r="P255" s="437"/>
      <c r="Q255" s="438"/>
      <c r="R255" s="437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1"/>
      <c r="F256" s="1173"/>
      <c r="G256" s="1"/>
      <c r="H256" s="1173"/>
      <c r="I256" s="438"/>
      <c r="J256" s="437"/>
      <c r="K256" s="438"/>
      <c r="L256" s="437"/>
      <c r="M256" s="438"/>
      <c r="N256" s="437"/>
      <c r="O256" s="438"/>
      <c r="P256" s="437"/>
      <c r="Q256" s="438"/>
      <c r="R256" s="437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1"/>
      <c r="F257" s="1173"/>
      <c r="G257" s="1"/>
      <c r="H257" s="1173"/>
      <c r="I257" s="438"/>
      <c r="J257" s="437"/>
      <c r="K257" s="438"/>
      <c r="L257" s="437"/>
      <c r="M257" s="438"/>
      <c r="N257" s="437"/>
      <c r="O257" s="438"/>
      <c r="P257" s="437"/>
      <c r="Q257" s="438"/>
      <c r="R257" s="437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1"/>
      <c r="F258" s="1173"/>
      <c r="G258" s="1"/>
      <c r="H258" s="1173"/>
      <c r="I258" s="438"/>
      <c r="J258" s="437"/>
      <c r="K258" s="438"/>
      <c r="L258" s="437"/>
      <c r="M258" s="438"/>
      <c r="N258" s="437"/>
      <c r="O258" s="438"/>
      <c r="P258" s="437"/>
      <c r="Q258" s="438"/>
      <c r="R258" s="437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1"/>
      <c r="F259" s="1173"/>
      <c r="G259" s="1"/>
      <c r="H259" s="1173"/>
      <c r="I259" s="438"/>
      <c r="J259" s="437"/>
      <c r="K259" s="438"/>
      <c r="L259" s="437"/>
      <c r="M259" s="438"/>
      <c r="N259" s="437"/>
      <c r="O259" s="438"/>
      <c r="P259" s="437"/>
      <c r="Q259" s="438"/>
      <c r="R259" s="437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1"/>
      <c r="F260" s="1173"/>
      <c r="G260" s="1"/>
      <c r="H260" s="1173"/>
      <c r="I260" s="438"/>
      <c r="J260" s="437"/>
      <c r="K260" s="438"/>
      <c r="L260" s="437"/>
      <c r="M260" s="438"/>
      <c r="N260" s="437"/>
      <c r="O260" s="438"/>
      <c r="P260" s="437"/>
      <c r="Q260" s="438"/>
      <c r="R260" s="437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1"/>
      <c r="F261" s="1173"/>
      <c r="G261" s="1"/>
      <c r="H261" s="1173"/>
      <c r="I261" s="438"/>
      <c r="J261" s="437"/>
      <c r="K261" s="438"/>
      <c r="L261" s="437"/>
      <c r="M261" s="438"/>
      <c r="N261" s="437"/>
      <c r="O261" s="438"/>
      <c r="P261" s="437"/>
      <c r="Q261" s="438"/>
      <c r="R261" s="437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1"/>
      <c r="F262" s="1173"/>
      <c r="G262" s="1"/>
      <c r="H262" s="1173"/>
      <c r="I262" s="438"/>
      <c r="J262" s="437"/>
      <c r="K262" s="438"/>
      <c r="L262" s="437"/>
      <c r="M262" s="438"/>
      <c r="N262" s="437"/>
      <c r="O262" s="438"/>
      <c r="P262" s="437"/>
      <c r="Q262" s="438"/>
      <c r="R262" s="437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1"/>
      <c r="F263" s="1173"/>
      <c r="G263" s="1"/>
      <c r="H263" s="1173"/>
      <c r="I263" s="438"/>
      <c r="J263" s="437"/>
      <c r="K263" s="438"/>
      <c r="L263" s="437"/>
      <c r="M263" s="438"/>
      <c r="N263" s="437"/>
      <c r="O263" s="438"/>
      <c r="P263" s="437"/>
      <c r="Q263" s="438"/>
      <c r="R263" s="437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1"/>
      <c r="F264" s="1173"/>
      <c r="G264" s="1"/>
      <c r="H264" s="1173"/>
      <c r="I264" s="438"/>
      <c r="J264" s="437"/>
      <c r="K264" s="438"/>
      <c r="L264" s="437"/>
      <c r="M264" s="438"/>
      <c r="N264" s="437"/>
      <c r="O264" s="438"/>
      <c r="P264" s="437"/>
      <c r="Q264" s="438"/>
      <c r="R264" s="437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1"/>
      <c r="F265" s="1173"/>
      <c r="G265" s="1"/>
      <c r="H265" s="1173"/>
      <c r="I265" s="438"/>
      <c r="J265" s="437"/>
      <c r="K265" s="438"/>
      <c r="L265" s="437"/>
      <c r="M265" s="438"/>
      <c r="N265" s="437"/>
      <c r="O265" s="438"/>
      <c r="P265" s="437"/>
      <c r="Q265" s="438"/>
      <c r="R265" s="437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1"/>
      <c r="F266" s="1173"/>
      <c r="G266" s="1"/>
      <c r="H266" s="1173"/>
      <c r="I266" s="438"/>
      <c r="J266" s="437"/>
      <c r="K266" s="438"/>
      <c r="L266" s="437"/>
      <c r="M266" s="438"/>
      <c r="N266" s="437"/>
      <c r="O266" s="438"/>
      <c r="P266" s="437"/>
      <c r="Q266" s="438"/>
      <c r="R266" s="437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1"/>
      <c r="F267" s="1173"/>
      <c r="G267" s="1"/>
      <c r="H267" s="1173"/>
      <c r="I267" s="438"/>
      <c r="J267" s="437"/>
      <c r="K267" s="438"/>
      <c r="L267" s="437"/>
      <c r="M267" s="438"/>
      <c r="N267" s="437"/>
      <c r="O267" s="438"/>
      <c r="P267" s="437"/>
      <c r="Q267" s="438"/>
      <c r="R267" s="437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1"/>
      <c r="F268" s="1173"/>
      <c r="G268" s="1"/>
      <c r="H268" s="1173"/>
      <c r="I268" s="438"/>
      <c r="J268" s="437"/>
      <c r="K268" s="438"/>
      <c r="L268" s="437"/>
      <c r="M268" s="438"/>
      <c r="N268" s="437"/>
      <c r="O268" s="438"/>
      <c r="P268" s="437"/>
      <c r="Q268" s="438"/>
      <c r="R268" s="437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1"/>
      <c r="F269" s="1173"/>
      <c r="G269" s="1"/>
      <c r="H269" s="1173"/>
      <c r="I269" s="438"/>
      <c r="J269" s="437"/>
      <c r="K269" s="438"/>
      <c r="L269" s="437"/>
      <c r="M269" s="438"/>
      <c r="N269" s="437"/>
      <c r="O269" s="438"/>
      <c r="P269" s="437"/>
      <c r="Q269" s="438"/>
      <c r="R269" s="437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1"/>
      <c r="F270" s="1173"/>
      <c r="G270" s="1"/>
      <c r="H270" s="1173"/>
      <c r="I270" s="438"/>
      <c r="J270" s="437"/>
      <c r="K270" s="438"/>
      <c r="L270" s="437"/>
      <c r="M270" s="438"/>
      <c r="N270" s="437"/>
      <c r="O270" s="438"/>
      <c r="P270" s="437"/>
      <c r="Q270" s="438"/>
      <c r="R270" s="437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1"/>
      <c r="F271" s="1173"/>
      <c r="G271" s="1"/>
      <c r="H271" s="1173"/>
      <c r="I271" s="438"/>
      <c r="J271" s="437"/>
      <c r="K271" s="438"/>
      <c r="L271" s="437"/>
      <c r="M271" s="438"/>
      <c r="N271" s="437"/>
      <c r="O271" s="438"/>
      <c r="P271" s="437"/>
      <c r="Q271" s="438"/>
      <c r="R271" s="437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1"/>
      <c r="F272" s="1173"/>
      <c r="G272" s="1"/>
      <c r="H272" s="1173"/>
      <c r="I272" s="438"/>
      <c r="J272" s="437"/>
      <c r="K272" s="438"/>
      <c r="L272" s="437"/>
      <c r="M272" s="438"/>
      <c r="N272" s="437"/>
      <c r="O272" s="438"/>
      <c r="P272" s="437"/>
      <c r="Q272" s="438"/>
      <c r="R272" s="437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1"/>
      <c r="F273" s="1173"/>
      <c r="G273" s="1"/>
      <c r="H273" s="1173"/>
      <c r="I273" s="438"/>
      <c r="J273" s="437"/>
      <c r="K273" s="438"/>
      <c r="L273" s="437"/>
      <c r="M273" s="438"/>
      <c r="N273" s="437"/>
      <c r="O273" s="438"/>
      <c r="P273" s="437"/>
      <c r="Q273" s="438"/>
      <c r="R273" s="437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1"/>
      <c r="F274" s="1173"/>
      <c r="G274" s="1"/>
      <c r="H274" s="1173"/>
      <c r="I274" s="438"/>
      <c r="J274" s="437"/>
      <c r="K274" s="438"/>
      <c r="L274" s="437"/>
      <c r="M274" s="438"/>
      <c r="N274" s="437"/>
      <c r="O274" s="438"/>
      <c r="P274" s="437"/>
      <c r="Q274" s="438"/>
      <c r="R274" s="437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1"/>
      <c r="F275" s="1173"/>
      <c r="G275" s="1"/>
      <c r="H275" s="1173"/>
      <c r="I275" s="438"/>
      <c r="J275" s="437"/>
      <c r="K275" s="438"/>
      <c r="L275" s="437"/>
      <c r="M275" s="438"/>
      <c r="N275" s="437"/>
      <c r="O275" s="438"/>
      <c r="P275" s="437"/>
      <c r="Q275" s="438"/>
      <c r="R275" s="437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1"/>
      <c r="F276" s="1173"/>
      <c r="G276" s="1"/>
      <c r="H276" s="1173"/>
      <c r="I276" s="438"/>
      <c r="J276" s="437"/>
      <c r="K276" s="438"/>
      <c r="L276" s="437"/>
      <c r="M276" s="438"/>
      <c r="N276" s="437"/>
      <c r="O276" s="438"/>
      <c r="P276" s="437"/>
      <c r="Q276" s="438"/>
      <c r="R276" s="437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1"/>
      <c r="F277" s="1173"/>
      <c r="G277" s="1"/>
      <c r="H277" s="1173"/>
      <c r="I277" s="438"/>
      <c r="J277" s="437"/>
      <c r="K277" s="438"/>
      <c r="L277" s="437"/>
      <c r="M277" s="438"/>
      <c r="N277" s="437"/>
      <c r="O277" s="438"/>
      <c r="P277" s="437"/>
      <c r="Q277" s="438"/>
      <c r="R277" s="437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1"/>
      <c r="F278" s="1173"/>
      <c r="G278" s="1"/>
      <c r="H278" s="1173"/>
      <c r="I278" s="438"/>
      <c r="J278" s="437"/>
      <c r="K278" s="438"/>
      <c r="L278" s="437"/>
      <c r="M278" s="438"/>
      <c r="N278" s="437"/>
      <c r="O278" s="438"/>
      <c r="P278" s="437"/>
      <c r="Q278" s="438"/>
      <c r="R278" s="437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1"/>
      <c r="F279" s="1173"/>
      <c r="G279" s="1"/>
      <c r="H279" s="1173"/>
      <c r="I279" s="438"/>
      <c r="J279" s="437"/>
      <c r="K279" s="438"/>
      <c r="L279" s="437"/>
      <c r="M279" s="438"/>
      <c r="N279" s="437"/>
      <c r="O279" s="438"/>
      <c r="P279" s="437"/>
      <c r="Q279" s="438"/>
      <c r="R279" s="437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1"/>
      <c r="F280" s="1173"/>
      <c r="G280" s="1"/>
      <c r="H280" s="1173"/>
      <c r="I280" s="438"/>
      <c r="J280" s="437"/>
      <c r="K280" s="438"/>
      <c r="L280" s="437"/>
      <c r="M280" s="438"/>
      <c r="N280" s="437"/>
      <c r="O280" s="438"/>
      <c r="P280" s="437"/>
      <c r="Q280" s="438"/>
      <c r="R280" s="437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1"/>
      <c r="F281" s="1173"/>
      <c r="G281" s="1"/>
      <c r="H281" s="1173"/>
      <c r="I281" s="438"/>
      <c r="J281" s="437"/>
      <c r="K281" s="438"/>
      <c r="L281" s="437"/>
      <c r="M281" s="438"/>
      <c r="N281" s="437"/>
      <c r="O281" s="438"/>
      <c r="P281" s="437"/>
      <c r="Q281" s="438"/>
      <c r="R281" s="437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1"/>
      <c r="F282" s="1173"/>
      <c r="G282" s="1"/>
      <c r="H282" s="1173"/>
      <c r="I282" s="438"/>
      <c r="J282" s="437"/>
      <c r="K282" s="438"/>
      <c r="L282" s="437"/>
      <c r="M282" s="438"/>
      <c r="N282" s="437"/>
      <c r="O282" s="438"/>
      <c r="P282" s="437"/>
      <c r="Q282" s="438"/>
      <c r="R282" s="437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1"/>
      <c r="F283" s="1173"/>
      <c r="G283" s="1"/>
      <c r="H283" s="1173"/>
      <c r="I283" s="438"/>
      <c r="J283" s="437"/>
      <c r="K283" s="438"/>
      <c r="L283" s="437"/>
      <c r="M283" s="438"/>
      <c r="N283" s="437"/>
      <c r="O283" s="438"/>
      <c r="P283" s="437"/>
      <c r="Q283" s="438"/>
      <c r="R283" s="437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1"/>
      <c r="F284" s="1173"/>
      <c r="G284" s="1"/>
      <c r="H284" s="1173"/>
      <c r="I284" s="438"/>
      <c r="J284" s="437"/>
      <c r="K284" s="438"/>
      <c r="L284" s="437"/>
      <c r="M284" s="438"/>
      <c r="N284" s="437"/>
      <c r="O284" s="438"/>
      <c r="P284" s="437"/>
      <c r="Q284" s="438"/>
      <c r="R284" s="437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1"/>
      <c r="F285" s="1173"/>
      <c r="G285" s="1"/>
      <c r="H285" s="1173"/>
      <c r="I285" s="438"/>
      <c r="J285" s="437"/>
      <c r="K285" s="438"/>
      <c r="L285" s="437"/>
      <c r="M285" s="438"/>
      <c r="N285" s="437"/>
      <c r="O285" s="438"/>
      <c r="P285" s="437"/>
      <c r="Q285" s="438"/>
      <c r="R285" s="437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1"/>
      <c r="F286" s="1173"/>
      <c r="G286" s="1"/>
      <c r="H286" s="1173"/>
      <c r="I286" s="438"/>
      <c r="J286" s="437"/>
      <c r="K286" s="438"/>
      <c r="L286" s="437"/>
      <c r="M286" s="438"/>
      <c r="N286" s="437"/>
      <c r="O286" s="438"/>
      <c r="P286" s="437"/>
      <c r="Q286" s="438"/>
      <c r="R286" s="437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1"/>
      <c r="F287" s="1173"/>
      <c r="G287" s="1"/>
      <c r="H287" s="1173"/>
      <c r="I287" s="438"/>
      <c r="J287" s="437"/>
      <c r="K287" s="438"/>
      <c r="L287" s="437"/>
      <c r="M287" s="438"/>
      <c r="N287" s="437"/>
      <c r="O287" s="438"/>
      <c r="P287" s="437"/>
      <c r="Q287" s="438"/>
      <c r="R287" s="437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1"/>
      <c r="F288" s="1173"/>
      <c r="G288" s="1"/>
      <c r="H288" s="1173"/>
      <c r="I288" s="438"/>
      <c r="J288" s="437"/>
      <c r="K288" s="438"/>
      <c r="L288" s="437"/>
      <c r="M288" s="438"/>
      <c r="N288" s="437"/>
      <c r="O288" s="438"/>
      <c r="P288" s="437"/>
      <c r="Q288" s="438"/>
      <c r="R288" s="437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1"/>
      <c r="F289" s="1173"/>
      <c r="G289" s="1"/>
      <c r="H289" s="1173"/>
      <c r="I289" s="438"/>
      <c r="J289" s="437"/>
      <c r="K289" s="438"/>
      <c r="L289" s="437"/>
      <c r="M289" s="438"/>
      <c r="N289" s="437"/>
      <c r="O289" s="438"/>
      <c r="P289" s="437"/>
      <c r="Q289" s="438"/>
      <c r="R289" s="437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1"/>
      <c r="F290" s="1173"/>
      <c r="G290" s="1"/>
      <c r="H290" s="1173"/>
      <c r="I290" s="438"/>
      <c r="J290" s="437"/>
      <c r="K290" s="438"/>
      <c r="L290" s="437"/>
      <c r="M290" s="438"/>
      <c r="N290" s="437"/>
      <c r="O290" s="438"/>
      <c r="P290" s="437"/>
      <c r="Q290" s="438"/>
      <c r="R290" s="437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1"/>
      <c r="F291" s="1173"/>
      <c r="G291" s="1"/>
      <c r="H291" s="1173"/>
      <c r="I291" s="438"/>
      <c r="J291" s="437"/>
      <c r="K291" s="438"/>
      <c r="L291" s="437"/>
      <c r="M291" s="438"/>
      <c r="N291" s="437"/>
      <c r="O291" s="438"/>
      <c r="P291" s="437"/>
      <c r="Q291" s="438"/>
      <c r="R291" s="437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1"/>
      <c r="F292" s="1173"/>
      <c r="G292" s="1"/>
      <c r="H292" s="1173"/>
      <c r="I292" s="438"/>
      <c r="J292" s="437"/>
      <c r="K292" s="438"/>
      <c r="L292" s="437"/>
      <c r="M292" s="438"/>
      <c r="N292" s="437"/>
      <c r="O292" s="438"/>
      <c r="P292" s="437"/>
      <c r="Q292" s="438"/>
      <c r="R292" s="437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1"/>
      <c r="F293" s="1173"/>
      <c r="G293" s="1"/>
      <c r="H293" s="1173"/>
      <c r="I293" s="438"/>
      <c r="J293" s="437"/>
      <c r="K293" s="438"/>
      <c r="L293" s="437"/>
      <c r="M293" s="438"/>
      <c r="N293" s="437"/>
      <c r="O293" s="438"/>
      <c r="P293" s="437"/>
      <c r="Q293" s="438"/>
      <c r="R293" s="437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1"/>
      <c r="F294" s="1173"/>
      <c r="G294" s="1"/>
      <c r="H294" s="1173"/>
      <c r="I294" s="438"/>
      <c r="J294" s="437"/>
      <c r="K294" s="438"/>
      <c r="L294" s="437"/>
      <c r="M294" s="438"/>
      <c r="N294" s="437"/>
      <c r="O294" s="438"/>
      <c r="P294" s="437"/>
      <c r="Q294" s="438"/>
      <c r="R294" s="437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1"/>
      <c r="F295" s="1173"/>
      <c r="G295" s="1"/>
      <c r="H295" s="1173"/>
      <c r="I295" s="438"/>
      <c r="J295" s="437"/>
      <c r="K295" s="438"/>
      <c r="L295" s="437"/>
      <c r="M295" s="438"/>
      <c r="N295" s="437"/>
      <c r="O295" s="438"/>
      <c r="P295" s="437"/>
      <c r="Q295" s="438"/>
      <c r="R295" s="437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1"/>
      <c r="F296" s="1173"/>
      <c r="G296" s="1"/>
      <c r="H296" s="1173"/>
      <c r="I296" s="438"/>
      <c r="J296" s="437"/>
      <c r="K296" s="438"/>
      <c r="L296" s="437"/>
      <c r="M296" s="438"/>
      <c r="N296" s="437"/>
      <c r="O296" s="438"/>
      <c r="P296" s="437"/>
      <c r="Q296" s="438"/>
      <c r="R296" s="437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1"/>
      <c r="F297" s="1173"/>
      <c r="G297" s="1"/>
      <c r="H297" s="1173"/>
      <c r="I297" s="438"/>
      <c r="J297" s="437"/>
      <c r="K297" s="438"/>
      <c r="L297" s="437"/>
      <c r="M297" s="438"/>
      <c r="N297" s="437"/>
      <c r="O297" s="438"/>
      <c r="P297" s="437"/>
      <c r="Q297" s="438"/>
      <c r="R297" s="437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1"/>
      <c r="F298" s="1173"/>
      <c r="G298" s="1"/>
      <c r="H298" s="1173"/>
      <c r="I298" s="438"/>
      <c r="J298" s="437"/>
      <c r="K298" s="438"/>
      <c r="L298" s="437"/>
      <c r="M298" s="438"/>
      <c r="N298" s="437"/>
      <c r="O298" s="438"/>
      <c r="P298" s="437"/>
      <c r="Q298" s="438"/>
      <c r="R298" s="437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1"/>
      <c r="F299" s="1173"/>
      <c r="G299" s="1"/>
      <c r="H299" s="1173"/>
      <c r="I299" s="438"/>
      <c r="J299" s="437"/>
      <c r="K299" s="438"/>
      <c r="L299" s="437"/>
      <c r="M299" s="438"/>
      <c r="N299" s="437"/>
      <c r="O299" s="438"/>
      <c r="P299" s="437"/>
      <c r="Q299" s="438"/>
      <c r="R299" s="437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1"/>
      <c r="F300" s="1173"/>
      <c r="G300" s="1"/>
      <c r="H300" s="1173"/>
      <c r="I300" s="438"/>
      <c r="J300" s="437"/>
      <c r="K300" s="438"/>
      <c r="L300" s="437"/>
      <c r="M300" s="438"/>
      <c r="N300" s="437"/>
      <c r="O300" s="438"/>
      <c r="P300" s="437"/>
      <c r="Q300" s="438"/>
      <c r="R300" s="437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1"/>
      <c r="F301" s="1173"/>
      <c r="G301" s="1"/>
      <c r="H301" s="1173"/>
      <c r="I301" s="438"/>
      <c r="J301" s="437"/>
      <c r="K301" s="438"/>
      <c r="L301" s="437"/>
      <c r="M301" s="438"/>
      <c r="N301" s="437"/>
      <c r="O301" s="438"/>
      <c r="P301" s="437"/>
      <c r="Q301" s="438"/>
      <c r="R301" s="437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1"/>
      <c r="F302" s="1173"/>
      <c r="G302" s="1"/>
      <c r="H302" s="1173"/>
      <c r="I302" s="438"/>
      <c r="J302" s="437"/>
      <c r="K302" s="438"/>
      <c r="L302" s="437"/>
      <c r="M302" s="438"/>
      <c r="N302" s="437"/>
      <c r="O302" s="438"/>
      <c r="P302" s="437"/>
      <c r="Q302" s="438"/>
      <c r="R302" s="437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1"/>
      <c r="F303" s="1173"/>
      <c r="G303" s="1"/>
      <c r="H303" s="1173"/>
      <c r="I303" s="438"/>
      <c r="J303" s="437"/>
      <c r="K303" s="438"/>
      <c r="L303" s="437"/>
      <c r="M303" s="438"/>
      <c r="N303" s="437"/>
      <c r="O303" s="438"/>
      <c r="P303" s="437"/>
      <c r="Q303" s="438"/>
      <c r="R303" s="437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1"/>
      <c r="F304" s="1173"/>
      <c r="G304" s="1"/>
      <c r="H304" s="1173"/>
      <c r="I304" s="438"/>
      <c r="J304" s="437"/>
      <c r="K304" s="438"/>
      <c r="L304" s="437"/>
      <c r="M304" s="438"/>
      <c r="N304" s="437"/>
      <c r="O304" s="438"/>
      <c r="P304" s="437"/>
      <c r="Q304" s="438"/>
      <c r="R304" s="437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1"/>
      <c r="F305" s="1173"/>
      <c r="G305" s="1"/>
      <c r="H305" s="1173"/>
      <c r="I305" s="438"/>
      <c r="J305" s="437"/>
      <c r="K305" s="438"/>
      <c r="L305" s="437"/>
      <c r="M305" s="438"/>
      <c r="N305" s="437"/>
      <c r="O305" s="438"/>
      <c r="P305" s="437"/>
      <c r="Q305" s="438"/>
      <c r="R305" s="437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1"/>
      <c r="F306" s="1173"/>
      <c r="G306" s="1"/>
      <c r="H306" s="1173"/>
      <c r="I306" s="438"/>
      <c r="J306" s="437"/>
      <c r="K306" s="438"/>
      <c r="L306" s="437"/>
      <c r="M306" s="438"/>
      <c r="N306" s="437"/>
      <c r="O306" s="438"/>
      <c r="P306" s="437"/>
      <c r="Q306" s="438"/>
      <c r="R306" s="437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1"/>
      <c r="F307" s="1173"/>
      <c r="G307" s="1"/>
      <c r="H307" s="1173"/>
      <c r="I307" s="438"/>
      <c r="J307" s="437"/>
      <c r="K307" s="438"/>
      <c r="L307" s="437"/>
      <c r="M307" s="438"/>
      <c r="N307" s="437"/>
      <c r="O307" s="438"/>
      <c r="P307" s="437"/>
      <c r="Q307" s="438"/>
      <c r="R307" s="437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1"/>
      <c r="F308" s="1173"/>
      <c r="G308" s="1"/>
      <c r="H308" s="1173"/>
      <c r="I308" s="438"/>
      <c r="J308" s="437"/>
      <c r="K308" s="438"/>
      <c r="L308" s="437"/>
      <c r="M308" s="438"/>
      <c r="N308" s="437"/>
      <c r="O308" s="438"/>
      <c r="P308" s="437"/>
      <c r="Q308" s="438"/>
      <c r="R308" s="437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1"/>
      <c r="F309" s="1173"/>
      <c r="G309" s="1"/>
      <c r="H309" s="1173"/>
      <c r="I309" s="438"/>
      <c r="J309" s="437"/>
      <c r="K309" s="438"/>
      <c r="L309" s="437"/>
      <c r="M309" s="438"/>
      <c r="N309" s="437"/>
      <c r="O309" s="438"/>
      <c r="P309" s="437"/>
      <c r="Q309" s="438"/>
      <c r="R309" s="437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1"/>
      <c r="F310" s="1173"/>
      <c r="G310" s="1"/>
      <c r="H310" s="1173"/>
      <c r="I310" s="438"/>
      <c r="J310" s="437"/>
      <c r="K310" s="438"/>
      <c r="L310" s="437"/>
      <c r="M310" s="438"/>
      <c r="N310" s="437"/>
      <c r="O310" s="438"/>
      <c r="P310" s="437"/>
      <c r="Q310" s="438"/>
      <c r="R310" s="437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1"/>
      <c r="F311" s="1173"/>
      <c r="G311" s="1"/>
      <c r="H311" s="1173"/>
      <c r="I311" s="438"/>
      <c r="J311" s="437"/>
      <c r="K311" s="438"/>
      <c r="L311" s="437"/>
      <c r="M311" s="438"/>
      <c r="N311" s="437"/>
      <c r="O311" s="438"/>
      <c r="P311" s="437"/>
      <c r="Q311" s="438"/>
      <c r="R311" s="437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1"/>
      <c r="F312" s="1173"/>
      <c r="G312" s="1"/>
      <c r="H312" s="1173"/>
      <c r="I312" s="438"/>
      <c r="J312" s="437"/>
      <c r="K312" s="438"/>
      <c r="L312" s="437"/>
      <c r="M312" s="438"/>
      <c r="N312" s="437"/>
      <c r="O312" s="438"/>
      <c r="P312" s="437"/>
      <c r="Q312" s="438"/>
      <c r="R312" s="437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1"/>
      <c r="F313" s="1173"/>
      <c r="G313" s="1"/>
      <c r="H313" s="1173"/>
      <c r="I313" s="438"/>
      <c r="J313" s="437"/>
      <c r="K313" s="438"/>
      <c r="L313" s="437"/>
      <c r="M313" s="438"/>
      <c r="N313" s="437"/>
      <c r="O313" s="438"/>
      <c r="P313" s="437"/>
      <c r="Q313" s="438"/>
      <c r="R313" s="437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1"/>
      <c r="F314" s="1173"/>
      <c r="G314" s="1"/>
      <c r="H314" s="1173"/>
      <c r="I314" s="438"/>
      <c r="J314" s="437"/>
      <c r="K314" s="438"/>
      <c r="L314" s="437"/>
      <c r="M314" s="438"/>
      <c r="N314" s="437"/>
      <c r="O314" s="438"/>
      <c r="P314" s="437"/>
      <c r="Q314" s="438"/>
      <c r="R314" s="437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1"/>
      <c r="F315" s="1173"/>
      <c r="G315" s="1"/>
      <c r="H315" s="1173"/>
      <c r="I315" s="438"/>
      <c r="J315" s="437"/>
      <c r="K315" s="438"/>
      <c r="L315" s="437"/>
      <c r="M315" s="438"/>
      <c r="N315" s="437"/>
      <c r="O315" s="438"/>
      <c r="P315" s="437"/>
      <c r="Q315" s="438"/>
      <c r="R315" s="437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1"/>
      <c r="F316" s="1173"/>
      <c r="G316" s="1"/>
      <c r="H316" s="1173"/>
      <c r="I316" s="438"/>
      <c r="J316" s="437"/>
      <c r="K316" s="438"/>
      <c r="L316" s="437"/>
      <c r="M316" s="438"/>
      <c r="N316" s="437"/>
      <c r="O316" s="438"/>
      <c r="P316" s="437"/>
      <c r="Q316" s="438"/>
      <c r="R316" s="437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1"/>
      <c r="F317" s="1173"/>
      <c r="G317" s="1"/>
      <c r="H317" s="1173"/>
      <c r="I317" s="438"/>
      <c r="J317" s="437"/>
      <c r="K317" s="438"/>
      <c r="L317" s="437"/>
      <c r="M317" s="438"/>
      <c r="N317" s="437"/>
      <c r="O317" s="438"/>
      <c r="P317" s="437"/>
      <c r="Q317" s="438"/>
      <c r="R317" s="437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1"/>
      <c r="F318" s="1173"/>
      <c r="G318" s="1"/>
      <c r="H318" s="1173"/>
      <c r="I318" s="438"/>
      <c r="J318" s="437"/>
      <c r="K318" s="438"/>
      <c r="L318" s="437"/>
      <c r="M318" s="438"/>
      <c r="N318" s="437"/>
      <c r="O318" s="438"/>
      <c r="P318" s="437"/>
      <c r="Q318" s="438"/>
      <c r="R318" s="437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1"/>
      <c r="F319" s="1173"/>
      <c r="G319" s="1"/>
      <c r="H319" s="1173"/>
      <c r="I319" s="438"/>
      <c r="J319" s="437"/>
      <c r="K319" s="438"/>
      <c r="L319" s="437"/>
      <c r="M319" s="438"/>
      <c r="N319" s="437"/>
      <c r="O319" s="438"/>
      <c r="P319" s="437"/>
      <c r="Q319" s="438"/>
      <c r="R319" s="437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1"/>
      <c r="F320" s="1173"/>
      <c r="G320" s="1"/>
      <c r="H320" s="1173"/>
      <c r="I320" s="438"/>
      <c r="J320" s="437"/>
      <c r="K320" s="438"/>
      <c r="L320" s="437"/>
      <c r="M320" s="438"/>
      <c r="N320" s="437"/>
      <c r="O320" s="438"/>
      <c r="P320" s="437"/>
      <c r="Q320" s="438"/>
      <c r="R320" s="437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1"/>
      <c r="F321" s="1173"/>
      <c r="G321" s="1"/>
      <c r="H321" s="1173"/>
      <c r="I321" s="438"/>
      <c r="J321" s="437"/>
      <c r="K321" s="438"/>
      <c r="L321" s="437"/>
      <c r="M321" s="438"/>
      <c r="N321" s="437"/>
      <c r="O321" s="438"/>
      <c r="P321" s="437"/>
      <c r="Q321" s="438"/>
      <c r="R321" s="437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1"/>
      <c r="F322" s="1173"/>
      <c r="G322" s="1"/>
      <c r="H322" s="1173"/>
      <c r="I322" s="438"/>
      <c r="J322" s="437"/>
      <c r="K322" s="438"/>
      <c r="L322" s="437"/>
      <c r="M322" s="438"/>
      <c r="N322" s="437"/>
      <c r="O322" s="438"/>
      <c r="P322" s="437"/>
      <c r="Q322" s="438"/>
      <c r="R322" s="437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1"/>
      <c r="F323" s="1173"/>
      <c r="G323" s="1"/>
      <c r="H323" s="1173"/>
      <c r="I323" s="438"/>
      <c r="J323" s="437"/>
      <c r="K323" s="438"/>
      <c r="L323" s="437"/>
      <c r="M323" s="438"/>
      <c r="N323" s="437"/>
      <c r="O323" s="438"/>
      <c r="P323" s="437"/>
      <c r="Q323" s="438"/>
      <c r="R323" s="437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1"/>
      <c r="F324" s="1173"/>
      <c r="G324" s="1"/>
      <c r="H324" s="1173"/>
      <c r="I324" s="438"/>
      <c r="J324" s="437"/>
      <c r="K324" s="438"/>
      <c r="L324" s="437"/>
      <c r="M324" s="438"/>
      <c r="N324" s="437"/>
      <c r="O324" s="438"/>
      <c r="P324" s="437"/>
      <c r="Q324" s="438"/>
      <c r="R324" s="437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1"/>
      <c r="F325" s="1173"/>
      <c r="G325" s="1"/>
      <c r="H325" s="1173"/>
      <c r="I325" s="438"/>
      <c r="J325" s="437"/>
      <c r="K325" s="438"/>
      <c r="L325" s="437"/>
      <c r="M325" s="438"/>
      <c r="N325" s="437"/>
      <c r="O325" s="438"/>
      <c r="P325" s="437"/>
      <c r="Q325" s="438"/>
      <c r="R325" s="437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1"/>
      <c r="F326" s="1173"/>
      <c r="G326" s="1"/>
      <c r="H326" s="1173"/>
      <c r="I326" s="438"/>
      <c r="J326" s="437"/>
      <c r="K326" s="438"/>
      <c r="L326" s="437"/>
      <c r="M326" s="438"/>
      <c r="N326" s="437"/>
      <c r="O326" s="438"/>
      <c r="P326" s="437"/>
      <c r="Q326" s="438"/>
      <c r="R326" s="437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1"/>
      <c r="F327" s="1173"/>
      <c r="G327" s="1"/>
      <c r="H327" s="1173"/>
      <c r="I327" s="438"/>
      <c r="J327" s="437"/>
      <c r="K327" s="438"/>
      <c r="L327" s="437"/>
      <c r="M327" s="438"/>
      <c r="N327" s="437"/>
      <c r="O327" s="438"/>
      <c r="P327" s="437"/>
      <c r="Q327" s="438"/>
      <c r="R327" s="437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1"/>
      <c r="F328" s="1173"/>
      <c r="G328" s="1"/>
      <c r="H328" s="1173"/>
      <c r="I328" s="438"/>
      <c r="J328" s="437"/>
      <c r="K328" s="438"/>
      <c r="L328" s="437"/>
      <c r="M328" s="438"/>
      <c r="N328" s="437"/>
      <c r="O328" s="438"/>
      <c r="P328" s="437"/>
      <c r="Q328" s="438"/>
      <c r="R328" s="437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1"/>
      <c r="F329" s="1173"/>
      <c r="G329" s="1"/>
      <c r="H329" s="1173"/>
      <c r="I329" s="438"/>
      <c r="J329" s="437"/>
      <c r="K329" s="438"/>
      <c r="L329" s="437"/>
      <c r="M329" s="438"/>
      <c r="N329" s="437"/>
      <c r="O329" s="438"/>
      <c r="P329" s="437"/>
      <c r="Q329" s="438"/>
      <c r="R329" s="437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1"/>
      <c r="F330" s="1173"/>
      <c r="G330" s="1"/>
      <c r="H330" s="1173"/>
      <c r="I330" s="438"/>
      <c r="J330" s="437"/>
      <c r="K330" s="438"/>
      <c r="L330" s="437"/>
      <c r="M330" s="438"/>
      <c r="N330" s="437"/>
      <c r="O330" s="438"/>
      <c r="P330" s="437"/>
      <c r="Q330" s="438"/>
      <c r="R330" s="437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1"/>
      <c r="F331" s="1173"/>
      <c r="G331" s="1"/>
      <c r="H331" s="1173"/>
      <c r="I331" s="438"/>
      <c r="J331" s="437"/>
      <c r="K331" s="438"/>
      <c r="L331" s="437"/>
      <c r="M331" s="438"/>
      <c r="N331" s="437"/>
      <c r="O331" s="438"/>
      <c r="P331" s="437"/>
      <c r="Q331" s="438"/>
      <c r="R331" s="437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1"/>
      <c r="F332" s="1173"/>
      <c r="G332" s="1"/>
      <c r="H332" s="1173"/>
      <c r="I332" s="438"/>
      <c r="J332" s="437"/>
      <c r="K332" s="438"/>
      <c r="L332" s="437"/>
      <c r="M332" s="438"/>
      <c r="N332" s="437"/>
      <c r="O332" s="438"/>
      <c r="P332" s="437"/>
      <c r="Q332" s="438"/>
      <c r="R332" s="437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1"/>
      <c r="F333" s="1173"/>
      <c r="G333" s="1"/>
      <c r="H333" s="1173"/>
      <c r="I333" s="438"/>
      <c r="J333" s="437"/>
      <c r="K333" s="438"/>
      <c r="L333" s="437"/>
      <c r="M333" s="438"/>
      <c r="N333" s="437"/>
      <c r="O333" s="438"/>
      <c r="P333" s="437"/>
      <c r="Q333" s="438"/>
      <c r="R333" s="437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1"/>
      <c r="F334" s="1173"/>
      <c r="G334" s="1"/>
      <c r="H334" s="1173"/>
      <c r="I334" s="438"/>
      <c r="J334" s="437"/>
      <c r="K334" s="438"/>
      <c r="L334" s="437"/>
      <c r="M334" s="438"/>
      <c r="N334" s="437"/>
      <c r="O334" s="438"/>
      <c r="P334" s="437"/>
      <c r="Q334" s="438"/>
      <c r="R334" s="437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1"/>
      <c r="F335" s="1173"/>
      <c r="G335" s="1"/>
      <c r="H335" s="1173"/>
      <c r="I335" s="438"/>
      <c r="J335" s="437"/>
      <c r="K335" s="438"/>
      <c r="L335" s="437"/>
      <c r="M335" s="438"/>
      <c r="N335" s="437"/>
      <c r="O335" s="438"/>
      <c r="P335" s="437"/>
      <c r="Q335" s="438"/>
      <c r="R335" s="437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1"/>
      <c r="F336" s="1173"/>
      <c r="G336" s="1"/>
      <c r="H336" s="1173"/>
      <c r="I336" s="438"/>
      <c r="J336" s="437"/>
      <c r="K336" s="438"/>
      <c r="L336" s="437"/>
      <c r="M336" s="438"/>
      <c r="N336" s="437"/>
      <c r="O336" s="438"/>
      <c r="P336" s="437"/>
      <c r="Q336" s="438"/>
      <c r="R336" s="437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1"/>
      <c r="F337" s="1173"/>
      <c r="G337" s="1"/>
      <c r="H337" s="1173"/>
      <c r="I337" s="438"/>
      <c r="J337" s="437"/>
      <c r="K337" s="438"/>
      <c r="L337" s="437"/>
      <c r="M337" s="438"/>
      <c r="N337" s="437"/>
      <c r="O337" s="438"/>
      <c r="P337" s="437"/>
      <c r="Q337" s="438"/>
      <c r="R337" s="437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1"/>
      <c r="F338" s="1173"/>
      <c r="G338" s="1"/>
      <c r="H338" s="1173"/>
      <c r="I338" s="438"/>
      <c r="J338" s="437"/>
      <c r="K338" s="438"/>
      <c r="L338" s="437"/>
      <c r="M338" s="438"/>
      <c r="N338" s="437"/>
      <c r="O338" s="438"/>
      <c r="P338" s="437"/>
      <c r="Q338" s="438"/>
      <c r="R338" s="437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1"/>
      <c r="F339" s="1173"/>
      <c r="G339" s="1"/>
      <c r="H339" s="1173"/>
      <c r="I339" s="438"/>
      <c r="J339" s="437"/>
      <c r="K339" s="438"/>
      <c r="L339" s="437"/>
      <c r="M339" s="438"/>
      <c r="N339" s="437"/>
      <c r="O339" s="438"/>
      <c r="P339" s="437"/>
      <c r="Q339" s="438"/>
      <c r="R339" s="437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1"/>
      <c r="F340" s="1173"/>
      <c r="G340" s="1"/>
      <c r="H340" s="1173"/>
      <c r="I340" s="438"/>
      <c r="J340" s="437"/>
      <c r="K340" s="438"/>
      <c r="L340" s="437"/>
      <c r="M340" s="438"/>
      <c r="N340" s="437"/>
      <c r="O340" s="438"/>
      <c r="P340" s="437"/>
      <c r="Q340" s="438"/>
      <c r="R340" s="437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1"/>
      <c r="F341" s="1173"/>
      <c r="G341" s="1"/>
      <c r="H341" s="1173"/>
      <c r="I341" s="438"/>
      <c r="J341" s="437"/>
      <c r="K341" s="438"/>
      <c r="L341" s="437"/>
      <c r="M341" s="438"/>
      <c r="N341" s="437"/>
      <c r="O341" s="438"/>
      <c r="P341" s="437"/>
      <c r="Q341" s="438"/>
      <c r="R341" s="437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1"/>
      <c r="F342" s="1173"/>
      <c r="G342" s="1"/>
      <c r="H342" s="1173"/>
      <c r="I342" s="438"/>
      <c r="J342" s="437"/>
      <c r="K342" s="438"/>
      <c r="L342" s="437"/>
      <c r="M342" s="438"/>
      <c r="N342" s="437"/>
      <c r="O342" s="438"/>
      <c r="P342" s="437"/>
      <c r="Q342" s="438"/>
      <c r="R342" s="437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1"/>
      <c r="F343" s="1173"/>
      <c r="G343" s="1"/>
      <c r="H343" s="1173"/>
      <c r="I343" s="438"/>
      <c r="J343" s="437"/>
      <c r="K343" s="438"/>
      <c r="L343" s="437"/>
      <c r="M343" s="438"/>
      <c r="N343" s="437"/>
      <c r="O343" s="438"/>
      <c r="P343" s="437"/>
      <c r="Q343" s="438"/>
      <c r="R343" s="437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1"/>
      <c r="F344" s="1173"/>
      <c r="G344" s="1"/>
      <c r="H344" s="1173"/>
      <c r="I344" s="438"/>
      <c r="J344" s="437"/>
      <c r="K344" s="438"/>
      <c r="L344" s="437"/>
      <c r="M344" s="438"/>
      <c r="N344" s="437"/>
      <c r="O344" s="438"/>
      <c r="P344" s="437"/>
      <c r="Q344" s="438"/>
      <c r="R344" s="437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1"/>
      <c r="F345" s="1173"/>
      <c r="G345" s="1"/>
      <c r="H345" s="1173"/>
      <c r="I345" s="438"/>
      <c r="J345" s="437"/>
      <c r="K345" s="438"/>
      <c r="L345" s="437"/>
      <c r="M345" s="438"/>
      <c r="N345" s="437"/>
      <c r="O345" s="438"/>
      <c r="P345" s="437"/>
      <c r="Q345" s="438"/>
      <c r="R345" s="437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1"/>
      <c r="F346" s="1173"/>
      <c r="G346" s="1"/>
      <c r="H346" s="1173"/>
      <c r="I346" s="438"/>
      <c r="J346" s="437"/>
      <c r="K346" s="438"/>
      <c r="L346" s="437"/>
      <c r="M346" s="438"/>
      <c r="N346" s="437"/>
      <c r="O346" s="438"/>
      <c r="P346" s="437"/>
      <c r="Q346" s="438"/>
      <c r="R346" s="437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1"/>
      <c r="F347" s="1173"/>
      <c r="G347" s="1"/>
      <c r="H347" s="1173"/>
      <c r="I347" s="438"/>
      <c r="J347" s="437"/>
      <c r="K347" s="438"/>
      <c r="L347" s="437"/>
      <c r="M347" s="438"/>
      <c r="N347" s="437"/>
      <c r="O347" s="438"/>
      <c r="P347" s="437"/>
      <c r="Q347" s="438"/>
      <c r="R347" s="437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1"/>
      <c r="F348" s="1173"/>
      <c r="G348" s="1"/>
      <c r="H348" s="1173"/>
      <c r="I348" s="438"/>
      <c r="J348" s="437"/>
      <c r="K348" s="438"/>
      <c r="L348" s="437"/>
      <c r="M348" s="438"/>
      <c r="N348" s="437"/>
      <c r="O348" s="438"/>
      <c r="P348" s="437"/>
      <c r="Q348" s="438"/>
      <c r="R348" s="437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1"/>
      <c r="F349" s="1173"/>
      <c r="G349" s="1"/>
      <c r="H349" s="1173"/>
      <c r="I349" s="438"/>
      <c r="J349" s="437"/>
      <c r="K349" s="438"/>
      <c r="L349" s="437"/>
      <c r="M349" s="438"/>
      <c r="N349" s="437"/>
      <c r="O349" s="438"/>
      <c r="P349" s="437"/>
      <c r="Q349" s="438"/>
      <c r="R349" s="437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1"/>
      <c r="F350" s="1173"/>
      <c r="G350" s="1"/>
      <c r="H350" s="1173"/>
      <c r="I350" s="438"/>
      <c r="J350" s="437"/>
      <c r="K350" s="438"/>
      <c r="L350" s="437"/>
      <c r="M350" s="438"/>
      <c r="N350" s="437"/>
      <c r="O350" s="438"/>
      <c r="P350" s="437"/>
      <c r="Q350" s="438"/>
      <c r="R350" s="437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1"/>
      <c r="F351" s="1173"/>
      <c r="G351" s="1"/>
      <c r="H351" s="1173"/>
      <c r="I351" s="438"/>
      <c r="J351" s="437"/>
      <c r="K351" s="438"/>
      <c r="L351" s="437"/>
      <c r="M351" s="438"/>
      <c r="N351" s="437"/>
      <c r="O351" s="438"/>
      <c r="P351" s="437"/>
      <c r="Q351" s="438"/>
      <c r="R351" s="437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1"/>
      <c r="F352" s="1173"/>
      <c r="G352" s="1"/>
      <c r="H352" s="1173"/>
      <c r="I352" s="438"/>
      <c r="J352" s="437"/>
      <c r="K352" s="438"/>
      <c r="L352" s="437"/>
      <c r="M352" s="438"/>
      <c r="N352" s="437"/>
      <c r="O352" s="438"/>
      <c r="P352" s="437"/>
      <c r="Q352" s="438"/>
      <c r="R352" s="437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1"/>
      <c r="F353" s="1173"/>
      <c r="G353" s="1"/>
      <c r="H353" s="1173"/>
      <c r="I353" s="438"/>
      <c r="J353" s="437"/>
      <c r="K353" s="438"/>
      <c r="L353" s="437"/>
      <c r="M353" s="438"/>
      <c r="N353" s="437"/>
      <c r="O353" s="438"/>
      <c r="P353" s="437"/>
      <c r="Q353" s="438"/>
      <c r="R353" s="437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1"/>
      <c r="F354" s="1173"/>
      <c r="G354" s="1"/>
      <c r="H354" s="1173"/>
      <c r="I354" s="438"/>
      <c r="J354" s="437"/>
      <c r="K354" s="438"/>
      <c r="L354" s="437"/>
      <c r="M354" s="438"/>
      <c r="N354" s="437"/>
      <c r="O354" s="438"/>
      <c r="P354" s="437"/>
      <c r="Q354" s="438"/>
      <c r="R354" s="437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1"/>
      <c r="F355" s="1173"/>
      <c r="G355" s="1"/>
      <c r="H355" s="1173"/>
      <c r="I355" s="438"/>
      <c r="J355" s="437"/>
      <c r="K355" s="438"/>
      <c r="L355" s="437"/>
      <c r="M355" s="438"/>
      <c r="N355" s="437"/>
      <c r="O355" s="438"/>
      <c r="P355" s="437"/>
      <c r="Q355" s="438"/>
      <c r="R355" s="437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1"/>
      <c r="F356" s="1173"/>
      <c r="G356" s="1"/>
      <c r="H356" s="1173"/>
      <c r="I356" s="438"/>
      <c r="J356" s="437"/>
      <c r="K356" s="438"/>
      <c r="L356" s="437"/>
      <c r="M356" s="438"/>
      <c r="N356" s="437"/>
      <c r="O356" s="438"/>
      <c r="P356" s="437"/>
      <c r="Q356" s="438"/>
      <c r="R356" s="437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1"/>
      <c r="F357" s="1173"/>
      <c r="G357" s="1"/>
      <c r="H357" s="1173"/>
      <c r="I357" s="438"/>
      <c r="J357" s="437"/>
      <c r="K357" s="438"/>
      <c r="L357" s="437"/>
      <c r="M357" s="438"/>
      <c r="N357" s="437"/>
      <c r="O357" s="438"/>
      <c r="P357" s="437"/>
      <c r="Q357" s="438"/>
      <c r="R357" s="437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1"/>
      <c r="F358" s="1173"/>
      <c r="G358" s="1"/>
      <c r="H358" s="1173"/>
      <c r="I358" s="438"/>
      <c r="J358" s="437"/>
      <c r="K358" s="438"/>
      <c r="L358" s="437"/>
      <c r="M358" s="438"/>
      <c r="N358" s="437"/>
      <c r="O358" s="438"/>
      <c r="P358" s="437"/>
      <c r="Q358" s="438"/>
      <c r="R358" s="437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1"/>
      <c r="F359" s="1173"/>
      <c r="G359" s="1"/>
      <c r="H359" s="1173"/>
      <c r="I359" s="438"/>
      <c r="J359" s="437"/>
      <c r="K359" s="438"/>
      <c r="L359" s="437"/>
      <c r="M359" s="438"/>
      <c r="N359" s="437"/>
      <c r="O359" s="438"/>
      <c r="P359" s="437"/>
      <c r="Q359" s="438"/>
      <c r="R359" s="437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1"/>
      <c r="F360" s="1173"/>
      <c r="G360" s="1"/>
      <c r="H360" s="1173"/>
      <c r="I360" s="438"/>
      <c r="J360" s="437"/>
      <c r="K360" s="438"/>
      <c r="L360" s="437"/>
      <c r="M360" s="438"/>
      <c r="N360" s="437"/>
      <c r="O360" s="438"/>
      <c r="P360" s="437"/>
      <c r="Q360" s="438"/>
      <c r="R360" s="437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1"/>
      <c r="F361" s="1173"/>
      <c r="G361" s="1"/>
      <c r="H361" s="1173"/>
      <c r="I361" s="438"/>
      <c r="J361" s="437"/>
      <c r="K361" s="438"/>
      <c r="L361" s="437"/>
      <c r="M361" s="438"/>
      <c r="N361" s="437"/>
      <c r="O361" s="438"/>
      <c r="P361" s="437"/>
      <c r="Q361" s="438"/>
      <c r="R361" s="437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1"/>
      <c r="F362" s="1173"/>
      <c r="G362" s="1"/>
      <c r="H362" s="1173"/>
      <c r="I362" s="438"/>
      <c r="J362" s="437"/>
      <c r="K362" s="438"/>
      <c r="L362" s="437"/>
      <c r="M362" s="438"/>
      <c r="N362" s="437"/>
      <c r="O362" s="438"/>
      <c r="P362" s="437"/>
      <c r="Q362" s="438"/>
      <c r="R362" s="437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1"/>
      <c r="F363" s="1173"/>
      <c r="G363" s="1"/>
      <c r="H363" s="1173"/>
      <c r="I363" s="438"/>
      <c r="J363" s="437"/>
      <c r="K363" s="438"/>
      <c r="L363" s="437"/>
      <c r="M363" s="438"/>
      <c r="N363" s="437"/>
      <c r="O363" s="438"/>
      <c r="P363" s="437"/>
      <c r="Q363" s="438"/>
      <c r="R363" s="437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1"/>
      <c r="F364" s="1173"/>
      <c r="G364" s="1"/>
      <c r="H364" s="1173"/>
      <c r="I364" s="438"/>
      <c r="J364" s="437"/>
      <c r="K364" s="438"/>
      <c r="L364" s="437"/>
      <c r="M364" s="438"/>
      <c r="N364" s="437"/>
      <c r="O364" s="438"/>
      <c r="P364" s="437"/>
      <c r="Q364" s="438"/>
      <c r="R364" s="437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1"/>
      <c r="F365" s="1173"/>
      <c r="G365" s="1"/>
      <c r="H365" s="1173"/>
      <c r="I365" s="438"/>
      <c r="J365" s="437"/>
      <c r="K365" s="438"/>
      <c r="L365" s="437"/>
      <c r="M365" s="438"/>
      <c r="N365" s="437"/>
      <c r="O365" s="438"/>
      <c r="P365" s="437"/>
      <c r="Q365" s="438"/>
      <c r="R365" s="437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1"/>
      <c r="F366" s="1173"/>
      <c r="G366" s="1"/>
      <c r="H366" s="1173"/>
      <c r="I366" s="438"/>
      <c r="J366" s="437"/>
      <c r="K366" s="438"/>
      <c r="L366" s="437"/>
      <c r="M366" s="438"/>
      <c r="N366" s="437"/>
      <c r="O366" s="438"/>
      <c r="P366" s="437"/>
      <c r="Q366" s="438"/>
      <c r="R366" s="437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1"/>
      <c r="F367" s="1173"/>
      <c r="G367" s="1"/>
      <c r="H367" s="1173"/>
      <c r="I367" s="438"/>
      <c r="J367" s="437"/>
      <c r="K367" s="438"/>
      <c r="L367" s="437"/>
      <c r="M367" s="438"/>
      <c r="N367" s="437"/>
      <c r="O367" s="438"/>
      <c r="P367" s="437"/>
      <c r="Q367" s="438"/>
      <c r="R367" s="437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1"/>
      <c r="F368" s="1173"/>
      <c r="G368" s="1"/>
      <c r="H368" s="1173"/>
      <c r="I368" s="438"/>
      <c r="J368" s="437"/>
      <c r="K368" s="438"/>
      <c r="L368" s="437"/>
      <c r="M368" s="438"/>
      <c r="N368" s="437"/>
      <c r="O368" s="438"/>
      <c r="P368" s="437"/>
      <c r="Q368" s="438"/>
      <c r="R368" s="437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1"/>
      <c r="F369" s="1173"/>
      <c r="G369" s="1"/>
      <c r="H369" s="1173"/>
      <c r="I369" s="438"/>
      <c r="J369" s="437"/>
      <c r="K369" s="438"/>
      <c r="L369" s="437"/>
      <c r="M369" s="438"/>
      <c r="N369" s="437"/>
      <c r="O369" s="438"/>
      <c r="P369" s="437"/>
      <c r="Q369" s="438"/>
      <c r="R369" s="437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1"/>
      <c r="F370" s="1173"/>
      <c r="G370" s="1"/>
      <c r="H370" s="1173"/>
      <c r="I370" s="438"/>
      <c r="J370" s="437"/>
      <c r="K370" s="438"/>
      <c r="L370" s="437"/>
      <c r="M370" s="438"/>
      <c r="N370" s="437"/>
      <c r="O370" s="438"/>
      <c r="P370" s="437"/>
      <c r="Q370" s="438"/>
      <c r="R370" s="437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1"/>
      <c r="F371" s="1173"/>
      <c r="G371" s="1"/>
      <c r="H371" s="1173"/>
      <c r="I371" s="438"/>
      <c r="J371" s="437"/>
      <c r="K371" s="438"/>
      <c r="L371" s="437"/>
      <c r="M371" s="438"/>
      <c r="N371" s="437"/>
      <c r="O371" s="438"/>
      <c r="P371" s="437"/>
      <c r="Q371" s="438"/>
      <c r="R371" s="437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1"/>
      <c r="F372" s="1173"/>
      <c r="G372" s="1"/>
      <c r="H372" s="1173"/>
      <c r="I372" s="438"/>
      <c r="J372" s="437"/>
      <c r="K372" s="438"/>
      <c r="L372" s="437"/>
      <c r="M372" s="438"/>
      <c r="N372" s="437"/>
      <c r="O372" s="438"/>
      <c r="P372" s="437"/>
      <c r="Q372" s="438"/>
      <c r="R372" s="437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1"/>
      <c r="F373" s="1173"/>
      <c r="G373" s="1"/>
      <c r="H373" s="1173"/>
      <c r="I373" s="438"/>
      <c r="J373" s="437"/>
      <c r="K373" s="438"/>
      <c r="L373" s="437"/>
      <c r="M373" s="438"/>
      <c r="N373" s="437"/>
      <c r="O373" s="438"/>
      <c r="P373" s="437"/>
      <c r="Q373" s="438"/>
      <c r="R373" s="437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1"/>
      <c r="F374" s="1173"/>
      <c r="G374" s="1"/>
      <c r="H374" s="1173"/>
      <c r="I374" s="438"/>
      <c r="J374" s="437"/>
      <c r="K374" s="438"/>
      <c r="L374" s="437"/>
      <c r="M374" s="438"/>
      <c r="N374" s="437"/>
      <c r="O374" s="438"/>
      <c r="P374" s="437"/>
      <c r="Q374" s="438"/>
      <c r="R374" s="437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1"/>
      <c r="F375" s="1173"/>
      <c r="G375" s="1"/>
      <c r="H375" s="1173"/>
      <c r="I375" s="438"/>
      <c r="J375" s="437"/>
      <c r="K375" s="438"/>
      <c r="L375" s="437"/>
      <c r="M375" s="438"/>
      <c r="N375" s="437"/>
      <c r="O375" s="438"/>
      <c r="P375" s="437"/>
      <c r="Q375" s="438"/>
      <c r="R375" s="437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1"/>
      <c r="F376" s="1173"/>
      <c r="G376" s="1"/>
      <c r="H376" s="1173"/>
      <c r="I376" s="438"/>
      <c r="J376" s="437"/>
      <c r="K376" s="438"/>
      <c r="L376" s="437"/>
      <c r="M376" s="438"/>
      <c r="N376" s="437"/>
      <c r="O376" s="438"/>
      <c r="P376" s="437"/>
      <c r="Q376" s="438"/>
      <c r="R376" s="437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1"/>
      <c r="F377" s="1173"/>
      <c r="G377" s="1"/>
      <c r="H377" s="1173"/>
      <c r="I377" s="438"/>
      <c r="J377" s="437"/>
      <c r="K377" s="438"/>
      <c r="L377" s="437"/>
      <c r="M377" s="438"/>
      <c r="N377" s="437"/>
      <c r="O377" s="438"/>
      <c r="P377" s="437"/>
      <c r="Q377" s="438"/>
      <c r="R377" s="437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1"/>
      <c r="F378" s="1173"/>
      <c r="G378" s="1"/>
      <c r="H378" s="1173"/>
      <c r="I378" s="438"/>
      <c r="J378" s="437"/>
      <c r="K378" s="438"/>
      <c r="L378" s="437"/>
      <c r="M378" s="438"/>
      <c r="N378" s="437"/>
      <c r="O378" s="438"/>
      <c r="P378" s="437"/>
      <c r="Q378" s="438"/>
      <c r="R378" s="437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1"/>
      <c r="F379" s="1173"/>
      <c r="G379" s="1"/>
      <c r="H379" s="1173"/>
      <c r="I379" s="438"/>
      <c r="J379" s="437"/>
      <c r="K379" s="438"/>
      <c r="L379" s="437"/>
      <c r="M379" s="438"/>
      <c r="N379" s="437"/>
      <c r="O379" s="438"/>
      <c r="P379" s="437"/>
      <c r="Q379" s="438"/>
      <c r="R379" s="437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1"/>
      <c r="F380" s="1173"/>
      <c r="G380" s="1"/>
      <c r="H380" s="1173"/>
      <c r="I380" s="438"/>
      <c r="J380" s="437"/>
      <c r="K380" s="438"/>
      <c r="L380" s="437"/>
      <c r="M380" s="438"/>
      <c r="N380" s="437"/>
      <c r="O380" s="438"/>
      <c r="P380" s="437"/>
      <c r="Q380" s="438"/>
      <c r="R380" s="437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1"/>
      <c r="F381" s="1173"/>
      <c r="G381" s="1"/>
      <c r="H381" s="1173"/>
      <c r="I381" s="438"/>
      <c r="J381" s="437"/>
      <c r="K381" s="438"/>
      <c r="L381" s="437"/>
      <c r="M381" s="438"/>
      <c r="N381" s="437"/>
      <c r="O381" s="438"/>
      <c r="P381" s="437"/>
      <c r="Q381" s="438"/>
      <c r="R381" s="437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1"/>
      <c r="F382" s="1173"/>
      <c r="G382" s="1"/>
      <c r="H382" s="1173"/>
      <c r="I382" s="438"/>
      <c r="J382" s="437"/>
      <c r="K382" s="438"/>
      <c r="L382" s="437"/>
      <c r="M382" s="438"/>
      <c r="N382" s="437"/>
      <c r="O382" s="438"/>
      <c r="P382" s="437"/>
      <c r="Q382" s="438"/>
      <c r="R382" s="437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1"/>
      <c r="F383" s="1173"/>
      <c r="G383" s="1"/>
      <c r="H383" s="1173"/>
      <c r="I383" s="438"/>
      <c r="J383" s="437"/>
      <c r="K383" s="438"/>
      <c r="L383" s="437"/>
      <c r="M383" s="438"/>
      <c r="N383" s="437"/>
      <c r="O383" s="438"/>
      <c r="P383" s="437"/>
      <c r="Q383" s="438"/>
      <c r="R383" s="437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1"/>
      <c r="F384" s="1173"/>
      <c r="G384" s="1"/>
      <c r="H384" s="1173"/>
      <c r="I384" s="438"/>
      <c r="J384" s="437"/>
      <c r="K384" s="438"/>
      <c r="L384" s="437"/>
      <c r="M384" s="438"/>
      <c r="N384" s="437"/>
      <c r="O384" s="438"/>
      <c r="P384" s="437"/>
      <c r="Q384" s="438"/>
      <c r="R384" s="437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1"/>
      <c r="F385" s="1173"/>
      <c r="G385" s="1"/>
      <c r="H385" s="1173"/>
      <c r="I385" s="438"/>
      <c r="J385" s="437"/>
      <c r="K385" s="438"/>
      <c r="L385" s="437"/>
      <c r="M385" s="438"/>
      <c r="N385" s="437"/>
      <c r="O385" s="438"/>
      <c r="P385" s="437"/>
      <c r="Q385" s="438"/>
      <c r="R385" s="437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1"/>
      <c r="F386" s="1173"/>
      <c r="G386" s="1"/>
      <c r="H386" s="1173"/>
      <c r="I386" s="438"/>
      <c r="J386" s="437"/>
      <c r="K386" s="438"/>
      <c r="L386" s="437"/>
      <c r="M386" s="438"/>
      <c r="N386" s="437"/>
      <c r="O386" s="438"/>
      <c r="P386" s="437"/>
      <c r="Q386" s="438"/>
      <c r="R386" s="437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1"/>
      <c r="F387" s="1173"/>
      <c r="G387" s="1"/>
      <c r="H387" s="1173"/>
      <c r="I387" s="438"/>
      <c r="J387" s="437"/>
      <c r="K387" s="438"/>
      <c r="L387" s="437"/>
      <c r="M387" s="438"/>
      <c r="N387" s="437"/>
      <c r="O387" s="438"/>
      <c r="P387" s="437"/>
      <c r="Q387" s="438"/>
      <c r="R387" s="437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1"/>
      <c r="F388" s="1173"/>
      <c r="G388" s="1"/>
      <c r="H388" s="1173"/>
      <c r="I388" s="438"/>
      <c r="J388" s="437"/>
      <c r="K388" s="438"/>
      <c r="L388" s="437"/>
      <c r="M388" s="438"/>
      <c r="N388" s="437"/>
      <c r="O388" s="438"/>
      <c r="P388" s="437"/>
      <c r="Q388" s="438"/>
      <c r="R388" s="437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1"/>
      <c r="F389" s="1173"/>
      <c r="G389" s="1"/>
      <c r="H389" s="1173"/>
      <c r="I389" s="438"/>
      <c r="J389" s="437"/>
      <c r="K389" s="438"/>
      <c r="L389" s="437"/>
      <c r="M389" s="438"/>
      <c r="N389" s="437"/>
      <c r="O389" s="438"/>
      <c r="P389" s="437"/>
      <c r="Q389" s="438"/>
      <c r="R389" s="437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1"/>
      <c r="F390" s="1173"/>
      <c r="G390" s="1"/>
      <c r="H390" s="1173"/>
      <c r="I390" s="438"/>
      <c r="J390" s="437"/>
      <c r="K390" s="438"/>
      <c r="L390" s="437"/>
      <c r="M390" s="438"/>
      <c r="N390" s="437"/>
      <c r="O390" s="438"/>
      <c r="P390" s="437"/>
      <c r="Q390" s="438"/>
      <c r="R390" s="437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1"/>
      <c r="F391" s="1173"/>
      <c r="G391" s="1"/>
      <c r="H391" s="1173"/>
      <c r="I391" s="438"/>
      <c r="J391" s="437"/>
      <c r="K391" s="438"/>
      <c r="L391" s="437"/>
      <c r="M391" s="438"/>
      <c r="N391" s="437"/>
      <c r="O391" s="438"/>
      <c r="P391" s="437"/>
      <c r="Q391" s="438"/>
      <c r="R391" s="437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1"/>
      <c r="F392" s="1173"/>
      <c r="G392" s="1"/>
      <c r="H392" s="1173"/>
      <c r="I392" s="438"/>
      <c r="J392" s="437"/>
      <c r="K392" s="438"/>
      <c r="L392" s="437"/>
      <c r="M392" s="438"/>
      <c r="N392" s="437"/>
      <c r="O392" s="438"/>
      <c r="P392" s="437"/>
      <c r="Q392" s="438"/>
      <c r="R392" s="437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1"/>
      <c r="F393" s="1173"/>
      <c r="G393" s="1"/>
      <c r="H393" s="1173"/>
      <c r="I393" s="438"/>
      <c r="J393" s="437"/>
      <c r="K393" s="438"/>
      <c r="L393" s="437"/>
      <c r="M393" s="438"/>
      <c r="N393" s="437"/>
      <c r="O393" s="438"/>
      <c r="P393" s="437"/>
      <c r="Q393" s="438"/>
      <c r="R393" s="437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1"/>
      <c r="F394" s="1173"/>
      <c r="G394" s="1"/>
      <c r="H394" s="1173"/>
      <c r="I394" s="438"/>
      <c r="J394" s="437"/>
      <c r="K394" s="438"/>
      <c r="L394" s="437"/>
      <c r="M394" s="438"/>
      <c r="N394" s="437"/>
      <c r="O394" s="438"/>
      <c r="P394" s="437"/>
      <c r="Q394" s="438"/>
      <c r="R394" s="437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1"/>
      <c r="F395" s="1173"/>
      <c r="G395" s="1"/>
      <c r="H395" s="1173"/>
      <c r="I395" s="438"/>
      <c r="J395" s="437"/>
      <c r="K395" s="438"/>
      <c r="L395" s="437"/>
      <c r="M395" s="438"/>
      <c r="N395" s="437"/>
      <c r="O395" s="438"/>
      <c r="P395" s="437"/>
      <c r="Q395" s="438"/>
      <c r="R395" s="437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1"/>
      <c r="F396" s="1173"/>
      <c r="G396" s="1"/>
      <c r="H396" s="1173"/>
      <c r="I396" s="438"/>
      <c r="J396" s="437"/>
      <c r="K396" s="438"/>
      <c r="L396" s="437"/>
      <c r="M396" s="438"/>
      <c r="N396" s="437"/>
      <c r="O396" s="438"/>
      <c r="P396" s="437"/>
      <c r="Q396" s="438"/>
      <c r="R396" s="437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1"/>
      <c r="F397" s="1173"/>
      <c r="G397" s="1"/>
      <c r="H397" s="1173"/>
      <c r="I397" s="438"/>
      <c r="J397" s="437"/>
      <c r="K397" s="438"/>
      <c r="L397" s="437"/>
      <c r="M397" s="438"/>
      <c r="N397" s="437"/>
      <c r="O397" s="438"/>
      <c r="P397" s="437"/>
      <c r="Q397" s="438"/>
      <c r="R397" s="437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1"/>
      <c r="F398" s="1173"/>
      <c r="G398" s="1"/>
      <c r="H398" s="1173"/>
      <c r="I398" s="438"/>
      <c r="J398" s="437"/>
      <c r="K398" s="438"/>
      <c r="L398" s="437"/>
      <c r="M398" s="438"/>
      <c r="N398" s="437"/>
      <c r="O398" s="438"/>
      <c r="P398" s="437"/>
      <c r="Q398" s="438"/>
      <c r="R398" s="437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1"/>
      <c r="F399" s="1173"/>
      <c r="G399" s="1"/>
      <c r="H399" s="1173"/>
      <c r="I399" s="438"/>
      <c r="J399" s="437"/>
      <c r="K399" s="438"/>
      <c r="L399" s="437"/>
      <c r="M399" s="438"/>
      <c r="N399" s="437"/>
      <c r="O399" s="438"/>
      <c r="P399" s="437"/>
      <c r="Q399" s="438"/>
      <c r="R399" s="437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1"/>
      <c r="F400" s="1173"/>
      <c r="G400" s="1"/>
      <c r="H400" s="1173"/>
      <c r="I400" s="438"/>
      <c r="J400" s="437"/>
      <c r="K400" s="438"/>
      <c r="L400" s="437"/>
      <c r="M400" s="438"/>
      <c r="N400" s="437"/>
      <c r="O400" s="438"/>
      <c r="P400" s="437"/>
      <c r="Q400" s="438"/>
      <c r="R400" s="437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1"/>
      <c r="F401" s="1173"/>
      <c r="G401" s="1"/>
      <c r="H401" s="1173"/>
      <c r="I401" s="438"/>
      <c r="J401" s="437"/>
      <c r="K401" s="438"/>
      <c r="L401" s="437"/>
      <c r="M401" s="438"/>
      <c r="N401" s="437"/>
      <c r="O401" s="438"/>
      <c r="P401" s="437"/>
      <c r="Q401" s="438"/>
      <c r="R401" s="437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1"/>
      <c r="F402" s="1173"/>
      <c r="G402" s="1"/>
      <c r="H402" s="1173"/>
      <c r="I402" s="438"/>
      <c r="J402" s="437"/>
      <c r="K402" s="438"/>
      <c r="L402" s="437"/>
      <c r="M402" s="438"/>
      <c r="N402" s="437"/>
      <c r="O402" s="438"/>
      <c r="P402" s="437"/>
      <c r="Q402" s="438"/>
      <c r="R402" s="437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1"/>
      <c r="F403" s="1173"/>
      <c r="G403" s="1"/>
      <c r="H403" s="1173"/>
      <c r="I403" s="438"/>
      <c r="J403" s="437"/>
      <c r="K403" s="438"/>
      <c r="L403" s="437"/>
      <c r="M403" s="438"/>
      <c r="N403" s="437"/>
      <c r="O403" s="438"/>
      <c r="P403" s="437"/>
      <c r="Q403" s="438"/>
      <c r="R403" s="437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1"/>
      <c r="F404" s="1173"/>
      <c r="G404" s="1"/>
      <c r="H404" s="1173"/>
      <c r="I404" s="438"/>
      <c r="J404" s="437"/>
      <c r="K404" s="438"/>
      <c r="L404" s="437"/>
      <c r="M404" s="438"/>
      <c r="N404" s="437"/>
      <c r="O404" s="438"/>
      <c r="P404" s="437"/>
      <c r="Q404" s="438"/>
      <c r="R404" s="437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1"/>
      <c r="F405" s="1173"/>
      <c r="G405" s="1"/>
      <c r="H405" s="1173"/>
      <c r="I405" s="438"/>
      <c r="J405" s="437"/>
      <c r="K405" s="438"/>
      <c r="L405" s="437"/>
      <c r="M405" s="438"/>
      <c r="N405" s="437"/>
      <c r="O405" s="438"/>
      <c r="P405" s="437"/>
      <c r="Q405" s="438"/>
      <c r="R405" s="437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1"/>
      <c r="F406" s="1173"/>
      <c r="G406" s="1"/>
      <c r="H406" s="1173"/>
      <c r="I406" s="438"/>
      <c r="J406" s="437"/>
      <c r="K406" s="438"/>
      <c r="L406" s="437"/>
      <c r="M406" s="438"/>
      <c r="N406" s="437"/>
      <c r="O406" s="438"/>
      <c r="P406" s="437"/>
      <c r="Q406" s="438"/>
      <c r="R406" s="437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1"/>
      <c r="F407" s="1173"/>
      <c r="G407" s="1"/>
      <c r="H407" s="1173"/>
      <c r="I407" s="438"/>
      <c r="J407" s="437"/>
      <c r="K407" s="438"/>
      <c r="L407" s="437"/>
      <c r="M407" s="438"/>
      <c r="N407" s="437"/>
      <c r="O407" s="438"/>
      <c r="P407" s="437"/>
      <c r="Q407" s="438"/>
      <c r="R407" s="437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1"/>
      <c r="F408" s="1173"/>
      <c r="G408" s="1"/>
      <c r="H408" s="1173"/>
      <c r="I408" s="438"/>
      <c r="J408" s="437"/>
      <c r="K408" s="438"/>
      <c r="L408" s="437"/>
      <c r="M408" s="438"/>
      <c r="N408" s="437"/>
      <c r="O408" s="438"/>
      <c r="P408" s="437"/>
      <c r="Q408" s="438"/>
      <c r="R408" s="437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1"/>
      <c r="F409" s="1173"/>
      <c r="G409" s="1"/>
      <c r="H409" s="1173"/>
      <c r="I409" s="438"/>
      <c r="J409" s="437"/>
      <c r="K409" s="438"/>
      <c r="L409" s="437"/>
      <c r="M409" s="438"/>
      <c r="N409" s="437"/>
      <c r="O409" s="438"/>
      <c r="P409" s="437"/>
      <c r="Q409" s="438"/>
      <c r="R409" s="437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1"/>
      <c r="F410" s="1173"/>
      <c r="G410" s="1"/>
      <c r="H410" s="1173"/>
      <c r="I410" s="438"/>
      <c r="J410" s="437"/>
      <c r="K410" s="438"/>
      <c r="L410" s="437"/>
      <c r="M410" s="438"/>
      <c r="N410" s="437"/>
      <c r="O410" s="438"/>
      <c r="P410" s="437"/>
      <c r="Q410" s="438"/>
      <c r="R410" s="437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1"/>
      <c r="F411" s="1173"/>
      <c r="G411" s="1"/>
      <c r="H411" s="1173"/>
      <c r="I411" s="438"/>
      <c r="J411" s="437"/>
      <c r="K411" s="438"/>
      <c r="L411" s="437"/>
      <c r="M411" s="438"/>
      <c r="N411" s="437"/>
      <c r="O411" s="438"/>
      <c r="P411" s="437"/>
      <c r="Q411" s="438"/>
      <c r="R411" s="437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1"/>
      <c r="F412" s="1173"/>
      <c r="G412" s="1"/>
      <c r="H412" s="1173"/>
      <c r="I412" s="438"/>
      <c r="J412" s="437"/>
      <c r="K412" s="438"/>
      <c r="L412" s="437"/>
      <c r="M412" s="438"/>
      <c r="N412" s="437"/>
      <c r="O412" s="438"/>
      <c r="P412" s="437"/>
      <c r="Q412" s="438"/>
      <c r="R412" s="437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1"/>
      <c r="F413" s="1173"/>
      <c r="G413" s="1"/>
      <c r="H413" s="1173"/>
      <c r="I413" s="438"/>
      <c r="J413" s="437"/>
      <c r="K413" s="438"/>
      <c r="L413" s="437"/>
      <c r="M413" s="438"/>
      <c r="N413" s="437"/>
      <c r="O413" s="438"/>
      <c r="P413" s="437"/>
      <c r="Q413" s="438"/>
      <c r="R413" s="437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1"/>
      <c r="F414" s="1173"/>
      <c r="G414" s="1"/>
      <c r="H414" s="1173"/>
      <c r="I414" s="438"/>
      <c r="J414" s="437"/>
      <c r="K414" s="438"/>
      <c r="L414" s="437"/>
      <c r="M414" s="438"/>
      <c r="N414" s="437"/>
      <c r="O414" s="438"/>
      <c r="P414" s="437"/>
      <c r="Q414" s="438"/>
      <c r="R414" s="437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1"/>
      <c r="F415" s="1173"/>
      <c r="G415" s="1"/>
      <c r="H415" s="1173"/>
      <c r="I415" s="438"/>
      <c r="J415" s="437"/>
      <c r="K415" s="438"/>
      <c r="L415" s="437"/>
      <c r="M415" s="438"/>
      <c r="N415" s="437"/>
      <c r="O415" s="438"/>
      <c r="P415" s="437"/>
      <c r="Q415" s="438"/>
      <c r="R415" s="437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1"/>
      <c r="F416" s="1173"/>
      <c r="G416" s="1"/>
      <c r="H416" s="1173"/>
      <c r="I416" s="438"/>
      <c r="J416" s="437"/>
      <c r="K416" s="438"/>
      <c r="L416" s="437"/>
      <c r="M416" s="438"/>
      <c r="N416" s="437"/>
      <c r="O416" s="438"/>
      <c r="P416" s="437"/>
      <c r="Q416" s="438"/>
      <c r="R416" s="437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1"/>
      <c r="F417" s="1173"/>
      <c r="G417" s="1"/>
      <c r="H417" s="1173"/>
      <c r="I417" s="438"/>
      <c r="J417" s="437"/>
      <c r="K417" s="438"/>
      <c r="L417" s="437"/>
      <c r="M417" s="438"/>
      <c r="N417" s="437"/>
      <c r="O417" s="438"/>
      <c r="P417" s="437"/>
      <c r="Q417" s="438"/>
      <c r="R417" s="437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1"/>
      <c r="F418" s="1173"/>
      <c r="G418" s="1"/>
      <c r="H418" s="1173"/>
      <c r="I418" s="438"/>
      <c r="J418" s="437"/>
      <c r="K418" s="438"/>
      <c r="L418" s="437"/>
      <c r="M418" s="438"/>
      <c r="N418" s="437"/>
      <c r="O418" s="438"/>
      <c r="P418" s="437"/>
      <c r="Q418" s="438"/>
      <c r="R418" s="437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1"/>
      <c r="F419" s="1173"/>
      <c r="G419" s="1"/>
      <c r="H419" s="1173"/>
      <c r="I419" s="438"/>
      <c r="J419" s="437"/>
      <c r="K419" s="438"/>
      <c r="L419" s="437"/>
      <c r="M419" s="438"/>
      <c r="N419" s="437"/>
      <c r="O419" s="438"/>
      <c r="P419" s="437"/>
      <c r="Q419" s="438"/>
      <c r="R419" s="437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1"/>
      <c r="F420" s="1173"/>
      <c r="G420" s="1"/>
      <c r="H420" s="1173"/>
      <c r="I420" s="438"/>
      <c r="J420" s="437"/>
      <c r="K420" s="438"/>
      <c r="L420" s="437"/>
      <c r="M420" s="438"/>
      <c r="N420" s="437"/>
      <c r="O420" s="438"/>
      <c r="P420" s="437"/>
      <c r="Q420" s="438"/>
      <c r="R420" s="437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1"/>
      <c r="F421" s="1173"/>
      <c r="G421" s="1"/>
      <c r="H421" s="1173"/>
      <c r="I421" s="438"/>
      <c r="J421" s="437"/>
      <c r="K421" s="438"/>
      <c r="L421" s="437"/>
      <c r="M421" s="438"/>
      <c r="N421" s="437"/>
      <c r="O421" s="438"/>
      <c r="P421" s="437"/>
      <c r="Q421" s="438"/>
      <c r="R421" s="437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1"/>
      <c r="F422" s="1173"/>
      <c r="G422" s="1"/>
      <c r="H422" s="1173"/>
      <c r="I422" s="438"/>
      <c r="J422" s="437"/>
      <c r="K422" s="438"/>
      <c r="L422" s="437"/>
      <c r="M422" s="438"/>
      <c r="N422" s="437"/>
      <c r="O422" s="438"/>
      <c r="P422" s="437"/>
      <c r="Q422" s="438"/>
      <c r="R422" s="437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1"/>
      <c r="F423" s="1173"/>
      <c r="G423" s="1"/>
      <c r="H423" s="1173"/>
      <c r="I423" s="438"/>
      <c r="J423" s="437"/>
      <c r="K423" s="438"/>
      <c r="L423" s="437"/>
      <c r="M423" s="438"/>
      <c r="N423" s="437"/>
      <c r="O423" s="438"/>
      <c r="P423" s="437"/>
      <c r="Q423" s="438"/>
      <c r="R423" s="437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1"/>
      <c r="F424" s="1173"/>
      <c r="G424" s="1"/>
      <c r="H424" s="1173"/>
      <c r="I424" s="438"/>
      <c r="J424" s="437"/>
      <c r="K424" s="438"/>
      <c r="L424" s="437"/>
      <c r="M424" s="438"/>
      <c r="N424" s="437"/>
      <c r="O424" s="438"/>
      <c r="P424" s="437"/>
      <c r="Q424" s="438"/>
      <c r="R424" s="437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1"/>
      <c r="F425" s="1173"/>
      <c r="G425" s="1"/>
      <c r="H425" s="1173"/>
      <c r="I425" s="438"/>
      <c r="J425" s="437"/>
      <c r="K425" s="438"/>
      <c r="L425" s="437"/>
      <c r="M425" s="438"/>
      <c r="N425" s="437"/>
      <c r="O425" s="438"/>
      <c r="P425" s="437"/>
      <c r="Q425" s="438"/>
      <c r="R425" s="437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1"/>
      <c r="F426" s="1173"/>
      <c r="G426" s="1"/>
      <c r="H426" s="1173"/>
      <c r="I426" s="438"/>
      <c r="J426" s="437"/>
      <c r="K426" s="438"/>
      <c r="L426" s="437"/>
      <c r="M426" s="438"/>
      <c r="N426" s="437"/>
      <c r="O426" s="438"/>
      <c r="P426" s="437"/>
      <c r="Q426" s="438"/>
      <c r="R426" s="437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1"/>
      <c r="F427" s="1173"/>
      <c r="G427" s="1"/>
      <c r="H427" s="1173"/>
      <c r="I427" s="438"/>
      <c r="J427" s="437"/>
      <c r="K427" s="438"/>
      <c r="L427" s="437"/>
      <c r="M427" s="438"/>
      <c r="N427" s="437"/>
      <c r="O427" s="438"/>
      <c r="P427" s="437"/>
      <c r="Q427" s="438"/>
      <c r="R427" s="437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1"/>
      <c r="F428" s="1173"/>
      <c r="G428" s="1"/>
      <c r="H428" s="1173"/>
      <c r="I428" s="438"/>
      <c r="J428" s="437"/>
      <c r="K428" s="438"/>
      <c r="L428" s="437"/>
      <c r="M428" s="438"/>
      <c r="N428" s="437"/>
      <c r="O428" s="438"/>
      <c r="P428" s="437"/>
      <c r="Q428" s="438"/>
      <c r="R428" s="437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1"/>
      <c r="F429" s="1173"/>
      <c r="G429" s="1"/>
      <c r="H429" s="1173"/>
      <c r="I429" s="438"/>
      <c r="J429" s="437"/>
      <c r="K429" s="438"/>
      <c r="L429" s="437"/>
      <c r="M429" s="438"/>
      <c r="N429" s="437"/>
      <c r="O429" s="438"/>
      <c r="P429" s="437"/>
      <c r="Q429" s="438"/>
      <c r="R429" s="437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1"/>
      <c r="F430" s="1173"/>
      <c r="G430" s="1"/>
      <c r="H430" s="1173"/>
      <c r="I430" s="438"/>
      <c r="J430" s="437"/>
      <c r="K430" s="438"/>
      <c r="L430" s="437"/>
      <c r="M430" s="438"/>
      <c r="N430" s="437"/>
      <c r="O430" s="438"/>
      <c r="P430" s="437"/>
      <c r="Q430" s="438"/>
      <c r="R430" s="437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1"/>
      <c r="F431" s="1173"/>
      <c r="G431" s="1"/>
      <c r="H431" s="1173"/>
      <c r="I431" s="438"/>
      <c r="J431" s="437"/>
      <c r="K431" s="438"/>
      <c r="L431" s="437"/>
      <c r="M431" s="438"/>
      <c r="N431" s="437"/>
      <c r="O431" s="438"/>
      <c r="P431" s="437"/>
      <c r="Q431" s="438"/>
      <c r="R431" s="437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1"/>
      <c r="F432" s="1173"/>
      <c r="G432" s="1"/>
      <c r="H432" s="1173"/>
      <c r="I432" s="438"/>
      <c r="J432" s="437"/>
      <c r="K432" s="438"/>
      <c r="L432" s="437"/>
      <c r="M432" s="438"/>
      <c r="N432" s="437"/>
      <c r="O432" s="438"/>
      <c r="P432" s="437"/>
      <c r="Q432" s="438"/>
      <c r="R432" s="437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1"/>
      <c r="F433" s="1173"/>
      <c r="G433" s="1"/>
      <c r="H433" s="1173"/>
      <c r="I433" s="438"/>
      <c r="J433" s="437"/>
      <c r="K433" s="438"/>
      <c r="L433" s="437"/>
      <c r="M433" s="438"/>
      <c r="N433" s="437"/>
      <c r="O433" s="438"/>
      <c r="P433" s="437"/>
      <c r="Q433" s="438"/>
      <c r="R433" s="437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1"/>
      <c r="F434" s="1173"/>
      <c r="G434" s="1"/>
      <c r="H434" s="1173"/>
      <c r="I434" s="438"/>
      <c r="J434" s="437"/>
      <c r="K434" s="438"/>
      <c r="L434" s="437"/>
      <c r="M434" s="438"/>
      <c r="N434" s="437"/>
      <c r="O434" s="438"/>
      <c r="P434" s="437"/>
      <c r="Q434" s="438"/>
      <c r="R434" s="437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1"/>
      <c r="F435" s="1173"/>
      <c r="G435" s="1"/>
      <c r="H435" s="1173"/>
      <c r="I435" s="438"/>
      <c r="J435" s="437"/>
      <c r="K435" s="438"/>
      <c r="L435" s="437"/>
      <c r="M435" s="438"/>
      <c r="N435" s="437"/>
      <c r="O435" s="438"/>
      <c r="P435" s="437"/>
      <c r="Q435" s="438"/>
      <c r="R435" s="437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1"/>
      <c r="F436" s="1173"/>
      <c r="G436" s="1"/>
      <c r="H436" s="1173"/>
      <c r="I436" s="438"/>
      <c r="J436" s="437"/>
      <c r="K436" s="438"/>
      <c r="L436" s="437"/>
      <c r="M436" s="438"/>
      <c r="N436" s="437"/>
      <c r="O436" s="438"/>
      <c r="P436" s="437"/>
      <c r="Q436" s="438"/>
      <c r="R436" s="437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1"/>
      <c r="F437" s="1173"/>
      <c r="G437" s="1"/>
      <c r="H437" s="1173"/>
      <c r="I437" s="438"/>
      <c r="J437" s="437"/>
      <c r="K437" s="438"/>
      <c r="L437" s="437"/>
      <c r="M437" s="438"/>
      <c r="N437" s="437"/>
      <c r="O437" s="438"/>
      <c r="P437" s="437"/>
      <c r="Q437" s="438"/>
      <c r="R437" s="437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1"/>
      <c r="F438" s="1173"/>
      <c r="G438" s="1"/>
      <c r="H438" s="1173"/>
      <c r="I438" s="438"/>
      <c r="J438" s="437"/>
      <c r="K438" s="438"/>
      <c r="L438" s="437"/>
      <c r="M438" s="438"/>
      <c r="N438" s="437"/>
      <c r="O438" s="438"/>
      <c r="P438" s="437"/>
      <c r="Q438" s="438"/>
      <c r="R438" s="437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1"/>
      <c r="F439" s="1173"/>
      <c r="G439" s="1"/>
      <c r="H439" s="1173"/>
      <c r="I439" s="438"/>
      <c r="J439" s="437"/>
      <c r="K439" s="438"/>
      <c r="L439" s="437"/>
      <c r="M439" s="438"/>
      <c r="N439" s="437"/>
      <c r="O439" s="438"/>
      <c r="P439" s="437"/>
      <c r="Q439" s="438"/>
      <c r="R439" s="437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1"/>
      <c r="F440" s="1173"/>
      <c r="G440" s="1"/>
      <c r="H440" s="1173"/>
      <c r="I440" s="438"/>
      <c r="J440" s="437"/>
      <c r="K440" s="438"/>
      <c r="L440" s="437"/>
      <c r="M440" s="438"/>
      <c r="N440" s="437"/>
      <c r="O440" s="438"/>
      <c r="P440" s="437"/>
      <c r="Q440" s="438"/>
      <c r="R440" s="437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1"/>
      <c r="F441" s="1173"/>
      <c r="G441" s="1"/>
      <c r="H441" s="1173"/>
      <c r="I441" s="438"/>
      <c r="J441" s="437"/>
      <c r="K441" s="438"/>
      <c r="L441" s="437"/>
      <c r="M441" s="438"/>
      <c r="N441" s="437"/>
      <c r="O441" s="438"/>
      <c r="P441" s="437"/>
      <c r="Q441" s="438"/>
      <c r="R441" s="437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1"/>
      <c r="F442" s="1173"/>
      <c r="G442" s="1"/>
      <c r="H442" s="1173"/>
      <c r="I442" s="438"/>
      <c r="J442" s="437"/>
      <c r="K442" s="438"/>
      <c r="L442" s="437"/>
      <c r="M442" s="438"/>
      <c r="N442" s="437"/>
      <c r="O442" s="438"/>
      <c r="P442" s="437"/>
      <c r="Q442" s="438"/>
      <c r="R442" s="437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1"/>
      <c r="F443" s="1173"/>
      <c r="G443" s="1"/>
      <c r="H443" s="1173"/>
      <c r="I443" s="438"/>
      <c r="J443" s="437"/>
      <c r="K443" s="438"/>
      <c r="L443" s="437"/>
      <c r="M443" s="438"/>
      <c r="N443" s="437"/>
      <c r="O443" s="438"/>
      <c r="P443" s="437"/>
      <c r="Q443" s="438"/>
      <c r="R443" s="437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1"/>
      <c r="F444" s="1173"/>
      <c r="G444" s="1"/>
      <c r="H444" s="1173"/>
      <c r="I444" s="438"/>
      <c r="J444" s="437"/>
      <c r="K444" s="438"/>
      <c r="L444" s="437"/>
      <c r="M444" s="438"/>
      <c r="N444" s="437"/>
      <c r="O444" s="438"/>
      <c r="P444" s="437"/>
      <c r="Q444" s="438"/>
      <c r="R444" s="437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1"/>
      <c r="F445" s="1173"/>
      <c r="G445" s="1"/>
      <c r="H445" s="1173"/>
      <c r="I445" s="438"/>
      <c r="J445" s="437"/>
      <c r="K445" s="438"/>
      <c r="L445" s="437"/>
      <c r="M445" s="438"/>
      <c r="N445" s="437"/>
      <c r="O445" s="438"/>
      <c r="P445" s="437"/>
      <c r="Q445" s="438"/>
      <c r="R445" s="437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1"/>
      <c r="F446" s="1173"/>
      <c r="G446" s="1"/>
      <c r="H446" s="1173"/>
      <c r="I446" s="438"/>
      <c r="J446" s="437"/>
      <c r="K446" s="438"/>
      <c r="L446" s="437"/>
      <c r="M446" s="438"/>
      <c r="N446" s="437"/>
      <c r="O446" s="438"/>
      <c r="P446" s="437"/>
      <c r="Q446" s="438"/>
      <c r="R446" s="437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1"/>
      <c r="F447" s="1173"/>
      <c r="G447" s="1"/>
      <c r="H447" s="1173"/>
      <c r="I447" s="438"/>
      <c r="J447" s="437"/>
      <c r="K447" s="438"/>
      <c r="L447" s="437"/>
      <c r="M447" s="438"/>
      <c r="N447" s="437"/>
      <c r="O447" s="438"/>
      <c r="P447" s="437"/>
      <c r="Q447" s="438"/>
      <c r="R447" s="437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1"/>
      <c r="F448" s="1173"/>
      <c r="G448" s="1"/>
      <c r="H448" s="1173"/>
      <c r="I448" s="438"/>
      <c r="J448" s="437"/>
      <c r="K448" s="438"/>
      <c r="L448" s="437"/>
      <c r="M448" s="438"/>
      <c r="N448" s="437"/>
      <c r="O448" s="438"/>
      <c r="P448" s="437"/>
      <c r="Q448" s="438"/>
      <c r="R448" s="437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1"/>
      <c r="F449" s="1173"/>
      <c r="G449" s="1"/>
      <c r="H449" s="1173"/>
      <c r="I449" s="438"/>
      <c r="J449" s="437"/>
      <c r="K449" s="438"/>
      <c r="L449" s="437"/>
      <c r="M449" s="438"/>
      <c r="N449" s="437"/>
      <c r="O449" s="438"/>
      <c r="P449" s="437"/>
      <c r="Q449" s="438"/>
      <c r="R449" s="437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1"/>
      <c r="F450" s="1173"/>
      <c r="G450" s="1"/>
      <c r="H450" s="1173"/>
      <c r="I450" s="438"/>
      <c r="J450" s="437"/>
      <c r="K450" s="438"/>
      <c r="L450" s="437"/>
      <c r="M450" s="438"/>
      <c r="N450" s="437"/>
      <c r="O450" s="438"/>
      <c r="P450" s="437"/>
      <c r="Q450" s="438"/>
      <c r="R450" s="437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1"/>
      <c r="F451" s="1173"/>
      <c r="G451" s="1"/>
      <c r="H451" s="1173"/>
      <c r="I451" s="438"/>
      <c r="J451" s="437"/>
      <c r="K451" s="438"/>
      <c r="L451" s="437"/>
      <c r="M451" s="438"/>
      <c r="N451" s="437"/>
      <c r="O451" s="438"/>
      <c r="P451" s="437"/>
      <c r="Q451" s="438"/>
      <c r="R451" s="437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1"/>
      <c r="F452" s="1173"/>
      <c r="G452" s="1"/>
      <c r="H452" s="1173"/>
      <c r="I452" s="438"/>
      <c r="J452" s="437"/>
      <c r="K452" s="438"/>
      <c r="L452" s="437"/>
      <c r="M452" s="438"/>
      <c r="N452" s="437"/>
      <c r="O452" s="438"/>
      <c r="P452" s="437"/>
      <c r="Q452" s="438"/>
      <c r="R452" s="437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1"/>
      <c r="F453" s="1173"/>
      <c r="G453" s="1"/>
      <c r="H453" s="1173"/>
      <c r="I453" s="438"/>
      <c r="J453" s="437"/>
      <c r="K453" s="438"/>
      <c r="L453" s="437"/>
      <c r="M453" s="438"/>
      <c r="N453" s="437"/>
      <c r="O453" s="438"/>
      <c r="P453" s="437"/>
      <c r="Q453" s="438"/>
      <c r="R453" s="437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1"/>
      <c r="F454" s="1173"/>
      <c r="G454" s="1"/>
      <c r="H454" s="1173"/>
      <c r="I454" s="438"/>
      <c r="J454" s="437"/>
      <c r="K454" s="438"/>
      <c r="L454" s="437"/>
      <c r="M454" s="438"/>
      <c r="N454" s="437"/>
      <c r="O454" s="438"/>
      <c r="P454" s="437"/>
      <c r="Q454" s="438"/>
      <c r="R454" s="437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1"/>
      <c r="F455" s="1173"/>
      <c r="G455" s="1"/>
      <c r="H455" s="1173"/>
      <c r="I455" s="438"/>
      <c r="J455" s="437"/>
      <c r="K455" s="438"/>
      <c r="L455" s="437"/>
      <c r="M455" s="438"/>
      <c r="N455" s="437"/>
      <c r="O455" s="438"/>
      <c r="P455" s="437"/>
      <c r="Q455" s="438"/>
      <c r="R455" s="437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1"/>
      <c r="F456" s="1173"/>
      <c r="G456" s="1"/>
      <c r="H456" s="1173"/>
      <c r="I456" s="438"/>
      <c r="J456" s="437"/>
      <c r="K456" s="438"/>
      <c r="L456" s="437"/>
      <c r="M456" s="438"/>
      <c r="N456" s="437"/>
      <c r="O456" s="438"/>
      <c r="P456" s="437"/>
      <c r="Q456" s="438"/>
      <c r="R456" s="437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1"/>
      <c r="F457" s="1173"/>
      <c r="G457" s="1"/>
      <c r="H457" s="1173"/>
      <c r="I457" s="438"/>
      <c r="J457" s="437"/>
      <c r="K457" s="438"/>
      <c r="L457" s="437"/>
      <c r="M457" s="438"/>
      <c r="N457" s="437"/>
      <c r="O457" s="438"/>
      <c r="P457" s="437"/>
      <c r="Q457" s="438"/>
      <c r="R457" s="437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1"/>
      <c r="F458" s="1173"/>
      <c r="G458" s="1"/>
      <c r="H458" s="1173"/>
      <c r="I458" s="438"/>
      <c r="J458" s="437"/>
      <c r="K458" s="438"/>
      <c r="L458" s="437"/>
      <c r="M458" s="438"/>
      <c r="N458" s="437"/>
      <c r="O458" s="438"/>
      <c r="P458" s="437"/>
      <c r="Q458" s="438"/>
      <c r="R458" s="437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1"/>
      <c r="F459" s="1173"/>
      <c r="G459" s="1"/>
      <c r="H459" s="1173"/>
      <c r="I459" s="438"/>
      <c r="J459" s="437"/>
      <c r="K459" s="438"/>
      <c r="L459" s="437"/>
      <c r="M459" s="438"/>
      <c r="N459" s="437"/>
      <c r="O459" s="438"/>
      <c r="P459" s="437"/>
      <c r="Q459" s="438"/>
      <c r="R459" s="437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1"/>
      <c r="F460" s="1173"/>
      <c r="G460" s="1"/>
      <c r="H460" s="1173"/>
      <c r="I460" s="438"/>
      <c r="J460" s="437"/>
      <c r="K460" s="438"/>
      <c r="L460" s="437"/>
      <c r="M460" s="438"/>
      <c r="N460" s="437"/>
      <c r="O460" s="438"/>
      <c r="P460" s="437"/>
      <c r="Q460" s="438"/>
      <c r="R460" s="437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1"/>
      <c r="F461" s="1173"/>
      <c r="G461" s="1"/>
      <c r="H461" s="1173"/>
      <c r="I461" s="438"/>
      <c r="J461" s="437"/>
      <c r="K461" s="438"/>
      <c r="L461" s="437"/>
      <c r="M461" s="438"/>
      <c r="N461" s="437"/>
      <c r="O461" s="438"/>
      <c r="P461" s="437"/>
      <c r="Q461" s="438"/>
      <c r="R461" s="437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1"/>
      <c r="F462" s="1173"/>
      <c r="G462" s="1"/>
      <c r="H462" s="1173"/>
      <c r="I462" s="438"/>
      <c r="J462" s="437"/>
      <c r="K462" s="438"/>
      <c r="L462" s="437"/>
      <c r="M462" s="438"/>
      <c r="N462" s="437"/>
      <c r="O462" s="438"/>
      <c r="P462" s="437"/>
      <c r="Q462" s="438"/>
      <c r="R462" s="437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1"/>
      <c r="F463" s="1173"/>
      <c r="G463" s="1"/>
      <c r="H463" s="1173"/>
      <c r="I463" s="438"/>
      <c r="J463" s="437"/>
      <c r="K463" s="438"/>
      <c r="L463" s="437"/>
      <c r="M463" s="438"/>
      <c r="N463" s="437"/>
      <c r="O463" s="438"/>
      <c r="P463" s="437"/>
      <c r="Q463" s="438"/>
      <c r="R463" s="437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1"/>
      <c r="F464" s="1173"/>
      <c r="G464" s="1"/>
      <c r="H464" s="1173"/>
      <c r="I464" s="438"/>
      <c r="J464" s="437"/>
      <c r="K464" s="438"/>
      <c r="L464" s="437"/>
      <c r="M464" s="438"/>
      <c r="N464" s="437"/>
      <c r="O464" s="438"/>
      <c r="P464" s="437"/>
      <c r="Q464" s="438"/>
      <c r="R464" s="437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1"/>
      <c r="F465" s="1173"/>
      <c r="G465" s="1"/>
      <c r="H465" s="1173"/>
      <c r="I465" s="438"/>
      <c r="J465" s="437"/>
      <c r="K465" s="438"/>
      <c r="L465" s="437"/>
      <c r="M465" s="438"/>
      <c r="N465" s="437"/>
      <c r="O465" s="438"/>
      <c r="P465" s="437"/>
      <c r="Q465" s="438"/>
      <c r="R465" s="437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1"/>
      <c r="F466" s="1173"/>
      <c r="G466" s="1"/>
      <c r="H466" s="1173"/>
      <c r="I466" s="438"/>
      <c r="J466" s="437"/>
      <c r="K466" s="438"/>
      <c r="L466" s="437"/>
      <c r="M466" s="438"/>
      <c r="N466" s="437"/>
      <c r="O466" s="438"/>
      <c r="P466" s="437"/>
      <c r="Q466" s="438"/>
      <c r="R466" s="437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1"/>
      <c r="F467" s="1173"/>
      <c r="G467" s="1"/>
      <c r="H467" s="1173"/>
      <c r="I467" s="438"/>
      <c r="J467" s="437"/>
      <c r="K467" s="438"/>
      <c r="L467" s="437"/>
      <c r="M467" s="438"/>
      <c r="N467" s="437"/>
      <c r="O467" s="438"/>
      <c r="P467" s="437"/>
      <c r="Q467" s="438"/>
      <c r="R467" s="437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1"/>
      <c r="F468" s="1173"/>
      <c r="G468" s="1"/>
      <c r="H468" s="1173"/>
      <c r="I468" s="438"/>
      <c r="J468" s="437"/>
      <c r="K468" s="438"/>
      <c r="L468" s="437"/>
      <c r="M468" s="438"/>
      <c r="N468" s="437"/>
      <c r="O468" s="438"/>
      <c r="P468" s="437"/>
      <c r="Q468" s="438"/>
      <c r="R468" s="437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1"/>
      <c r="F469" s="1173"/>
      <c r="G469" s="1"/>
      <c r="H469" s="1173"/>
      <c r="I469" s="438"/>
      <c r="J469" s="437"/>
      <c r="K469" s="438"/>
      <c r="L469" s="437"/>
      <c r="M469" s="438"/>
      <c r="N469" s="437"/>
      <c r="O469" s="438"/>
      <c r="P469" s="437"/>
      <c r="Q469" s="438"/>
      <c r="R469" s="437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1"/>
      <c r="F470" s="1173"/>
      <c r="G470" s="1"/>
      <c r="H470" s="1173"/>
      <c r="I470" s="438"/>
      <c r="J470" s="437"/>
      <c r="K470" s="438"/>
      <c r="L470" s="437"/>
      <c r="M470" s="438"/>
      <c r="N470" s="437"/>
      <c r="O470" s="438"/>
      <c r="P470" s="437"/>
      <c r="Q470" s="438"/>
      <c r="R470" s="437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1"/>
      <c r="F471" s="1173"/>
      <c r="G471" s="1"/>
      <c r="H471" s="1173"/>
      <c r="I471" s="438"/>
      <c r="J471" s="437"/>
      <c r="K471" s="438"/>
      <c r="L471" s="437"/>
      <c r="M471" s="438"/>
      <c r="N471" s="437"/>
      <c r="O471" s="438"/>
      <c r="P471" s="437"/>
      <c r="Q471" s="438"/>
      <c r="R471" s="437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1"/>
      <c r="F472" s="1173"/>
      <c r="G472" s="1"/>
      <c r="H472" s="1173"/>
      <c r="I472" s="438"/>
      <c r="J472" s="437"/>
      <c r="K472" s="438"/>
      <c r="L472" s="437"/>
      <c r="M472" s="438"/>
      <c r="N472" s="437"/>
      <c r="O472" s="438"/>
      <c r="P472" s="437"/>
      <c r="Q472" s="438"/>
      <c r="R472" s="437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1"/>
      <c r="F473" s="1173"/>
      <c r="G473" s="1"/>
      <c r="H473" s="1173"/>
      <c r="I473" s="438"/>
      <c r="J473" s="437"/>
      <c r="K473" s="438"/>
      <c r="L473" s="437"/>
      <c r="M473" s="438"/>
      <c r="N473" s="437"/>
      <c r="O473" s="438"/>
      <c r="P473" s="437"/>
      <c r="Q473" s="438"/>
      <c r="R473" s="437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1"/>
      <c r="F474" s="1173"/>
      <c r="G474" s="1"/>
      <c r="H474" s="1173"/>
      <c r="I474" s="438"/>
      <c r="J474" s="437"/>
      <c r="K474" s="438"/>
      <c r="L474" s="437"/>
      <c r="M474" s="438"/>
      <c r="N474" s="437"/>
      <c r="O474" s="438"/>
      <c r="P474" s="437"/>
      <c r="Q474" s="438"/>
      <c r="R474" s="437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1"/>
      <c r="F475" s="1173"/>
      <c r="G475" s="1"/>
      <c r="H475" s="1173"/>
      <c r="I475" s="438"/>
      <c r="J475" s="437"/>
      <c r="K475" s="438"/>
      <c r="L475" s="437"/>
      <c r="M475" s="438"/>
      <c r="N475" s="437"/>
      <c r="O475" s="438"/>
      <c r="P475" s="437"/>
      <c r="Q475" s="438"/>
      <c r="R475" s="437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1"/>
      <c r="F476" s="1173"/>
      <c r="G476" s="1"/>
      <c r="H476" s="1173"/>
      <c r="I476" s="438"/>
      <c r="J476" s="437"/>
      <c r="K476" s="438"/>
      <c r="L476" s="437"/>
      <c r="M476" s="438"/>
      <c r="N476" s="437"/>
      <c r="O476" s="438"/>
      <c r="P476" s="437"/>
      <c r="Q476" s="438"/>
      <c r="R476" s="437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1"/>
      <c r="F477" s="1173"/>
      <c r="G477" s="1"/>
      <c r="H477" s="1173"/>
      <c r="I477" s="438"/>
      <c r="J477" s="437"/>
      <c r="K477" s="438"/>
      <c r="L477" s="437"/>
      <c r="M477" s="438"/>
      <c r="N477" s="437"/>
      <c r="O477" s="438"/>
      <c r="P477" s="437"/>
      <c r="Q477" s="438"/>
      <c r="R477" s="437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1"/>
      <c r="F478" s="1173"/>
      <c r="G478" s="1"/>
      <c r="H478" s="1173"/>
      <c r="I478" s="438"/>
      <c r="J478" s="437"/>
      <c r="K478" s="438"/>
      <c r="L478" s="437"/>
      <c r="M478" s="438"/>
      <c r="N478" s="437"/>
      <c r="O478" s="438"/>
      <c r="P478" s="437"/>
      <c r="Q478" s="438"/>
      <c r="R478" s="437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1"/>
      <c r="F479" s="1173"/>
      <c r="G479" s="1"/>
      <c r="H479" s="1173"/>
      <c r="I479" s="438"/>
      <c r="J479" s="437"/>
      <c r="K479" s="438"/>
      <c r="L479" s="437"/>
      <c r="M479" s="438"/>
      <c r="N479" s="437"/>
      <c r="O479" s="438"/>
      <c r="P479" s="437"/>
      <c r="Q479" s="438"/>
      <c r="R479" s="437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1"/>
      <c r="F480" s="1173"/>
      <c r="G480" s="1"/>
      <c r="H480" s="1173"/>
      <c r="I480" s="438"/>
      <c r="J480" s="437"/>
      <c r="K480" s="438"/>
      <c r="L480" s="437"/>
      <c r="M480" s="438"/>
      <c r="N480" s="437"/>
      <c r="O480" s="438"/>
      <c r="P480" s="437"/>
      <c r="Q480" s="438"/>
      <c r="R480" s="437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1"/>
      <c r="F481" s="1173"/>
      <c r="G481" s="1"/>
      <c r="H481" s="1173"/>
      <c r="I481" s="438"/>
      <c r="J481" s="437"/>
      <c r="K481" s="438"/>
      <c r="L481" s="437"/>
      <c r="M481" s="438"/>
      <c r="N481" s="437"/>
      <c r="O481" s="438"/>
      <c r="P481" s="437"/>
      <c r="Q481" s="438"/>
      <c r="R481" s="437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1"/>
      <c r="F482" s="1173"/>
      <c r="G482" s="1"/>
      <c r="H482" s="1173"/>
      <c r="I482" s="438"/>
      <c r="J482" s="437"/>
      <c r="K482" s="438"/>
      <c r="L482" s="437"/>
      <c r="M482" s="438"/>
      <c r="N482" s="437"/>
      <c r="O482" s="438"/>
      <c r="P482" s="437"/>
      <c r="Q482" s="438"/>
      <c r="R482" s="437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1"/>
      <c r="F483" s="1173"/>
      <c r="G483" s="1"/>
      <c r="H483" s="1173"/>
      <c r="I483" s="438"/>
      <c r="J483" s="437"/>
      <c r="K483" s="438"/>
      <c r="L483" s="437"/>
      <c r="M483" s="438"/>
      <c r="N483" s="437"/>
      <c r="O483" s="438"/>
      <c r="P483" s="437"/>
      <c r="Q483" s="438"/>
      <c r="R483" s="437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1"/>
      <c r="F484" s="1173"/>
      <c r="G484" s="1"/>
      <c r="H484" s="1173"/>
      <c r="I484" s="438"/>
      <c r="J484" s="437"/>
      <c r="K484" s="438"/>
      <c r="L484" s="437"/>
      <c r="M484" s="438"/>
      <c r="N484" s="437"/>
      <c r="O484" s="438"/>
      <c r="P484" s="437"/>
      <c r="Q484" s="438"/>
      <c r="R484" s="437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1"/>
      <c r="F485" s="1173"/>
      <c r="G485" s="1"/>
      <c r="H485" s="1173"/>
      <c r="I485" s="438"/>
      <c r="J485" s="437"/>
      <c r="K485" s="438"/>
      <c r="L485" s="437"/>
      <c r="M485" s="438"/>
      <c r="N485" s="437"/>
      <c r="O485" s="438"/>
      <c r="P485" s="437"/>
      <c r="Q485" s="438"/>
      <c r="R485" s="437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1"/>
      <c r="F486" s="1173"/>
      <c r="G486" s="1"/>
      <c r="H486" s="1173"/>
      <c r="I486" s="438"/>
      <c r="J486" s="437"/>
      <c r="K486" s="438"/>
      <c r="L486" s="437"/>
      <c r="M486" s="438"/>
      <c r="N486" s="437"/>
      <c r="O486" s="438"/>
      <c r="P486" s="437"/>
      <c r="Q486" s="438"/>
      <c r="R486" s="437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1"/>
      <c r="F487" s="1173"/>
      <c r="G487" s="1"/>
      <c r="H487" s="1173"/>
      <c r="I487" s="438"/>
      <c r="J487" s="437"/>
      <c r="K487" s="438"/>
      <c r="L487" s="437"/>
      <c r="M487" s="438"/>
      <c r="N487" s="437"/>
      <c r="O487" s="438"/>
      <c r="P487" s="437"/>
      <c r="Q487" s="438"/>
      <c r="R487" s="437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1"/>
      <c r="F488" s="1173"/>
      <c r="G488" s="1"/>
      <c r="H488" s="1173"/>
      <c r="I488" s="438"/>
      <c r="J488" s="437"/>
      <c r="K488" s="438"/>
      <c r="L488" s="437"/>
      <c r="M488" s="438"/>
      <c r="N488" s="437"/>
      <c r="O488" s="438"/>
      <c r="P488" s="437"/>
      <c r="Q488" s="438"/>
      <c r="R488" s="437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1"/>
      <c r="F489" s="1173"/>
      <c r="G489" s="1"/>
      <c r="H489" s="1173"/>
      <c r="I489" s="438"/>
      <c r="J489" s="437"/>
      <c r="K489" s="438"/>
      <c r="L489" s="437"/>
      <c r="M489" s="438"/>
      <c r="N489" s="437"/>
      <c r="O489" s="438"/>
      <c r="P489" s="437"/>
      <c r="Q489" s="438"/>
      <c r="R489" s="437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1"/>
      <c r="F490" s="1173"/>
      <c r="G490" s="1"/>
      <c r="H490" s="1173"/>
      <c r="I490" s="438"/>
      <c r="J490" s="437"/>
      <c r="K490" s="438"/>
      <c r="L490" s="437"/>
      <c r="M490" s="438"/>
      <c r="N490" s="437"/>
      <c r="O490" s="438"/>
      <c r="P490" s="437"/>
      <c r="Q490" s="438"/>
      <c r="R490" s="437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1"/>
      <c r="F491" s="1173"/>
      <c r="G491" s="1"/>
      <c r="H491" s="1173"/>
      <c r="I491" s="438"/>
      <c r="J491" s="437"/>
      <c r="K491" s="438"/>
      <c r="L491" s="437"/>
      <c r="M491" s="438"/>
      <c r="N491" s="437"/>
      <c r="O491" s="438"/>
      <c r="P491" s="437"/>
      <c r="Q491" s="438"/>
      <c r="R491" s="437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1"/>
      <c r="F492" s="1173"/>
      <c r="G492" s="1"/>
      <c r="H492" s="1173"/>
      <c r="I492" s="438"/>
      <c r="J492" s="437"/>
      <c r="K492" s="438"/>
      <c r="L492" s="437"/>
      <c r="M492" s="438"/>
      <c r="N492" s="437"/>
      <c r="O492" s="438"/>
      <c r="P492" s="437"/>
      <c r="Q492" s="438"/>
      <c r="R492" s="437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1"/>
      <c r="F493" s="1173"/>
      <c r="G493" s="1"/>
      <c r="H493" s="1173"/>
      <c r="I493" s="438"/>
      <c r="J493" s="437"/>
      <c r="K493" s="438"/>
      <c r="L493" s="437"/>
      <c r="M493" s="438"/>
      <c r="N493" s="437"/>
      <c r="O493" s="438"/>
      <c r="P493" s="437"/>
      <c r="Q493" s="438"/>
      <c r="R493" s="437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1"/>
      <c r="F494" s="1173"/>
      <c r="G494" s="1"/>
      <c r="H494" s="1173"/>
      <c r="I494" s="438"/>
      <c r="J494" s="437"/>
      <c r="K494" s="438"/>
      <c r="L494" s="437"/>
      <c r="M494" s="438"/>
      <c r="N494" s="437"/>
      <c r="O494" s="438"/>
      <c r="P494" s="437"/>
      <c r="Q494" s="438"/>
      <c r="R494" s="437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1"/>
      <c r="F495" s="1173"/>
      <c r="G495" s="1"/>
      <c r="H495" s="1173"/>
      <c r="I495" s="438"/>
      <c r="J495" s="437"/>
      <c r="K495" s="438"/>
      <c r="L495" s="437"/>
      <c r="M495" s="438"/>
      <c r="N495" s="437"/>
      <c r="O495" s="438"/>
      <c r="P495" s="437"/>
      <c r="Q495" s="438"/>
      <c r="R495" s="437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1"/>
      <c r="F496" s="1173"/>
      <c r="G496" s="1"/>
      <c r="H496" s="1173"/>
      <c r="I496" s="438"/>
      <c r="J496" s="437"/>
      <c r="K496" s="438"/>
      <c r="L496" s="437"/>
      <c r="M496" s="438"/>
      <c r="N496" s="437"/>
      <c r="O496" s="438"/>
      <c r="P496" s="437"/>
      <c r="Q496" s="438"/>
      <c r="R496" s="437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1"/>
      <c r="F497" s="1173"/>
      <c r="G497" s="1"/>
      <c r="H497" s="1173"/>
      <c r="I497" s="438"/>
      <c r="J497" s="437"/>
      <c r="K497" s="438"/>
      <c r="L497" s="437"/>
      <c r="M497" s="438"/>
      <c r="N497" s="437"/>
      <c r="O497" s="438"/>
      <c r="P497" s="437"/>
      <c r="Q497" s="438"/>
      <c r="R497" s="437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1"/>
      <c r="F498" s="1173"/>
      <c r="G498" s="1"/>
      <c r="H498" s="1173"/>
      <c r="I498" s="438"/>
      <c r="J498" s="437"/>
      <c r="K498" s="438"/>
      <c r="L498" s="437"/>
      <c r="M498" s="438"/>
      <c r="N498" s="437"/>
      <c r="O498" s="438"/>
      <c r="P498" s="437"/>
      <c r="Q498" s="438"/>
      <c r="R498" s="437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1"/>
      <c r="F499" s="1173"/>
      <c r="G499" s="1"/>
      <c r="H499" s="1173"/>
      <c r="I499" s="438"/>
      <c r="J499" s="437"/>
      <c r="K499" s="438"/>
      <c r="L499" s="437"/>
      <c r="M499" s="438"/>
      <c r="N499" s="437"/>
      <c r="O499" s="438"/>
      <c r="P499" s="437"/>
      <c r="Q499" s="438"/>
      <c r="R499" s="437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1"/>
      <c r="F500" s="1173"/>
      <c r="G500" s="1"/>
      <c r="H500" s="1173"/>
      <c r="I500" s="438"/>
      <c r="J500" s="437"/>
      <c r="K500" s="438"/>
      <c r="L500" s="437"/>
      <c r="M500" s="438"/>
      <c r="N500" s="437"/>
      <c r="O500" s="438"/>
      <c r="P500" s="437"/>
      <c r="Q500" s="438"/>
      <c r="R500" s="437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1"/>
      <c r="F501" s="1173"/>
      <c r="G501" s="1"/>
      <c r="H501" s="1173"/>
      <c r="I501" s="438"/>
      <c r="J501" s="437"/>
      <c r="K501" s="438"/>
      <c r="L501" s="437"/>
      <c r="M501" s="438"/>
      <c r="N501" s="437"/>
      <c r="O501" s="438"/>
      <c r="P501" s="437"/>
      <c r="Q501" s="438"/>
      <c r="R501" s="437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1"/>
      <c r="F502" s="1173"/>
      <c r="G502" s="1"/>
      <c r="H502" s="1173"/>
      <c r="I502" s="438"/>
      <c r="J502" s="437"/>
      <c r="K502" s="438"/>
      <c r="L502" s="437"/>
      <c r="M502" s="438"/>
      <c r="N502" s="437"/>
      <c r="O502" s="438"/>
      <c r="P502" s="437"/>
      <c r="Q502" s="438"/>
      <c r="R502" s="437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1"/>
      <c r="F503" s="1173"/>
      <c r="G503" s="1"/>
      <c r="H503" s="1173"/>
      <c r="I503" s="438"/>
      <c r="J503" s="437"/>
      <c r="K503" s="438"/>
      <c r="L503" s="437"/>
      <c r="M503" s="438"/>
      <c r="N503" s="437"/>
      <c r="O503" s="438"/>
      <c r="P503" s="437"/>
      <c r="Q503" s="438"/>
      <c r="R503" s="437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1"/>
      <c r="F504" s="1173"/>
      <c r="G504" s="1"/>
      <c r="H504" s="1173"/>
      <c r="I504" s="438"/>
      <c r="J504" s="437"/>
      <c r="K504" s="438"/>
      <c r="L504" s="437"/>
      <c r="M504" s="438"/>
      <c r="N504" s="437"/>
      <c r="O504" s="438"/>
      <c r="P504" s="437"/>
      <c r="Q504" s="438"/>
      <c r="R504" s="437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1"/>
      <c r="F505" s="1173"/>
      <c r="G505" s="1"/>
      <c r="H505" s="1173"/>
      <c r="I505" s="438"/>
      <c r="J505" s="437"/>
      <c r="K505" s="438"/>
      <c r="L505" s="437"/>
      <c r="M505" s="438"/>
      <c r="N505" s="437"/>
      <c r="O505" s="438"/>
      <c r="P505" s="437"/>
      <c r="Q505" s="438"/>
      <c r="R505" s="437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1"/>
      <c r="F506" s="1173"/>
      <c r="G506" s="1"/>
      <c r="H506" s="1173"/>
      <c r="I506" s="438"/>
      <c r="J506" s="437"/>
      <c r="K506" s="438"/>
      <c r="L506" s="437"/>
      <c r="M506" s="438"/>
      <c r="N506" s="437"/>
      <c r="O506" s="438"/>
      <c r="P506" s="437"/>
      <c r="Q506" s="438"/>
      <c r="R506" s="437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1"/>
      <c r="F507" s="1173"/>
      <c r="G507" s="1"/>
      <c r="H507" s="1173"/>
      <c r="I507" s="438"/>
      <c r="J507" s="437"/>
      <c r="K507" s="438"/>
      <c r="L507" s="437"/>
      <c r="M507" s="438"/>
      <c r="N507" s="437"/>
      <c r="O507" s="438"/>
      <c r="P507" s="437"/>
      <c r="Q507" s="438"/>
      <c r="R507" s="437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1"/>
      <c r="F508" s="1173"/>
      <c r="G508" s="1"/>
      <c r="H508" s="1173"/>
      <c r="I508" s="438"/>
      <c r="J508" s="437"/>
      <c r="K508" s="438"/>
      <c r="L508" s="437"/>
      <c r="M508" s="438"/>
      <c r="N508" s="437"/>
      <c r="O508" s="438"/>
      <c r="P508" s="437"/>
      <c r="Q508" s="438"/>
      <c r="R508" s="437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1"/>
      <c r="F509" s="1173"/>
      <c r="G509" s="1"/>
      <c r="H509" s="1173"/>
      <c r="I509" s="438"/>
      <c r="J509" s="437"/>
      <c r="K509" s="438"/>
      <c r="L509" s="437"/>
      <c r="M509" s="438"/>
      <c r="N509" s="437"/>
      <c r="O509" s="438"/>
      <c r="P509" s="437"/>
      <c r="Q509" s="438"/>
      <c r="R509" s="437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1"/>
      <c r="F510" s="1173"/>
      <c r="G510" s="1"/>
      <c r="H510" s="1173"/>
      <c r="I510" s="438"/>
      <c r="J510" s="437"/>
      <c r="K510" s="438"/>
      <c r="L510" s="437"/>
      <c r="M510" s="438"/>
      <c r="N510" s="437"/>
      <c r="O510" s="438"/>
      <c r="P510" s="437"/>
      <c r="Q510" s="438"/>
      <c r="R510" s="437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1"/>
      <c r="F511" s="1173"/>
      <c r="G511" s="1"/>
      <c r="H511" s="1173"/>
      <c r="I511" s="438"/>
      <c r="J511" s="437"/>
      <c r="K511" s="438"/>
      <c r="L511" s="437"/>
      <c r="M511" s="438"/>
      <c r="N511" s="437"/>
      <c r="O511" s="438"/>
      <c r="P511" s="437"/>
      <c r="Q511" s="438"/>
      <c r="R511" s="437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1"/>
      <c r="F512" s="1173"/>
      <c r="G512" s="1"/>
      <c r="H512" s="1173"/>
      <c r="I512" s="438"/>
      <c r="J512" s="437"/>
      <c r="K512" s="438"/>
      <c r="L512" s="437"/>
      <c r="M512" s="438"/>
      <c r="N512" s="437"/>
      <c r="O512" s="438"/>
      <c r="P512" s="437"/>
      <c r="Q512" s="438"/>
      <c r="R512" s="437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1"/>
      <c r="F513" s="1173"/>
      <c r="G513" s="1"/>
      <c r="H513" s="1173"/>
      <c r="I513" s="438"/>
      <c r="J513" s="437"/>
      <c r="K513" s="438"/>
      <c r="L513" s="437"/>
      <c r="M513" s="438"/>
      <c r="N513" s="437"/>
      <c r="O513" s="438"/>
      <c r="P513" s="437"/>
      <c r="Q513" s="438"/>
      <c r="R513" s="437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1"/>
      <c r="F514" s="1173"/>
      <c r="G514" s="1"/>
      <c r="H514" s="1173"/>
      <c r="I514" s="438"/>
      <c r="J514" s="437"/>
      <c r="K514" s="438"/>
      <c r="L514" s="437"/>
      <c r="M514" s="438"/>
      <c r="N514" s="437"/>
      <c r="O514" s="438"/>
      <c r="P514" s="437"/>
      <c r="Q514" s="438"/>
      <c r="R514" s="437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1"/>
      <c r="F515" s="1173"/>
      <c r="G515" s="1"/>
      <c r="H515" s="1173"/>
      <c r="I515" s="438"/>
      <c r="J515" s="437"/>
      <c r="K515" s="438"/>
      <c r="L515" s="437"/>
      <c r="M515" s="438"/>
      <c r="N515" s="437"/>
      <c r="O515" s="438"/>
      <c r="P515" s="437"/>
      <c r="Q515" s="438"/>
      <c r="R515" s="437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1"/>
      <c r="F516" s="1173"/>
      <c r="G516" s="1"/>
      <c r="H516" s="1173"/>
      <c r="I516" s="438"/>
      <c r="J516" s="437"/>
      <c r="K516" s="438"/>
      <c r="L516" s="437"/>
      <c r="M516" s="438"/>
      <c r="N516" s="437"/>
      <c r="O516" s="438"/>
      <c r="P516" s="437"/>
      <c r="Q516" s="438"/>
      <c r="R516" s="437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1"/>
      <c r="F517" s="1173"/>
      <c r="G517" s="1"/>
      <c r="H517" s="1173"/>
      <c r="I517" s="438"/>
      <c r="J517" s="437"/>
      <c r="K517" s="438"/>
      <c r="L517" s="437"/>
      <c r="M517" s="438"/>
      <c r="N517" s="437"/>
      <c r="O517" s="438"/>
      <c r="P517" s="437"/>
      <c r="Q517" s="438"/>
      <c r="R517" s="437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1"/>
      <c r="F518" s="1173"/>
      <c r="G518" s="1"/>
      <c r="H518" s="1173"/>
      <c r="I518" s="438"/>
      <c r="J518" s="437"/>
      <c r="K518" s="438"/>
      <c r="L518" s="437"/>
      <c r="M518" s="438"/>
      <c r="N518" s="437"/>
      <c r="O518" s="438"/>
      <c r="P518" s="437"/>
      <c r="Q518" s="438"/>
      <c r="R518" s="437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1"/>
      <c r="F519" s="1173"/>
      <c r="G519" s="1"/>
      <c r="H519" s="1173"/>
      <c r="I519" s="438"/>
      <c r="J519" s="437"/>
      <c r="K519" s="438"/>
      <c r="L519" s="437"/>
      <c r="M519" s="438"/>
      <c r="N519" s="437"/>
      <c r="O519" s="438"/>
      <c r="P519" s="437"/>
      <c r="Q519" s="438"/>
      <c r="R519" s="437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1"/>
      <c r="F520" s="1173"/>
      <c r="G520" s="1"/>
      <c r="H520" s="1173"/>
      <c r="I520" s="438"/>
      <c r="J520" s="437"/>
      <c r="K520" s="438"/>
      <c r="L520" s="437"/>
      <c r="M520" s="438"/>
      <c r="N520" s="437"/>
      <c r="O520" s="438"/>
      <c r="P520" s="437"/>
      <c r="Q520" s="438"/>
      <c r="R520" s="437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1"/>
      <c r="F521" s="1173"/>
      <c r="G521" s="1"/>
      <c r="H521" s="1173"/>
      <c r="I521" s="438"/>
      <c r="J521" s="437"/>
      <c r="K521" s="438"/>
      <c r="L521" s="437"/>
      <c r="M521" s="438"/>
      <c r="N521" s="437"/>
      <c r="O521" s="438"/>
      <c r="P521" s="437"/>
      <c r="Q521" s="438"/>
      <c r="R521" s="437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1"/>
      <c r="F522" s="1173"/>
      <c r="G522" s="1"/>
      <c r="H522" s="1173"/>
      <c r="I522" s="438"/>
      <c r="J522" s="437"/>
      <c r="K522" s="438"/>
      <c r="L522" s="437"/>
      <c r="M522" s="438"/>
      <c r="N522" s="437"/>
      <c r="O522" s="438"/>
      <c r="P522" s="437"/>
      <c r="Q522" s="438"/>
      <c r="R522" s="437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1"/>
      <c r="F523" s="1173"/>
      <c r="G523" s="1"/>
      <c r="H523" s="1173"/>
      <c r="I523" s="438"/>
      <c r="J523" s="437"/>
      <c r="K523" s="438"/>
      <c r="L523" s="437"/>
      <c r="M523" s="438"/>
      <c r="N523" s="437"/>
      <c r="O523" s="438"/>
      <c r="P523" s="437"/>
      <c r="Q523" s="438"/>
      <c r="R523" s="437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1"/>
      <c r="F524" s="1173"/>
      <c r="G524" s="1"/>
      <c r="H524" s="1173"/>
      <c r="I524" s="438"/>
      <c r="J524" s="437"/>
      <c r="K524" s="438"/>
      <c r="L524" s="437"/>
      <c r="M524" s="438"/>
      <c r="N524" s="437"/>
      <c r="O524" s="438"/>
      <c r="P524" s="437"/>
      <c r="Q524" s="438"/>
      <c r="R524" s="437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1"/>
      <c r="F525" s="1173"/>
      <c r="G525" s="1"/>
      <c r="H525" s="1173"/>
      <c r="I525" s="438"/>
      <c r="J525" s="437"/>
      <c r="K525" s="438"/>
      <c r="L525" s="437"/>
      <c r="M525" s="438"/>
      <c r="N525" s="437"/>
      <c r="O525" s="438"/>
      <c r="P525" s="437"/>
      <c r="Q525" s="438"/>
      <c r="R525" s="437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1"/>
      <c r="F526" s="1173"/>
      <c r="G526" s="1"/>
      <c r="H526" s="1173"/>
      <c r="I526" s="438"/>
      <c r="J526" s="437"/>
      <c r="K526" s="438"/>
      <c r="L526" s="437"/>
      <c r="M526" s="438"/>
      <c r="N526" s="437"/>
      <c r="O526" s="438"/>
      <c r="P526" s="437"/>
      <c r="Q526" s="438"/>
      <c r="R526" s="437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1"/>
      <c r="F527" s="1173"/>
      <c r="G527" s="1"/>
      <c r="H527" s="1173"/>
      <c r="I527" s="438"/>
      <c r="J527" s="437"/>
      <c r="K527" s="438"/>
      <c r="L527" s="437"/>
      <c r="M527" s="438"/>
      <c r="N527" s="437"/>
      <c r="O527" s="438"/>
      <c r="P527" s="437"/>
      <c r="Q527" s="438"/>
      <c r="R527" s="437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1"/>
      <c r="F528" s="1173"/>
      <c r="G528" s="1"/>
      <c r="H528" s="1173"/>
      <c r="I528" s="438"/>
      <c r="J528" s="437"/>
      <c r="K528" s="438"/>
      <c r="L528" s="437"/>
      <c r="M528" s="438"/>
      <c r="N528" s="437"/>
      <c r="O528" s="438"/>
      <c r="P528" s="437"/>
      <c r="Q528" s="438"/>
      <c r="R528" s="437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1"/>
      <c r="F529" s="1173"/>
      <c r="G529" s="1"/>
      <c r="H529" s="1173"/>
      <c r="I529" s="438"/>
      <c r="J529" s="437"/>
      <c r="K529" s="438"/>
      <c r="L529" s="437"/>
      <c r="M529" s="438"/>
      <c r="N529" s="437"/>
      <c r="O529" s="438"/>
      <c r="P529" s="437"/>
      <c r="Q529" s="438"/>
      <c r="R529" s="437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1"/>
      <c r="F530" s="1173"/>
      <c r="G530" s="1"/>
      <c r="H530" s="1173"/>
      <c r="I530" s="438"/>
      <c r="J530" s="437"/>
      <c r="K530" s="438"/>
      <c r="L530" s="437"/>
      <c r="M530" s="438"/>
      <c r="N530" s="437"/>
      <c r="O530" s="438"/>
      <c r="P530" s="437"/>
      <c r="Q530" s="438"/>
      <c r="R530" s="437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1"/>
      <c r="F531" s="1173"/>
      <c r="G531" s="1"/>
      <c r="H531" s="1173"/>
      <c r="I531" s="438"/>
      <c r="J531" s="437"/>
      <c r="K531" s="438"/>
      <c r="L531" s="437"/>
      <c r="M531" s="438"/>
      <c r="N531" s="437"/>
      <c r="O531" s="438"/>
      <c r="P531" s="437"/>
      <c r="Q531" s="438"/>
      <c r="R531" s="437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1"/>
      <c r="F532" s="1173"/>
      <c r="G532" s="1"/>
      <c r="H532" s="1173"/>
      <c r="I532" s="438"/>
      <c r="J532" s="437"/>
      <c r="K532" s="438"/>
      <c r="L532" s="437"/>
      <c r="M532" s="438"/>
      <c r="N532" s="437"/>
      <c r="O532" s="438"/>
      <c r="P532" s="437"/>
      <c r="Q532" s="438"/>
      <c r="R532" s="437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1"/>
      <c r="F533" s="1173"/>
      <c r="G533" s="1"/>
      <c r="H533" s="1173"/>
      <c r="I533" s="438"/>
      <c r="J533" s="437"/>
      <c r="K533" s="438"/>
      <c r="L533" s="437"/>
      <c r="M533" s="438"/>
      <c r="N533" s="437"/>
      <c r="O533" s="438"/>
      <c r="P533" s="437"/>
      <c r="Q533" s="438"/>
      <c r="R533" s="437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1"/>
      <c r="F534" s="1173"/>
      <c r="G534" s="1"/>
      <c r="H534" s="1173"/>
      <c r="I534" s="438"/>
      <c r="J534" s="437"/>
      <c r="K534" s="438"/>
      <c r="L534" s="437"/>
      <c r="M534" s="438"/>
      <c r="N534" s="437"/>
      <c r="O534" s="438"/>
      <c r="P534" s="437"/>
      <c r="Q534" s="438"/>
      <c r="R534" s="437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1"/>
      <c r="F535" s="1173"/>
      <c r="G535" s="1"/>
      <c r="H535" s="1173"/>
      <c r="I535" s="438"/>
      <c r="J535" s="437"/>
      <c r="K535" s="438"/>
      <c r="L535" s="437"/>
      <c r="M535" s="438"/>
      <c r="N535" s="437"/>
      <c r="O535" s="438"/>
      <c r="P535" s="437"/>
      <c r="Q535" s="438"/>
      <c r="R535" s="437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1"/>
      <c r="F536" s="1173"/>
      <c r="G536" s="1"/>
      <c r="H536" s="1173"/>
      <c r="I536" s="438"/>
      <c r="J536" s="437"/>
      <c r="K536" s="438"/>
      <c r="L536" s="437"/>
      <c r="M536" s="438"/>
      <c r="N536" s="437"/>
      <c r="O536" s="438"/>
      <c r="P536" s="437"/>
      <c r="Q536" s="438"/>
      <c r="R536" s="437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1"/>
      <c r="F537" s="1173"/>
      <c r="G537" s="1"/>
      <c r="H537" s="1173"/>
      <c r="I537" s="438"/>
      <c r="J537" s="437"/>
      <c r="K537" s="438"/>
      <c r="L537" s="437"/>
      <c r="M537" s="438"/>
      <c r="N537" s="437"/>
      <c r="O537" s="438"/>
      <c r="P537" s="437"/>
      <c r="Q537" s="438"/>
      <c r="R537" s="437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1"/>
      <c r="F538" s="1173"/>
      <c r="G538" s="1"/>
      <c r="H538" s="1173"/>
      <c r="I538" s="438"/>
      <c r="J538" s="437"/>
      <c r="K538" s="438"/>
      <c r="L538" s="437"/>
      <c r="M538" s="438"/>
      <c r="N538" s="437"/>
      <c r="O538" s="438"/>
      <c r="P538" s="437"/>
      <c r="Q538" s="438"/>
      <c r="R538" s="437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1"/>
      <c r="F539" s="1173"/>
      <c r="G539" s="1"/>
      <c r="H539" s="1173"/>
      <c r="I539" s="438"/>
      <c r="J539" s="437"/>
      <c r="K539" s="438"/>
      <c r="L539" s="437"/>
      <c r="M539" s="438"/>
      <c r="N539" s="437"/>
      <c r="O539" s="438"/>
      <c r="P539" s="437"/>
      <c r="Q539" s="438"/>
      <c r="R539" s="437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1"/>
      <c r="F540" s="1173"/>
      <c r="G540" s="1"/>
      <c r="H540" s="1173"/>
      <c r="I540" s="438"/>
      <c r="J540" s="437"/>
      <c r="K540" s="438"/>
      <c r="L540" s="437"/>
      <c r="M540" s="438"/>
      <c r="N540" s="437"/>
      <c r="O540" s="438"/>
      <c r="P540" s="437"/>
      <c r="Q540" s="438"/>
      <c r="R540" s="437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1"/>
      <c r="F541" s="1173"/>
      <c r="G541" s="1"/>
      <c r="H541" s="1173"/>
      <c r="I541" s="438"/>
      <c r="J541" s="437"/>
      <c r="K541" s="438"/>
      <c r="L541" s="437"/>
      <c r="M541" s="438"/>
      <c r="N541" s="437"/>
      <c r="O541" s="438"/>
      <c r="P541" s="437"/>
      <c r="Q541" s="438"/>
      <c r="R541" s="437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1"/>
      <c r="F542" s="1173"/>
      <c r="G542" s="1"/>
      <c r="H542" s="1173"/>
      <c r="I542" s="438"/>
      <c r="J542" s="437"/>
      <c r="K542" s="438"/>
      <c r="L542" s="437"/>
      <c r="M542" s="438"/>
      <c r="N542" s="437"/>
      <c r="O542" s="438"/>
      <c r="P542" s="437"/>
      <c r="Q542" s="438"/>
      <c r="R542" s="437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1"/>
      <c r="F543" s="1173"/>
      <c r="G543" s="1"/>
      <c r="H543" s="1173"/>
      <c r="I543" s="438"/>
      <c r="J543" s="437"/>
      <c r="K543" s="438"/>
      <c r="L543" s="437"/>
      <c r="M543" s="438"/>
      <c r="N543" s="437"/>
      <c r="O543" s="438"/>
      <c r="P543" s="437"/>
      <c r="Q543" s="438"/>
      <c r="R543" s="437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1"/>
      <c r="F544" s="1173"/>
      <c r="G544" s="1"/>
      <c r="H544" s="1173"/>
      <c r="I544" s="438"/>
      <c r="J544" s="437"/>
      <c r="K544" s="438"/>
      <c r="L544" s="437"/>
      <c r="M544" s="438"/>
      <c r="N544" s="437"/>
      <c r="O544" s="438"/>
      <c r="P544" s="437"/>
      <c r="Q544" s="438"/>
      <c r="R544" s="437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1"/>
      <c r="F545" s="1173"/>
      <c r="G545" s="1"/>
      <c r="H545" s="1173"/>
      <c r="I545" s="438"/>
      <c r="J545" s="437"/>
      <c r="K545" s="438"/>
      <c r="L545" s="437"/>
      <c r="M545" s="438"/>
      <c r="N545" s="437"/>
      <c r="O545" s="438"/>
      <c r="P545" s="437"/>
      <c r="Q545" s="438"/>
      <c r="R545" s="437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1"/>
      <c r="F546" s="1173"/>
      <c r="G546" s="1"/>
      <c r="H546" s="1173"/>
      <c r="I546" s="438"/>
      <c r="J546" s="437"/>
      <c r="K546" s="438"/>
      <c r="L546" s="437"/>
      <c r="M546" s="438"/>
      <c r="N546" s="437"/>
      <c r="O546" s="438"/>
      <c r="P546" s="437"/>
      <c r="Q546" s="438"/>
      <c r="R546" s="437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1"/>
      <c r="F547" s="1173"/>
      <c r="G547" s="1"/>
      <c r="H547" s="1173"/>
      <c r="I547" s="438"/>
      <c r="J547" s="437"/>
      <c r="K547" s="438"/>
      <c r="L547" s="437"/>
      <c r="M547" s="438"/>
      <c r="N547" s="437"/>
      <c r="O547" s="438"/>
      <c r="P547" s="437"/>
      <c r="Q547" s="438"/>
      <c r="R547" s="437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1"/>
      <c r="F548" s="1173"/>
      <c r="G548" s="1"/>
      <c r="H548" s="1173"/>
      <c r="I548" s="438"/>
      <c r="J548" s="437"/>
      <c r="K548" s="438"/>
      <c r="L548" s="437"/>
      <c r="M548" s="438"/>
      <c r="N548" s="437"/>
      <c r="O548" s="438"/>
      <c r="P548" s="437"/>
      <c r="Q548" s="438"/>
      <c r="R548" s="437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1"/>
      <c r="F549" s="1173"/>
      <c r="G549" s="1"/>
      <c r="H549" s="1173"/>
      <c r="I549" s="438"/>
      <c r="J549" s="437"/>
      <c r="K549" s="438"/>
      <c r="L549" s="437"/>
      <c r="M549" s="438"/>
      <c r="N549" s="437"/>
      <c r="O549" s="438"/>
      <c r="P549" s="437"/>
      <c r="Q549" s="438"/>
      <c r="R549" s="437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1"/>
      <c r="F550" s="1173"/>
      <c r="G550" s="1"/>
      <c r="H550" s="1173"/>
      <c r="I550" s="438"/>
      <c r="J550" s="437"/>
      <c r="K550" s="438"/>
      <c r="L550" s="437"/>
      <c r="M550" s="438"/>
      <c r="N550" s="437"/>
      <c r="O550" s="438"/>
      <c r="P550" s="437"/>
      <c r="Q550" s="438"/>
      <c r="R550" s="437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1"/>
      <c r="F551" s="1173"/>
      <c r="G551" s="1"/>
      <c r="H551" s="1173"/>
      <c r="I551" s="438"/>
      <c r="J551" s="437"/>
      <c r="K551" s="438"/>
      <c r="L551" s="437"/>
      <c r="M551" s="438"/>
      <c r="N551" s="437"/>
      <c r="O551" s="438"/>
      <c r="P551" s="437"/>
      <c r="Q551" s="438"/>
      <c r="R551" s="437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1"/>
      <c r="F552" s="1173"/>
      <c r="G552" s="1"/>
      <c r="H552" s="1173"/>
      <c r="I552" s="438"/>
      <c r="J552" s="437"/>
      <c r="K552" s="438"/>
      <c r="L552" s="437"/>
      <c r="M552" s="438"/>
      <c r="N552" s="437"/>
      <c r="O552" s="438"/>
      <c r="P552" s="437"/>
      <c r="Q552" s="438"/>
      <c r="R552" s="437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1"/>
      <c r="F553" s="1173"/>
      <c r="G553" s="1"/>
      <c r="H553" s="1173"/>
      <c r="I553" s="438"/>
      <c r="J553" s="437"/>
      <c r="K553" s="438"/>
      <c r="L553" s="437"/>
      <c r="M553" s="438"/>
      <c r="N553" s="437"/>
      <c r="O553" s="438"/>
      <c r="P553" s="437"/>
      <c r="Q553" s="438"/>
      <c r="R553" s="437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1"/>
      <c r="F554" s="1173"/>
      <c r="G554" s="1"/>
      <c r="H554" s="1173"/>
      <c r="I554" s="438"/>
      <c r="J554" s="437"/>
      <c r="K554" s="438"/>
      <c r="L554" s="437"/>
      <c r="M554" s="438"/>
      <c r="N554" s="437"/>
      <c r="O554" s="438"/>
      <c r="P554" s="437"/>
      <c r="Q554" s="438"/>
      <c r="R554" s="437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1"/>
      <c r="F555" s="1173"/>
      <c r="G555" s="1"/>
      <c r="H555" s="1173"/>
      <c r="I555" s="438"/>
      <c r="J555" s="437"/>
      <c r="K555" s="438"/>
      <c r="L555" s="437"/>
      <c r="M555" s="438"/>
      <c r="N555" s="437"/>
      <c r="O555" s="438"/>
      <c r="P555" s="437"/>
      <c r="Q555" s="438"/>
      <c r="R555" s="437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1"/>
      <c r="F556" s="1173"/>
      <c r="G556" s="1"/>
      <c r="H556" s="1173"/>
      <c r="I556" s="438"/>
      <c r="J556" s="437"/>
      <c r="K556" s="438"/>
      <c r="L556" s="437"/>
      <c r="M556" s="438"/>
      <c r="N556" s="437"/>
      <c r="O556" s="438"/>
      <c r="P556" s="437"/>
      <c r="Q556" s="438"/>
      <c r="R556" s="437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1"/>
      <c r="F557" s="1173"/>
      <c r="G557" s="1"/>
      <c r="H557" s="1173"/>
      <c r="I557" s="438"/>
      <c r="J557" s="437"/>
      <c r="K557" s="438"/>
      <c r="L557" s="437"/>
      <c r="M557" s="438"/>
      <c r="N557" s="437"/>
      <c r="O557" s="438"/>
      <c r="P557" s="437"/>
      <c r="Q557" s="438"/>
      <c r="R557" s="437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1"/>
      <c r="F558" s="1173"/>
      <c r="G558" s="1"/>
      <c r="H558" s="1173"/>
      <c r="I558" s="438"/>
      <c r="J558" s="437"/>
      <c r="K558" s="438"/>
      <c r="L558" s="437"/>
      <c r="M558" s="438"/>
      <c r="N558" s="437"/>
      <c r="O558" s="438"/>
      <c r="P558" s="437"/>
      <c r="Q558" s="438"/>
      <c r="R558" s="437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1"/>
      <c r="F559" s="1173"/>
      <c r="G559" s="1"/>
      <c r="H559" s="1173"/>
      <c r="I559" s="438"/>
      <c r="J559" s="437"/>
      <c r="K559" s="438"/>
      <c r="L559" s="437"/>
      <c r="M559" s="438"/>
      <c r="N559" s="437"/>
      <c r="O559" s="438"/>
      <c r="P559" s="437"/>
      <c r="Q559" s="438"/>
      <c r="R559" s="437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1"/>
      <c r="F560" s="1173"/>
      <c r="G560" s="1"/>
      <c r="H560" s="1173"/>
      <c r="I560" s="438"/>
      <c r="J560" s="437"/>
      <c r="K560" s="438"/>
      <c r="L560" s="437"/>
      <c r="M560" s="438"/>
      <c r="N560" s="437"/>
      <c r="O560" s="438"/>
      <c r="P560" s="437"/>
      <c r="Q560" s="438"/>
      <c r="R560" s="437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1"/>
      <c r="F561" s="1173"/>
      <c r="G561" s="1"/>
      <c r="H561" s="1173"/>
      <c r="I561" s="438"/>
      <c r="J561" s="437"/>
      <c r="K561" s="438"/>
      <c r="L561" s="437"/>
      <c r="M561" s="438"/>
      <c r="N561" s="437"/>
      <c r="O561" s="438"/>
      <c r="P561" s="437"/>
      <c r="Q561" s="438"/>
      <c r="R561" s="437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1"/>
      <c r="F562" s="1173"/>
      <c r="G562" s="1"/>
      <c r="H562" s="1173"/>
      <c r="I562" s="438"/>
      <c r="J562" s="437"/>
      <c r="K562" s="438"/>
      <c r="L562" s="437"/>
      <c r="M562" s="438"/>
      <c r="N562" s="437"/>
      <c r="O562" s="438"/>
      <c r="P562" s="437"/>
      <c r="Q562" s="438"/>
      <c r="R562" s="437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1"/>
      <c r="F563" s="1173"/>
      <c r="G563" s="1"/>
      <c r="H563" s="1173"/>
      <c r="I563" s="438"/>
      <c r="J563" s="437"/>
      <c r="K563" s="438"/>
      <c r="L563" s="437"/>
      <c r="M563" s="438"/>
      <c r="N563" s="437"/>
      <c r="O563" s="438"/>
      <c r="P563" s="437"/>
      <c r="Q563" s="438"/>
      <c r="R563" s="437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1"/>
      <c r="F564" s="1173"/>
      <c r="G564" s="1"/>
      <c r="H564" s="1173"/>
      <c r="I564" s="438"/>
      <c r="J564" s="437"/>
      <c r="K564" s="438"/>
      <c r="L564" s="437"/>
      <c r="M564" s="438"/>
      <c r="N564" s="437"/>
      <c r="O564" s="438"/>
      <c r="P564" s="437"/>
      <c r="Q564" s="438"/>
      <c r="R564" s="437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1"/>
      <c r="F565" s="1173"/>
      <c r="G565" s="1"/>
      <c r="H565" s="1173"/>
      <c r="I565" s="438"/>
      <c r="J565" s="437"/>
      <c r="K565" s="438"/>
      <c r="L565" s="437"/>
      <c r="M565" s="438"/>
      <c r="N565" s="437"/>
      <c r="O565" s="438"/>
      <c r="P565" s="437"/>
      <c r="Q565" s="438"/>
      <c r="R565" s="437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1"/>
      <c r="F566" s="1173"/>
      <c r="G566" s="1"/>
      <c r="H566" s="1173"/>
      <c r="I566" s="438"/>
      <c r="J566" s="437"/>
      <c r="K566" s="438"/>
      <c r="L566" s="437"/>
      <c r="M566" s="438"/>
      <c r="N566" s="437"/>
      <c r="O566" s="438"/>
      <c r="P566" s="437"/>
      <c r="Q566" s="438"/>
      <c r="R566" s="437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1"/>
      <c r="F567" s="1173"/>
      <c r="G567" s="1"/>
      <c r="H567" s="1173"/>
      <c r="I567" s="438"/>
      <c r="J567" s="437"/>
      <c r="K567" s="438"/>
      <c r="L567" s="437"/>
      <c r="M567" s="438"/>
      <c r="N567" s="437"/>
      <c r="O567" s="438"/>
      <c r="P567" s="437"/>
      <c r="Q567" s="438"/>
      <c r="R567" s="437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1"/>
      <c r="F568" s="1173"/>
      <c r="G568" s="1"/>
      <c r="H568" s="1173"/>
      <c r="I568" s="438"/>
      <c r="J568" s="437"/>
      <c r="K568" s="438"/>
      <c r="L568" s="437"/>
      <c r="M568" s="438"/>
      <c r="N568" s="437"/>
      <c r="O568" s="438"/>
      <c r="P568" s="437"/>
      <c r="Q568" s="438"/>
      <c r="R568" s="437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1"/>
      <c r="F569" s="1173"/>
      <c r="G569" s="1"/>
      <c r="H569" s="1173"/>
      <c r="I569" s="438"/>
      <c r="J569" s="437"/>
      <c r="K569" s="438"/>
      <c r="L569" s="437"/>
      <c r="M569" s="438"/>
      <c r="N569" s="437"/>
      <c r="O569" s="438"/>
      <c r="P569" s="437"/>
      <c r="Q569" s="438"/>
      <c r="R569" s="437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1"/>
      <c r="F570" s="1173"/>
      <c r="G570" s="1"/>
      <c r="H570" s="1173"/>
      <c r="I570" s="438"/>
      <c r="J570" s="437"/>
      <c r="K570" s="438"/>
      <c r="L570" s="437"/>
      <c r="M570" s="438"/>
      <c r="N570" s="437"/>
      <c r="O570" s="438"/>
      <c r="P570" s="437"/>
      <c r="Q570" s="438"/>
      <c r="R570" s="437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1"/>
      <c r="F571" s="1173"/>
      <c r="G571" s="1"/>
      <c r="H571" s="1173"/>
      <c r="I571" s="438"/>
      <c r="J571" s="437"/>
      <c r="K571" s="438"/>
      <c r="L571" s="437"/>
      <c r="M571" s="438"/>
      <c r="N571" s="437"/>
      <c r="O571" s="438"/>
      <c r="P571" s="437"/>
      <c r="Q571" s="438"/>
      <c r="R571" s="437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1"/>
      <c r="F572" s="1173"/>
      <c r="G572" s="1"/>
      <c r="H572" s="1173"/>
      <c r="I572" s="438"/>
      <c r="J572" s="437"/>
      <c r="K572" s="438"/>
      <c r="L572" s="437"/>
      <c r="M572" s="438"/>
      <c r="N572" s="437"/>
      <c r="O572" s="438"/>
      <c r="P572" s="437"/>
      <c r="Q572" s="438"/>
      <c r="R572" s="437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1"/>
      <c r="F573" s="1173"/>
      <c r="G573" s="1"/>
      <c r="H573" s="1173"/>
      <c r="I573" s="438"/>
      <c r="J573" s="437"/>
      <c r="K573" s="438"/>
      <c r="L573" s="437"/>
      <c r="M573" s="438"/>
      <c r="N573" s="437"/>
      <c r="O573" s="438"/>
      <c r="P573" s="437"/>
      <c r="Q573" s="438"/>
      <c r="R573" s="437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1"/>
      <c r="F574" s="1173"/>
      <c r="G574" s="1"/>
      <c r="H574" s="1173"/>
      <c r="I574" s="438"/>
      <c r="J574" s="437"/>
      <c r="K574" s="438"/>
      <c r="L574" s="437"/>
      <c r="M574" s="438"/>
      <c r="N574" s="437"/>
      <c r="O574" s="438"/>
      <c r="P574" s="437"/>
      <c r="Q574" s="438"/>
      <c r="R574" s="437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1"/>
      <c r="F575" s="1173"/>
      <c r="G575" s="1"/>
      <c r="H575" s="1173"/>
      <c r="I575" s="438"/>
      <c r="J575" s="437"/>
      <c r="K575" s="438"/>
      <c r="L575" s="437"/>
      <c r="M575" s="438"/>
      <c r="N575" s="437"/>
      <c r="O575" s="438"/>
      <c r="P575" s="437"/>
      <c r="Q575" s="438"/>
      <c r="R575" s="437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1"/>
      <c r="F576" s="1173"/>
      <c r="G576" s="1"/>
      <c r="H576" s="1173"/>
      <c r="I576" s="438"/>
      <c r="J576" s="437"/>
      <c r="K576" s="438"/>
      <c r="L576" s="437"/>
      <c r="M576" s="438"/>
      <c r="N576" s="437"/>
      <c r="O576" s="438"/>
      <c r="P576" s="437"/>
      <c r="Q576" s="438"/>
      <c r="R576" s="437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1"/>
      <c r="F577" s="1173"/>
      <c r="G577" s="1"/>
      <c r="H577" s="1173"/>
      <c r="I577" s="438"/>
      <c r="J577" s="437"/>
      <c r="K577" s="438"/>
      <c r="L577" s="437"/>
      <c r="M577" s="438"/>
      <c r="N577" s="437"/>
      <c r="O577" s="438"/>
      <c r="P577" s="437"/>
      <c r="Q577" s="438"/>
      <c r="R577" s="437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1"/>
      <c r="F578" s="1173"/>
      <c r="G578" s="1"/>
      <c r="H578" s="1173"/>
      <c r="I578" s="438"/>
      <c r="J578" s="437"/>
      <c r="K578" s="438"/>
      <c r="L578" s="437"/>
      <c r="M578" s="438"/>
      <c r="N578" s="437"/>
      <c r="O578" s="438"/>
      <c r="P578" s="437"/>
      <c r="Q578" s="438"/>
      <c r="R578" s="437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1"/>
      <c r="F579" s="1173"/>
      <c r="G579" s="1"/>
      <c r="H579" s="1173"/>
      <c r="I579" s="438"/>
      <c r="J579" s="437"/>
      <c r="K579" s="438"/>
      <c r="L579" s="437"/>
      <c r="M579" s="438"/>
      <c r="N579" s="437"/>
      <c r="O579" s="438"/>
      <c r="P579" s="437"/>
      <c r="Q579" s="438"/>
      <c r="R579" s="437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1"/>
      <c r="F580" s="1173"/>
      <c r="G580" s="1"/>
      <c r="H580" s="1173"/>
      <c r="I580" s="438"/>
      <c r="J580" s="437"/>
      <c r="K580" s="438"/>
      <c r="L580" s="437"/>
      <c r="M580" s="438"/>
      <c r="N580" s="437"/>
      <c r="O580" s="438"/>
      <c r="P580" s="437"/>
      <c r="Q580" s="438"/>
      <c r="R580" s="437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1"/>
      <c r="F581" s="1173"/>
      <c r="G581" s="1"/>
      <c r="H581" s="1173"/>
      <c r="I581" s="438"/>
      <c r="J581" s="437"/>
      <c r="K581" s="438"/>
      <c r="L581" s="437"/>
      <c r="M581" s="438"/>
      <c r="N581" s="437"/>
      <c r="O581" s="438"/>
      <c r="P581" s="437"/>
      <c r="Q581" s="438"/>
      <c r="R581" s="437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1"/>
      <c r="F582" s="1173"/>
      <c r="G582" s="1"/>
      <c r="H582" s="1173"/>
      <c r="I582" s="438"/>
      <c r="J582" s="437"/>
      <c r="K582" s="438"/>
      <c r="L582" s="437"/>
      <c r="M582" s="438"/>
      <c r="N582" s="437"/>
      <c r="O582" s="438"/>
      <c r="P582" s="437"/>
      <c r="Q582" s="438"/>
      <c r="R582" s="437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1"/>
      <c r="F583" s="1173"/>
      <c r="G583" s="1"/>
      <c r="H583" s="1173"/>
      <c r="I583" s="438"/>
      <c r="J583" s="437"/>
      <c r="K583" s="438"/>
      <c r="L583" s="437"/>
      <c r="M583" s="438"/>
      <c r="N583" s="437"/>
      <c r="O583" s="438"/>
      <c r="P583" s="437"/>
      <c r="Q583" s="438"/>
      <c r="R583" s="437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1"/>
      <c r="F584" s="1173"/>
      <c r="G584" s="1"/>
      <c r="H584" s="1173"/>
      <c r="I584" s="438"/>
      <c r="J584" s="437"/>
      <c r="K584" s="438"/>
      <c r="L584" s="437"/>
      <c r="M584" s="438"/>
      <c r="N584" s="437"/>
      <c r="O584" s="438"/>
      <c r="P584" s="437"/>
      <c r="Q584" s="438"/>
      <c r="R584" s="437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1"/>
      <c r="F585" s="1173"/>
      <c r="G585" s="1"/>
      <c r="H585" s="1173"/>
      <c r="I585" s="438"/>
      <c r="J585" s="437"/>
      <c r="K585" s="438"/>
      <c r="L585" s="437"/>
      <c r="M585" s="438"/>
      <c r="N585" s="437"/>
      <c r="O585" s="438"/>
      <c r="P585" s="437"/>
      <c r="Q585" s="438"/>
      <c r="R585" s="437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1"/>
      <c r="F586" s="1173"/>
      <c r="G586" s="1"/>
      <c r="H586" s="1173"/>
      <c r="I586" s="438"/>
      <c r="J586" s="437"/>
      <c r="K586" s="438"/>
      <c r="L586" s="437"/>
      <c r="M586" s="438"/>
      <c r="N586" s="437"/>
      <c r="O586" s="438"/>
      <c r="P586" s="437"/>
      <c r="Q586" s="438"/>
      <c r="R586" s="437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1"/>
      <c r="F587" s="1173"/>
      <c r="G587" s="1"/>
      <c r="H587" s="1173"/>
      <c r="I587" s="438"/>
      <c r="J587" s="437"/>
      <c r="K587" s="438"/>
      <c r="L587" s="437"/>
      <c r="M587" s="438"/>
      <c r="N587" s="437"/>
      <c r="O587" s="438"/>
      <c r="P587" s="437"/>
      <c r="Q587" s="438"/>
      <c r="R587" s="437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1"/>
      <c r="F588" s="1173"/>
      <c r="G588" s="1"/>
      <c r="H588" s="1173"/>
      <c r="I588" s="438"/>
      <c r="J588" s="437"/>
      <c r="K588" s="438"/>
      <c r="L588" s="437"/>
      <c r="M588" s="438"/>
      <c r="N588" s="437"/>
      <c r="O588" s="438"/>
      <c r="P588" s="437"/>
      <c r="Q588" s="438"/>
      <c r="R588" s="437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1"/>
      <c r="F589" s="1173"/>
      <c r="G589" s="1"/>
      <c r="H589" s="1173"/>
      <c r="I589" s="438"/>
      <c r="J589" s="437"/>
      <c r="K589" s="438"/>
      <c r="L589" s="437"/>
      <c r="M589" s="438"/>
      <c r="N589" s="437"/>
      <c r="O589" s="438"/>
      <c r="P589" s="437"/>
      <c r="Q589" s="438"/>
      <c r="R589" s="437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1"/>
      <c r="F590" s="1173"/>
      <c r="G590" s="1"/>
      <c r="H590" s="1173"/>
      <c r="I590" s="438"/>
      <c r="J590" s="437"/>
      <c r="K590" s="438"/>
      <c r="L590" s="437"/>
      <c r="M590" s="438"/>
      <c r="N590" s="437"/>
      <c r="O590" s="438"/>
      <c r="P590" s="437"/>
      <c r="Q590" s="438"/>
      <c r="R590" s="437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1"/>
      <c r="F591" s="1173"/>
      <c r="G591" s="1"/>
      <c r="H591" s="1173"/>
      <c r="I591" s="438"/>
      <c r="J591" s="437"/>
      <c r="K591" s="438"/>
      <c r="L591" s="437"/>
      <c r="M591" s="438"/>
      <c r="N591" s="437"/>
      <c r="O591" s="438"/>
      <c r="P591" s="437"/>
      <c r="Q591" s="438"/>
      <c r="R591" s="437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1"/>
      <c r="F592" s="1173"/>
      <c r="G592" s="1"/>
      <c r="H592" s="1173"/>
      <c r="I592" s="438"/>
      <c r="J592" s="437"/>
      <c r="K592" s="438"/>
      <c r="L592" s="437"/>
      <c r="M592" s="438"/>
      <c r="N592" s="437"/>
      <c r="O592" s="438"/>
      <c r="P592" s="437"/>
      <c r="Q592" s="438"/>
      <c r="R592" s="437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1"/>
      <c r="F593" s="1173"/>
      <c r="G593" s="1"/>
      <c r="H593" s="1173"/>
      <c r="I593" s="438"/>
      <c r="J593" s="437"/>
      <c r="K593" s="438"/>
      <c r="L593" s="437"/>
      <c r="M593" s="438"/>
      <c r="N593" s="437"/>
      <c r="O593" s="438"/>
      <c r="P593" s="437"/>
      <c r="Q593" s="438"/>
      <c r="R593" s="437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1"/>
      <c r="F594" s="1173"/>
      <c r="G594" s="1"/>
      <c r="H594" s="1173"/>
      <c r="I594" s="438"/>
      <c r="J594" s="437"/>
      <c r="K594" s="438"/>
      <c r="L594" s="437"/>
      <c r="M594" s="438"/>
      <c r="N594" s="437"/>
      <c r="O594" s="438"/>
      <c r="P594" s="437"/>
      <c r="Q594" s="438"/>
      <c r="R594" s="437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1"/>
      <c r="F595" s="1173"/>
      <c r="G595" s="1"/>
      <c r="H595" s="1173"/>
      <c r="I595" s="438"/>
      <c r="J595" s="437"/>
      <c r="K595" s="438"/>
      <c r="L595" s="437"/>
      <c r="M595" s="438"/>
      <c r="N595" s="437"/>
      <c r="O595" s="438"/>
      <c r="P595" s="437"/>
      <c r="Q595" s="438"/>
      <c r="R595" s="437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1"/>
      <c r="F596" s="1173"/>
      <c r="G596" s="1"/>
      <c r="H596" s="1173"/>
      <c r="I596" s="438"/>
      <c r="J596" s="437"/>
      <c r="K596" s="438"/>
      <c r="L596" s="437"/>
      <c r="M596" s="438"/>
      <c r="N596" s="437"/>
      <c r="O596" s="438"/>
      <c r="P596" s="437"/>
      <c r="Q596" s="438"/>
      <c r="R596" s="437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1"/>
      <c r="F597" s="1173"/>
      <c r="G597" s="1"/>
      <c r="H597" s="1173"/>
      <c r="I597" s="438"/>
      <c r="J597" s="437"/>
      <c r="K597" s="438"/>
      <c r="L597" s="437"/>
      <c r="M597" s="438"/>
      <c r="N597" s="437"/>
      <c r="O597" s="438"/>
      <c r="P597" s="437"/>
      <c r="Q597" s="438"/>
      <c r="R597" s="437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1"/>
      <c r="F598" s="1173"/>
      <c r="G598" s="1"/>
      <c r="H598" s="1173"/>
      <c r="I598" s="438"/>
      <c r="J598" s="437"/>
      <c r="K598" s="438"/>
      <c r="L598" s="437"/>
      <c r="M598" s="438"/>
      <c r="N598" s="437"/>
      <c r="O598" s="438"/>
      <c r="P598" s="437"/>
      <c r="Q598" s="438"/>
      <c r="R598" s="437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1"/>
      <c r="F599" s="1173"/>
      <c r="G599" s="1"/>
      <c r="H599" s="1173"/>
      <c r="I599" s="438"/>
      <c r="J599" s="437"/>
      <c r="K599" s="438"/>
      <c r="L599" s="437"/>
      <c r="M599" s="438"/>
      <c r="N599" s="437"/>
      <c r="O599" s="438"/>
      <c r="P599" s="437"/>
      <c r="Q599" s="438"/>
      <c r="R599" s="437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1"/>
      <c r="F600" s="1173"/>
      <c r="G600" s="1"/>
      <c r="H600" s="1173"/>
      <c r="I600" s="438"/>
      <c r="J600" s="437"/>
      <c r="K600" s="438"/>
      <c r="L600" s="437"/>
      <c r="M600" s="438"/>
      <c r="N600" s="437"/>
      <c r="O600" s="438"/>
      <c r="P600" s="437"/>
      <c r="Q600" s="438"/>
      <c r="R600" s="437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1"/>
      <c r="F601" s="1173"/>
      <c r="G601" s="1"/>
      <c r="H601" s="1173"/>
      <c r="I601" s="438"/>
      <c r="J601" s="437"/>
      <c r="K601" s="438"/>
      <c r="L601" s="437"/>
      <c r="M601" s="438"/>
      <c r="N601" s="437"/>
      <c r="O601" s="438"/>
      <c r="P601" s="437"/>
      <c r="Q601" s="438"/>
      <c r="R601" s="437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1"/>
      <c r="F602" s="1173"/>
      <c r="G602" s="1"/>
      <c r="H602" s="1173"/>
      <c r="I602" s="438"/>
      <c r="J602" s="437"/>
      <c r="K602" s="438"/>
      <c r="L602" s="437"/>
      <c r="M602" s="438"/>
      <c r="N602" s="437"/>
      <c r="O602" s="438"/>
      <c r="P602" s="437"/>
      <c r="Q602" s="438"/>
      <c r="R602" s="437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1"/>
      <c r="F603" s="1173"/>
      <c r="G603" s="1"/>
      <c r="H603" s="1173"/>
      <c r="I603" s="438"/>
      <c r="J603" s="437"/>
      <c r="K603" s="438"/>
      <c r="L603" s="437"/>
      <c r="M603" s="438"/>
      <c r="N603" s="437"/>
      <c r="O603" s="438"/>
      <c r="P603" s="437"/>
      <c r="Q603" s="438"/>
      <c r="R603" s="437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1"/>
      <c r="F604" s="1173"/>
      <c r="G604" s="1"/>
      <c r="H604" s="1173"/>
      <c r="I604" s="438"/>
      <c r="J604" s="437"/>
      <c r="K604" s="438"/>
      <c r="L604" s="437"/>
      <c r="M604" s="438"/>
      <c r="N604" s="437"/>
      <c r="O604" s="438"/>
      <c r="P604" s="437"/>
      <c r="Q604" s="438"/>
      <c r="R604" s="437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1"/>
      <c r="F605" s="1173"/>
      <c r="G605" s="1"/>
      <c r="H605" s="1173"/>
      <c r="I605" s="438"/>
      <c r="J605" s="437"/>
      <c r="K605" s="438"/>
      <c r="L605" s="437"/>
      <c r="M605" s="438"/>
      <c r="N605" s="437"/>
      <c r="O605" s="438"/>
      <c r="P605" s="437"/>
      <c r="Q605" s="438"/>
      <c r="R605" s="437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1"/>
      <c r="F606" s="1173"/>
      <c r="G606" s="1"/>
      <c r="H606" s="1173"/>
      <c r="I606" s="438"/>
      <c r="J606" s="437"/>
      <c r="K606" s="438"/>
      <c r="L606" s="437"/>
      <c r="M606" s="438"/>
      <c r="N606" s="437"/>
      <c r="O606" s="438"/>
      <c r="P606" s="437"/>
      <c r="Q606" s="438"/>
      <c r="R606" s="437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1"/>
      <c r="F607" s="1173"/>
      <c r="G607" s="1"/>
      <c r="H607" s="1173"/>
      <c r="I607" s="438"/>
      <c r="J607" s="437"/>
      <c r="K607" s="438"/>
      <c r="L607" s="437"/>
      <c r="M607" s="438"/>
      <c r="N607" s="437"/>
      <c r="O607" s="438"/>
      <c r="P607" s="437"/>
      <c r="Q607" s="438"/>
      <c r="R607" s="437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1"/>
      <c r="F608" s="1173"/>
      <c r="G608" s="1"/>
      <c r="H608" s="1173"/>
      <c r="I608" s="438"/>
      <c r="J608" s="437"/>
      <c r="K608" s="438"/>
      <c r="L608" s="437"/>
      <c r="M608" s="438"/>
      <c r="N608" s="437"/>
      <c r="O608" s="438"/>
      <c r="P608" s="437"/>
      <c r="Q608" s="438"/>
      <c r="R608" s="437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1"/>
      <c r="F609" s="1173"/>
      <c r="G609" s="1"/>
      <c r="H609" s="1173"/>
      <c r="I609" s="438"/>
      <c r="J609" s="437"/>
      <c r="K609" s="438"/>
      <c r="L609" s="437"/>
      <c r="M609" s="438"/>
      <c r="N609" s="437"/>
      <c r="O609" s="438"/>
      <c r="P609" s="437"/>
      <c r="Q609" s="438"/>
      <c r="R609" s="437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1"/>
      <c r="F610" s="1173"/>
      <c r="G610" s="1"/>
      <c r="H610" s="1173"/>
      <c r="I610" s="438"/>
      <c r="J610" s="437"/>
      <c r="K610" s="438"/>
      <c r="L610" s="437"/>
      <c r="M610" s="438"/>
      <c r="N610" s="437"/>
      <c r="O610" s="438"/>
      <c r="P610" s="437"/>
      <c r="Q610" s="438"/>
      <c r="R610" s="437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1"/>
      <c r="F611" s="1173"/>
      <c r="G611" s="1"/>
      <c r="H611" s="1173"/>
      <c r="I611" s="438"/>
      <c r="J611" s="437"/>
      <c r="K611" s="438"/>
      <c r="L611" s="437"/>
      <c r="M611" s="438"/>
      <c r="N611" s="437"/>
      <c r="O611" s="438"/>
      <c r="P611" s="437"/>
      <c r="Q611" s="438"/>
      <c r="R611" s="437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1"/>
      <c r="F612" s="1173"/>
      <c r="G612" s="1"/>
      <c r="H612" s="1173"/>
      <c r="I612" s="438"/>
      <c r="J612" s="437"/>
      <c r="K612" s="438"/>
      <c r="L612" s="437"/>
      <c r="M612" s="438"/>
      <c r="N612" s="437"/>
      <c r="O612" s="438"/>
      <c r="P612" s="437"/>
      <c r="Q612" s="438"/>
      <c r="R612" s="437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1"/>
      <c r="F613" s="1173"/>
      <c r="G613" s="1"/>
      <c r="H613" s="1173"/>
      <c r="I613" s="438"/>
      <c r="J613" s="437"/>
      <c r="K613" s="438"/>
      <c r="L613" s="437"/>
      <c r="M613" s="438"/>
      <c r="N613" s="437"/>
      <c r="O613" s="438"/>
      <c r="P613" s="437"/>
      <c r="Q613" s="438"/>
      <c r="R613" s="437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1"/>
      <c r="F614" s="1173"/>
      <c r="G614" s="1"/>
      <c r="H614" s="1173"/>
      <c r="I614" s="438"/>
      <c r="J614" s="437"/>
      <c r="K614" s="438"/>
      <c r="L614" s="437"/>
      <c r="M614" s="438"/>
      <c r="N614" s="437"/>
      <c r="O614" s="438"/>
      <c r="P614" s="437"/>
      <c r="Q614" s="438"/>
      <c r="R614" s="437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1"/>
      <c r="F615" s="1173"/>
      <c r="G615" s="1"/>
      <c r="H615" s="1173"/>
      <c r="I615" s="438"/>
      <c r="J615" s="437"/>
      <c r="K615" s="438"/>
      <c r="L615" s="437"/>
      <c r="M615" s="438"/>
      <c r="N615" s="437"/>
      <c r="O615" s="438"/>
      <c r="P615" s="437"/>
      <c r="Q615" s="438"/>
      <c r="R615" s="437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1"/>
      <c r="F616" s="1173"/>
      <c r="G616" s="1"/>
      <c r="H616" s="1173"/>
      <c r="I616" s="438"/>
      <c r="J616" s="437"/>
      <c r="K616" s="438"/>
      <c r="L616" s="437"/>
      <c r="M616" s="438"/>
      <c r="N616" s="437"/>
      <c r="O616" s="438"/>
      <c r="P616" s="437"/>
      <c r="Q616" s="438"/>
      <c r="R616" s="437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1"/>
      <c r="F617" s="1173"/>
      <c r="G617" s="1"/>
      <c r="H617" s="1173"/>
      <c r="I617" s="438"/>
      <c r="J617" s="437"/>
      <c r="K617" s="438"/>
      <c r="L617" s="437"/>
      <c r="M617" s="438"/>
      <c r="N617" s="437"/>
      <c r="O617" s="438"/>
      <c r="P617" s="437"/>
      <c r="Q617" s="438"/>
      <c r="R617" s="437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1"/>
      <c r="F618" s="1173"/>
      <c r="G618" s="1"/>
      <c r="H618" s="1173"/>
      <c r="I618" s="438"/>
      <c r="J618" s="437"/>
      <c r="K618" s="438"/>
      <c r="L618" s="437"/>
      <c r="M618" s="438"/>
      <c r="N618" s="437"/>
      <c r="O618" s="438"/>
      <c r="P618" s="437"/>
      <c r="Q618" s="438"/>
      <c r="R618" s="437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1"/>
      <c r="F619" s="1173"/>
      <c r="G619" s="1"/>
      <c r="H619" s="1173"/>
      <c r="I619" s="438"/>
      <c r="J619" s="437"/>
      <c r="K619" s="438"/>
      <c r="L619" s="437"/>
      <c r="M619" s="438"/>
      <c r="N619" s="437"/>
      <c r="O619" s="438"/>
      <c r="P619" s="437"/>
      <c r="Q619" s="438"/>
      <c r="R619" s="437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1"/>
      <c r="F620" s="1173"/>
      <c r="G620" s="1"/>
      <c r="H620" s="1173"/>
      <c r="I620" s="438"/>
      <c r="J620" s="437"/>
      <c r="K620" s="438"/>
      <c r="L620" s="437"/>
      <c r="M620" s="438"/>
      <c r="N620" s="437"/>
      <c r="O620" s="438"/>
      <c r="P620" s="437"/>
      <c r="Q620" s="438"/>
      <c r="R620" s="437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1"/>
      <c r="F621" s="1173"/>
      <c r="G621" s="1"/>
      <c r="H621" s="1173"/>
      <c r="I621" s="438"/>
      <c r="J621" s="437"/>
      <c r="K621" s="438"/>
      <c r="L621" s="437"/>
      <c r="M621" s="438"/>
      <c r="N621" s="437"/>
      <c r="O621" s="438"/>
      <c r="P621" s="437"/>
      <c r="Q621" s="438"/>
      <c r="R621" s="437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1"/>
      <c r="F622" s="1173"/>
      <c r="G622" s="1"/>
      <c r="H622" s="1173"/>
      <c r="I622" s="438"/>
      <c r="J622" s="437"/>
      <c r="K622" s="438"/>
      <c r="L622" s="437"/>
      <c r="M622" s="438"/>
      <c r="N622" s="437"/>
      <c r="O622" s="438"/>
      <c r="P622" s="437"/>
      <c r="Q622" s="438"/>
      <c r="R622" s="437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1"/>
      <c r="F623" s="1173"/>
      <c r="G623" s="1"/>
      <c r="H623" s="1173"/>
      <c r="I623" s="438"/>
      <c r="J623" s="437"/>
      <c r="K623" s="438"/>
      <c r="L623" s="437"/>
      <c r="M623" s="438"/>
      <c r="N623" s="437"/>
      <c r="O623" s="438"/>
      <c r="P623" s="437"/>
      <c r="Q623" s="438"/>
      <c r="R623" s="437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1"/>
      <c r="F624" s="1173"/>
      <c r="G624" s="1"/>
      <c r="H624" s="1173"/>
      <c r="I624" s="438"/>
      <c r="J624" s="437"/>
      <c r="K624" s="438"/>
      <c r="L624" s="437"/>
      <c r="M624" s="438"/>
      <c r="N624" s="437"/>
      <c r="O624" s="438"/>
      <c r="P624" s="437"/>
      <c r="Q624" s="438"/>
      <c r="R624" s="437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1"/>
      <c r="F625" s="1173"/>
      <c r="G625" s="1"/>
      <c r="H625" s="1173"/>
      <c r="I625" s="438"/>
      <c r="J625" s="437"/>
      <c r="K625" s="438"/>
      <c r="L625" s="437"/>
      <c r="M625" s="438"/>
      <c r="N625" s="437"/>
      <c r="O625" s="438"/>
      <c r="P625" s="437"/>
      <c r="Q625" s="438"/>
      <c r="R625" s="437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1"/>
      <c r="F626" s="1173"/>
      <c r="G626" s="1"/>
      <c r="H626" s="1173"/>
      <c r="I626" s="438"/>
      <c r="J626" s="437"/>
      <c r="K626" s="438"/>
      <c r="L626" s="437"/>
      <c r="M626" s="438"/>
      <c r="N626" s="437"/>
      <c r="O626" s="438"/>
      <c r="P626" s="437"/>
      <c r="Q626" s="438"/>
      <c r="R626" s="437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1"/>
      <c r="F627" s="1173"/>
      <c r="G627" s="1"/>
      <c r="H627" s="1173"/>
      <c r="I627" s="438"/>
      <c r="J627" s="437"/>
      <c r="K627" s="438"/>
      <c r="L627" s="437"/>
      <c r="M627" s="438"/>
      <c r="N627" s="437"/>
      <c r="O627" s="438"/>
      <c r="P627" s="437"/>
      <c r="Q627" s="438"/>
      <c r="R627" s="437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1"/>
      <c r="F628" s="1173"/>
      <c r="G628" s="1"/>
      <c r="H628" s="1173"/>
      <c r="I628" s="438"/>
      <c r="J628" s="437"/>
      <c r="K628" s="438"/>
      <c r="L628" s="437"/>
      <c r="M628" s="438"/>
      <c r="N628" s="437"/>
      <c r="O628" s="438"/>
      <c r="P628" s="437"/>
      <c r="Q628" s="438"/>
      <c r="R628" s="437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1"/>
      <c r="F629" s="1173"/>
      <c r="G629" s="1"/>
      <c r="H629" s="1173"/>
      <c r="I629" s="438"/>
      <c r="J629" s="437"/>
      <c r="K629" s="438"/>
      <c r="L629" s="437"/>
      <c r="M629" s="438"/>
      <c r="N629" s="437"/>
      <c r="O629" s="438"/>
      <c r="P629" s="437"/>
      <c r="Q629" s="438"/>
      <c r="R629" s="437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1"/>
      <c r="F630" s="1173"/>
      <c r="G630" s="1"/>
      <c r="H630" s="1173"/>
      <c r="I630" s="438"/>
      <c r="J630" s="437"/>
      <c r="K630" s="438"/>
      <c r="L630" s="437"/>
      <c r="M630" s="438"/>
      <c r="N630" s="437"/>
      <c r="O630" s="438"/>
      <c r="P630" s="437"/>
      <c r="Q630" s="438"/>
      <c r="R630" s="437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1"/>
      <c r="F631" s="1173"/>
      <c r="G631" s="1"/>
      <c r="H631" s="1173"/>
      <c r="I631" s="438"/>
      <c r="J631" s="437"/>
      <c r="K631" s="438"/>
      <c r="L631" s="437"/>
      <c r="M631" s="438"/>
      <c r="N631" s="437"/>
      <c r="O631" s="438"/>
      <c r="P631" s="437"/>
      <c r="Q631" s="438"/>
      <c r="R631" s="437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1"/>
      <c r="F632" s="1173"/>
      <c r="G632" s="1"/>
      <c r="H632" s="1173"/>
      <c r="I632" s="438"/>
      <c r="J632" s="437"/>
      <c r="K632" s="438"/>
      <c r="L632" s="437"/>
      <c r="M632" s="438"/>
      <c r="N632" s="437"/>
      <c r="O632" s="438"/>
      <c r="P632" s="437"/>
      <c r="Q632" s="438"/>
      <c r="R632" s="437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1"/>
      <c r="F633" s="1173"/>
      <c r="G633" s="1"/>
      <c r="H633" s="1173"/>
      <c r="I633" s="438"/>
      <c r="J633" s="437"/>
      <c r="K633" s="438"/>
      <c r="L633" s="437"/>
      <c r="M633" s="438"/>
      <c r="N633" s="437"/>
      <c r="O633" s="438"/>
      <c r="P633" s="437"/>
      <c r="Q633" s="438"/>
      <c r="R633" s="437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1"/>
      <c r="F634" s="1173"/>
      <c r="G634" s="1"/>
      <c r="H634" s="1173"/>
      <c r="I634" s="438"/>
      <c r="J634" s="437"/>
      <c r="K634" s="438"/>
      <c r="L634" s="437"/>
      <c r="M634" s="438"/>
      <c r="N634" s="437"/>
      <c r="O634" s="438"/>
      <c r="P634" s="437"/>
      <c r="Q634" s="438"/>
      <c r="R634" s="437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1"/>
      <c r="F635" s="1173"/>
      <c r="G635" s="1"/>
      <c r="H635" s="1173"/>
      <c r="I635" s="438"/>
      <c r="J635" s="437"/>
      <c r="K635" s="438"/>
      <c r="L635" s="437"/>
      <c r="M635" s="438"/>
      <c r="N635" s="437"/>
      <c r="O635" s="438"/>
      <c r="P635" s="437"/>
      <c r="Q635" s="438"/>
      <c r="R635" s="437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1"/>
      <c r="F636" s="1173"/>
      <c r="G636" s="1"/>
      <c r="H636" s="1173"/>
      <c r="I636" s="438"/>
      <c r="J636" s="437"/>
      <c r="K636" s="438"/>
      <c r="L636" s="437"/>
      <c r="M636" s="438"/>
      <c r="N636" s="437"/>
      <c r="O636" s="438"/>
      <c r="P636" s="437"/>
      <c r="Q636" s="438"/>
      <c r="R636" s="437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1"/>
      <c r="F637" s="1173"/>
      <c r="G637" s="1"/>
      <c r="H637" s="1173"/>
      <c r="I637" s="438"/>
      <c r="J637" s="437"/>
      <c r="K637" s="438"/>
      <c r="L637" s="437"/>
      <c r="M637" s="438"/>
      <c r="N637" s="437"/>
      <c r="O637" s="438"/>
      <c r="P637" s="437"/>
      <c r="Q637" s="438"/>
      <c r="R637" s="437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1"/>
      <c r="F638" s="1173"/>
      <c r="G638" s="1"/>
      <c r="H638" s="1173"/>
      <c r="I638" s="438"/>
      <c r="J638" s="437"/>
      <c r="K638" s="438"/>
      <c r="L638" s="437"/>
      <c r="M638" s="438"/>
      <c r="N638" s="437"/>
      <c r="O638" s="438"/>
      <c r="P638" s="437"/>
      <c r="Q638" s="438"/>
      <c r="R638" s="437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1"/>
      <c r="F639" s="1173"/>
      <c r="G639" s="1"/>
      <c r="H639" s="1173"/>
      <c r="I639" s="438"/>
      <c r="J639" s="437"/>
      <c r="K639" s="438"/>
      <c r="L639" s="437"/>
      <c r="M639" s="438"/>
      <c r="N639" s="437"/>
      <c r="O639" s="438"/>
      <c r="P639" s="437"/>
      <c r="Q639" s="438"/>
      <c r="R639" s="437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1"/>
      <c r="F640" s="1173"/>
      <c r="G640" s="1"/>
      <c r="H640" s="1173"/>
      <c r="I640" s="438"/>
      <c r="J640" s="437"/>
      <c r="K640" s="438"/>
      <c r="L640" s="437"/>
      <c r="M640" s="438"/>
      <c r="N640" s="437"/>
      <c r="O640" s="438"/>
      <c r="P640" s="437"/>
      <c r="Q640" s="438"/>
      <c r="R640" s="437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1"/>
      <c r="F641" s="1173"/>
      <c r="G641" s="1"/>
      <c r="H641" s="1173"/>
      <c r="I641" s="438"/>
      <c r="J641" s="437"/>
      <c r="K641" s="438"/>
      <c r="L641" s="437"/>
      <c r="M641" s="438"/>
      <c r="N641" s="437"/>
      <c r="O641" s="438"/>
      <c r="P641" s="437"/>
      <c r="Q641" s="438"/>
      <c r="R641" s="437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1"/>
      <c r="F642" s="1173"/>
      <c r="G642" s="1"/>
      <c r="H642" s="1173"/>
      <c r="I642" s="438"/>
      <c r="J642" s="437"/>
      <c r="K642" s="438"/>
      <c r="L642" s="437"/>
      <c r="M642" s="438"/>
      <c r="N642" s="437"/>
      <c r="O642" s="438"/>
      <c r="P642" s="437"/>
      <c r="Q642" s="438"/>
      <c r="R642" s="437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1"/>
      <c r="F643" s="1173"/>
      <c r="G643" s="1"/>
      <c r="H643" s="1173"/>
      <c r="I643" s="438"/>
      <c r="J643" s="437"/>
      <c r="K643" s="438"/>
      <c r="L643" s="437"/>
      <c r="M643" s="438"/>
      <c r="N643" s="437"/>
      <c r="O643" s="438"/>
      <c r="P643" s="437"/>
      <c r="Q643" s="438"/>
      <c r="R643" s="437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1"/>
      <c r="F644" s="1173"/>
      <c r="G644" s="1"/>
      <c r="H644" s="1173"/>
      <c r="I644" s="438"/>
      <c r="J644" s="437"/>
      <c r="K644" s="438"/>
      <c r="L644" s="437"/>
      <c r="M644" s="438"/>
      <c r="N644" s="437"/>
      <c r="O644" s="438"/>
      <c r="P644" s="437"/>
      <c r="Q644" s="438"/>
      <c r="R644" s="437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1"/>
      <c r="F645" s="1173"/>
      <c r="G645" s="1"/>
      <c r="H645" s="1173"/>
      <c r="I645" s="438"/>
      <c r="J645" s="437"/>
      <c r="K645" s="438"/>
      <c r="L645" s="437"/>
      <c r="M645" s="438"/>
      <c r="N645" s="437"/>
      <c r="O645" s="438"/>
      <c r="P645" s="437"/>
      <c r="Q645" s="438"/>
      <c r="R645" s="437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1"/>
      <c r="F646" s="1173"/>
      <c r="G646" s="1"/>
      <c r="H646" s="1173"/>
      <c r="I646" s="438"/>
      <c r="J646" s="437"/>
      <c r="K646" s="438"/>
      <c r="L646" s="437"/>
      <c r="M646" s="438"/>
      <c r="N646" s="437"/>
      <c r="O646" s="438"/>
      <c r="P646" s="437"/>
      <c r="Q646" s="438"/>
      <c r="R646" s="437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1"/>
      <c r="F647" s="1173"/>
      <c r="G647" s="1"/>
      <c r="H647" s="1173"/>
      <c r="I647" s="438"/>
      <c r="J647" s="437"/>
      <c r="K647" s="438"/>
      <c r="L647" s="437"/>
      <c r="M647" s="438"/>
      <c r="N647" s="437"/>
      <c r="O647" s="438"/>
      <c r="P647" s="437"/>
      <c r="Q647" s="438"/>
      <c r="R647" s="437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1"/>
      <c r="F648" s="1173"/>
      <c r="G648" s="1"/>
      <c r="H648" s="1173"/>
      <c r="I648" s="438"/>
      <c r="J648" s="437"/>
      <c r="K648" s="438"/>
      <c r="L648" s="437"/>
      <c r="M648" s="438"/>
      <c r="N648" s="437"/>
      <c r="O648" s="438"/>
      <c r="P648" s="437"/>
      <c r="Q648" s="438"/>
      <c r="R648" s="437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1"/>
      <c r="F649" s="1173"/>
      <c r="G649" s="1"/>
      <c r="H649" s="1173"/>
      <c r="I649" s="438"/>
      <c r="J649" s="437"/>
      <c r="K649" s="438"/>
      <c r="L649" s="437"/>
      <c r="M649" s="438"/>
      <c r="N649" s="437"/>
      <c r="O649" s="438"/>
      <c r="P649" s="437"/>
      <c r="Q649" s="438"/>
      <c r="R649" s="437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1"/>
      <c r="F650" s="1173"/>
      <c r="G650" s="1"/>
      <c r="H650" s="1173"/>
      <c r="I650" s="438"/>
      <c r="J650" s="437"/>
      <c r="K650" s="438"/>
      <c r="L650" s="437"/>
      <c r="M650" s="438"/>
      <c r="N650" s="437"/>
      <c r="O650" s="438"/>
      <c r="P650" s="437"/>
      <c r="Q650" s="438"/>
      <c r="R650" s="437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1"/>
      <c r="F651" s="1173"/>
      <c r="G651" s="1"/>
      <c r="H651" s="1173"/>
      <c r="I651" s="438"/>
      <c r="J651" s="437"/>
      <c r="K651" s="438"/>
      <c r="L651" s="437"/>
      <c r="M651" s="438"/>
      <c r="N651" s="437"/>
      <c r="O651" s="438"/>
      <c r="P651" s="437"/>
      <c r="Q651" s="438"/>
      <c r="R651" s="437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1"/>
      <c r="F652" s="1173"/>
      <c r="G652" s="1"/>
      <c r="H652" s="1173"/>
      <c r="I652" s="438"/>
      <c r="J652" s="437"/>
      <c r="K652" s="438"/>
      <c r="L652" s="437"/>
      <c r="M652" s="438"/>
      <c r="N652" s="437"/>
      <c r="O652" s="438"/>
      <c r="P652" s="437"/>
      <c r="Q652" s="438"/>
      <c r="R652" s="437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1"/>
      <c r="F653" s="1173"/>
      <c r="G653" s="1"/>
      <c r="H653" s="1173"/>
      <c r="I653" s="438"/>
      <c r="J653" s="437"/>
      <c r="K653" s="438"/>
      <c r="L653" s="437"/>
      <c r="M653" s="438"/>
      <c r="N653" s="437"/>
      <c r="O653" s="438"/>
      <c r="P653" s="437"/>
      <c r="Q653" s="438"/>
      <c r="R653" s="437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1"/>
      <c r="F654" s="1173"/>
      <c r="G654" s="1"/>
      <c r="H654" s="1173"/>
      <c r="I654" s="438"/>
      <c r="J654" s="437"/>
      <c r="K654" s="438"/>
      <c r="L654" s="437"/>
      <c r="M654" s="438"/>
      <c r="N654" s="437"/>
      <c r="O654" s="438"/>
      <c r="P654" s="437"/>
      <c r="Q654" s="438"/>
      <c r="R654" s="437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1"/>
      <c r="F655" s="1173"/>
      <c r="G655" s="1"/>
      <c r="H655" s="1173"/>
      <c r="I655" s="438"/>
      <c r="J655" s="437"/>
      <c r="K655" s="438"/>
      <c r="L655" s="437"/>
      <c r="M655" s="438"/>
      <c r="N655" s="437"/>
      <c r="O655" s="438"/>
      <c r="P655" s="437"/>
      <c r="Q655" s="438"/>
      <c r="R655" s="437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1"/>
      <c r="F656" s="1173"/>
      <c r="G656" s="1"/>
      <c r="H656" s="1173"/>
      <c r="I656" s="438"/>
      <c r="J656" s="437"/>
      <c r="K656" s="438"/>
      <c r="L656" s="437"/>
      <c r="M656" s="438"/>
      <c r="N656" s="437"/>
      <c r="O656" s="438"/>
      <c r="P656" s="437"/>
      <c r="Q656" s="438"/>
      <c r="R656" s="437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1"/>
      <c r="F657" s="1173"/>
      <c r="G657" s="1"/>
      <c r="H657" s="1173"/>
      <c r="I657" s="438"/>
      <c r="J657" s="437"/>
      <c r="K657" s="438"/>
      <c r="L657" s="437"/>
      <c r="M657" s="438"/>
      <c r="N657" s="437"/>
      <c r="O657" s="438"/>
      <c r="P657" s="437"/>
      <c r="Q657" s="438"/>
      <c r="R657" s="437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1"/>
      <c r="F658" s="1173"/>
      <c r="G658" s="1"/>
      <c r="H658" s="1173"/>
      <c r="I658" s="438"/>
      <c r="J658" s="437"/>
      <c r="K658" s="438"/>
      <c r="L658" s="437"/>
      <c r="M658" s="438"/>
      <c r="N658" s="437"/>
      <c r="O658" s="438"/>
      <c r="P658" s="437"/>
      <c r="Q658" s="438"/>
      <c r="R658" s="437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1"/>
      <c r="F659" s="1173"/>
      <c r="G659" s="1"/>
      <c r="H659" s="1173"/>
      <c r="I659" s="438"/>
      <c r="J659" s="437"/>
      <c r="K659" s="438"/>
      <c r="L659" s="437"/>
      <c r="M659" s="438"/>
      <c r="N659" s="437"/>
      <c r="O659" s="438"/>
      <c r="P659" s="437"/>
      <c r="Q659" s="438"/>
      <c r="R659" s="437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1"/>
      <c r="F660" s="1173"/>
      <c r="G660" s="1"/>
      <c r="H660" s="1173"/>
      <c r="I660" s="438"/>
      <c r="J660" s="437"/>
      <c r="K660" s="438"/>
      <c r="L660" s="437"/>
      <c r="M660" s="438"/>
      <c r="N660" s="437"/>
      <c r="O660" s="438"/>
      <c r="P660" s="437"/>
      <c r="Q660" s="438"/>
      <c r="R660" s="437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1"/>
      <c r="F661" s="1173"/>
      <c r="G661" s="1"/>
      <c r="H661" s="1173"/>
      <c r="I661" s="438"/>
      <c r="J661" s="437"/>
      <c r="K661" s="438"/>
      <c r="L661" s="437"/>
      <c r="M661" s="438"/>
      <c r="N661" s="437"/>
      <c r="O661" s="438"/>
      <c r="P661" s="437"/>
      <c r="Q661" s="438"/>
      <c r="R661" s="437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1"/>
      <c r="F662" s="1173"/>
      <c r="G662" s="1"/>
      <c r="H662" s="1173"/>
      <c r="I662" s="438"/>
      <c r="J662" s="437"/>
      <c r="K662" s="438"/>
      <c r="L662" s="437"/>
      <c r="M662" s="438"/>
      <c r="N662" s="437"/>
      <c r="O662" s="438"/>
      <c r="P662" s="437"/>
      <c r="Q662" s="438"/>
      <c r="R662" s="437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1"/>
      <c r="F663" s="1173"/>
      <c r="G663" s="1"/>
      <c r="H663" s="1173"/>
      <c r="I663" s="438"/>
      <c r="J663" s="437"/>
      <c r="K663" s="438"/>
      <c r="L663" s="437"/>
      <c r="M663" s="438"/>
      <c r="N663" s="437"/>
      <c r="O663" s="438"/>
      <c r="P663" s="437"/>
      <c r="Q663" s="438"/>
      <c r="R663" s="437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1"/>
      <c r="F664" s="1173"/>
      <c r="G664" s="1"/>
      <c r="H664" s="1173"/>
      <c r="I664" s="438"/>
      <c r="J664" s="437"/>
      <c r="K664" s="438"/>
      <c r="L664" s="437"/>
      <c r="M664" s="438"/>
      <c r="N664" s="437"/>
      <c r="O664" s="438"/>
      <c r="P664" s="437"/>
      <c r="Q664" s="438"/>
      <c r="R664" s="437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1"/>
      <c r="F665" s="1173"/>
      <c r="G665" s="1"/>
      <c r="H665" s="1173"/>
      <c r="I665" s="438"/>
      <c r="J665" s="437"/>
      <c r="K665" s="438"/>
      <c r="L665" s="437"/>
      <c r="M665" s="438"/>
      <c r="N665" s="437"/>
      <c r="O665" s="438"/>
      <c r="P665" s="437"/>
      <c r="Q665" s="438"/>
      <c r="R665" s="437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1"/>
      <c r="F666" s="1173"/>
      <c r="G666" s="1"/>
      <c r="H666" s="1173"/>
      <c r="I666" s="438"/>
      <c r="J666" s="437"/>
      <c r="K666" s="438"/>
      <c r="L666" s="437"/>
      <c r="M666" s="438"/>
      <c r="N666" s="437"/>
      <c r="O666" s="438"/>
      <c r="P666" s="437"/>
      <c r="Q666" s="438"/>
      <c r="R666" s="437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1"/>
      <c r="F667" s="1173"/>
      <c r="G667" s="1"/>
      <c r="H667" s="1173"/>
      <c r="I667" s="438"/>
      <c r="J667" s="437"/>
      <c r="K667" s="438"/>
      <c r="L667" s="437"/>
      <c r="M667" s="438"/>
      <c r="N667" s="437"/>
      <c r="O667" s="438"/>
      <c r="P667" s="437"/>
      <c r="Q667" s="438"/>
      <c r="R667" s="437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1"/>
      <c r="F668" s="1173"/>
      <c r="G668" s="1"/>
      <c r="H668" s="1173"/>
      <c r="I668" s="438"/>
      <c r="J668" s="437"/>
      <c r="K668" s="438"/>
      <c r="L668" s="437"/>
      <c r="M668" s="438"/>
      <c r="N668" s="437"/>
      <c r="O668" s="438"/>
      <c r="P668" s="437"/>
      <c r="Q668" s="438"/>
      <c r="R668" s="437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1"/>
      <c r="F669" s="1173"/>
      <c r="G669" s="1"/>
      <c r="H669" s="1173"/>
      <c r="I669" s="438"/>
      <c r="J669" s="437"/>
      <c r="K669" s="438"/>
      <c r="L669" s="437"/>
      <c r="M669" s="438"/>
      <c r="N669" s="437"/>
      <c r="O669" s="438"/>
      <c r="P669" s="437"/>
      <c r="Q669" s="438"/>
      <c r="R669" s="437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1"/>
      <c r="F670" s="1173"/>
      <c r="G670" s="1"/>
      <c r="H670" s="1173"/>
      <c r="I670" s="438"/>
      <c r="J670" s="437"/>
      <c r="K670" s="438"/>
      <c r="L670" s="437"/>
      <c r="M670" s="438"/>
      <c r="N670" s="437"/>
      <c r="O670" s="438"/>
      <c r="P670" s="437"/>
      <c r="Q670" s="438"/>
      <c r="R670" s="437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1"/>
      <c r="F671" s="1173"/>
      <c r="G671" s="1"/>
      <c r="H671" s="1173"/>
      <c r="I671" s="438"/>
      <c r="J671" s="437"/>
      <c r="K671" s="438"/>
      <c r="L671" s="437"/>
      <c r="M671" s="438"/>
      <c r="N671" s="437"/>
      <c r="O671" s="438"/>
      <c r="P671" s="437"/>
      <c r="Q671" s="438"/>
      <c r="R671" s="437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1"/>
      <c r="F672" s="1173"/>
      <c r="G672" s="1"/>
      <c r="H672" s="1173"/>
      <c r="I672" s="438"/>
      <c r="J672" s="437"/>
      <c r="K672" s="438"/>
      <c r="L672" s="437"/>
      <c r="M672" s="438"/>
      <c r="N672" s="437"/>
      <c r="O672" s="438"/>
      <c r="P672" s="437"/>
      <c r="Q672" s="438"/>
      <c r="R672" s="437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1"/>
      <c r="F673" s="1173"/>
      <c r="G673" s="1"/>
      <c r="H673" s="1173"/>
      <c r="I673" s="438"/>
      <c r="J673" s="437"/>
      <c r="K673" s="438"/>
      <c r="L673" s="437"/>
      <c r="M673" s="438"/>
      <c r="N673" s="437"/>
      <c r="O673" s="438"/>
      <c r="P673" s="437"/>
      <c r="Q673" s="438"/>
      <c r="R673" s="437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1"/>
      <c r="F674" s="1173"/>
      <c r="G674" s="1"/>
      <c r="H674" s="1173"/>
      <c r="I674" s="438"/>
      <c r="J674" s="437"/>
      <c r="K674" s="438"/>
      <c r="L674" s="437"/>
      <c r="M674" s="438"/>
      <c r="N674" s="437"/>
      <c r="O674" s="438"/>
      <c r="P674" s="437"/>
      <c r="Q674" s="438"/>
      <c r="R674" s="437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1"/>
      <c r="F675" s="1173"/>
      <c r="G675" s="1"/>
      <c r="H675" s="1173"/>
      <c r="I675" s="438"/>
      <c r="J675" s="437"/>
      <c r="K675" s="438"/>
      <c r="L675" s="437"/>
      <c r="M675" s="438"/>
      <c r="N675" s="437"/>
      <c r="O675" s="438"/>
      <c r="P675" s="437"/>
      <c r="Q675" s="438"/>
      <c r="R675" s="437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1"/>
      <c r="F676" s="1173"/>
      <c r="G676" s="1"/>
      <c r="H676" s="1173"/>
      <c r="I676" s="438"/>
      <c r="J676" s="437"/>
      <c r="K676" s="438"/>
      <c r="L676" s="437"/>
      <c r="M676" s="438"/>
      <c r="N676" s="437"/>
      <c r="O676" s="438"/>
      <c r="P676" s="437"/>
      <c r="Q676" s="438"/>
      <c r="R676" s="437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1"/>
      <c r="F677" s="1173"/>
      <c r="G677" s="1"/>
      <c r="H677" s="1173"/>
      <c r="I677" s="438"/>
      <c r="J677" s="437"/>
      <c r="K677" s="438"/>
      <c r="L677" s="437"/>
      <c r="M677" s="438"/>
      <c r="N677" s="437"/>
      <c r="O677" s="438"/>
      <c r="P677" s="437"/>
      <c r="Q677" s="438"/>
      <c r="R677" s="437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1"/>
      <c r="F678" s="1173"/>
      <c r="G678" s="1"/>
      <c r="H678" s="1173"/>
      <c r="I678" s="438"/>
      <c r="J678" s="437"/>
      <c r="K678" s="438"/>
      <c r="L678" s="437"/>
      <c r="M678" s="438"/>
      <c r="N678" s="437"/>
      <c r="O678" s="438"/>
      <c r="P678" s="437"/>
      <c r="Q678" s="438"/>
      <c r="R678" s="437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1"/>
      <c r="F679" s="1173"/>
      <c r="G679" s="1"/>
      <c r="H679" s="1173"/>
      <c r="I679" s="438"/>
      <c r="J679" s="437"/>
      <c r="K679" s="438"/>
      <c r="L679" s="437"/>
      <c r="M679" s="438"/>
      <c r="N679" s="437"/>
      <c r="O679" s="438"/>
      <c r="P679" s="437"/>
      <c r="Q679" s="438"/>
      <c r="R679" s="437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1"/>
      <c r="F680" s="1173"/>
      <c r="G680" s="1"/>
      <c r="H680" s="1173"/>
      <c r="I680" s="438"/>
      <c r="J680" s="437"/>
      <c r="K680" s="438"/>
      <c r="L680" s="437"/>
      <c r="M680" s="438"/>
      <c r="N680" s="437"/>
      <c r="O680" s="438"/>
      <c r="P680" s="437"/>
      <c r="Q680" s="438"/>
      <c r="R680" s="437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1"/>
      <c r="F681" s="1173"/>
      <c r="G681" s="1"/>
      <c r="H681" s="1173"/>
      <c r="I681" s="438"/>
      <c r="J681" s="437"/>
      <c r="K681" s="438"/>
      <c r="L681" s="437"/>
      <c r="M681" s="438"/>
      <c r="N681" s="437"/>
      <c r="O681" s="438"/>
      <c r="P681" s="437"/>
      <c r="Q681" s="438"/>
      <c r="R681" s="437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1"/>
      <c r="F682" s="1173"/>
      <c r="G682" s="1"/>
      <c r="H682" s="1173"/>
      <c r="I682" s="438"/>
      <c r="J682" s="437"/>
      <c r="K682" s="438"/>
      <c r="L682" s="437"/>
      <c r="M682" s="438"/>
      <c r="N682" s="437"/>
      <c r="O682" s="438"/>
      <c r="P682" s="437"/>
      <c r="Q682" s="438"/>
      <c r="R682" s="437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1"/>
      <c r="F683" s="1173"/>
      <c r="G683" s="1"/>
      <c r="H683" s="1173"/>
      <c r="I683" s="438"/>
      <c r="J683" s="437"/>
      <c r="K683" s="438"/>
      <c r="L683" s="437"/>
      <c r="M683" s="438"/>
      <c r="N683" s="437"/>
      <c r="O683" s="438"/>
      <c r="P683" s="437"/>
      <c r="Q683" s="438"/>
      <c r="R683" s="437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1"/>
      <c r="F684" s="1173"/>
      <c r="G684" s="1"/>
      <c r="H684" s="1173"/>
      <c r="I684" s="438"/>
      <c r="J684" s="437"/>
      <c r="K684" s="438"/>
      <c r="L684" s="437"/>
      <c r="M684" s="438"/>
      <c r="N684" s="437"/>
      <c r="O684" s="438"/>
      <c r="P684" s="437"/>
      <c r="Q684" s="438"/>
      <c r="R684" s="437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1"/>
      <c r="F685" s="1173"/>
      <c r="G685" s="1"/>
      <c r="H685" s="1173"/>
      <c r="I685" s="438"/>
      <c r="J685" s="437"/>
      <c r="K685" s="438"/>
      <c r="L685" s="437"/>
      <c r="M685" s="438"/>
      <c r="N685" s="437"/>
      <c r="O685" s="438"/>
      <c r="P685" s="437"/>
      <c r="Q685" s="438"/>
      <c r="R685" s="437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1"/>
      <c r="F686" s="1173"/>
      <c r="G686" s="1"/>
      <c r="H686" s="1173"/>
      <c r="I686" s="438"/>
      <c r="J686" s="437"/>
      <c r="K686" s="438"/>
      <c r="L686" s="437"/>
      <c r="M686" s="438"/>
      <c r="N686" s="437"/>
      <c r="O686" s="438"/>
      <c r="P686" s="437"/>
      <c r="Q686" s="438"/>
      <c r="R686" s="437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1"/>
      <c r="F687" s="1173"/>
      <c r="G687" s="1"/>
      <c r="H687" s="1173"/>
      <c r="I687" s="438"/>
      <c r="J687" s="437"/>
      <c r="K687" s="438"/>
      <c r="L687" s="437"/>
      <c r="M687" s="438"/>
      <c r="N687" s="437"/>
      <c r="O687" s="438"/>
      <c r="P687" s="437"/>
      <c r="Q687" s="438"/>
      <c r="R687" s="437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1"/>
      <c r="F688" s="1173"/>
      <c r="G688" s="1"/>
      <c r="H688" s="1173"/>
      <c r="I688" s="438"/>
      <c r="J688" s="437"/>
      <c r="K688" s="438"/>
      <c r="L688" s="437"/>
      <c r="M688" s="438"/>
      <c r="N688" s="437"/>
      <c r="O688" s="438"/>
      <c r="P688" s="437"/>
      <c r="Q688" s="438"/>
      <c r="R688" s="437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1"/>
      <c r="F689" s="1173"/>
      <c r="G689" s="1"/>
      <c r="H689" s="1173"/>
      <c r="I689" s="438"/>
      <c r="J689" s="437"/>
      <c r="K689" s="438"/>
      <c r="L689" s="437"/>
      <c r="M689" s="438"/>
      <c r="N689" s="437"/>
      <c r="O689" s="438"/>
      <c r="P689" s="437"/>
      <c r="Q689" s="438"/>
      <c r="R689" s="437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1"/>
      <c r="F690" s="1173"/>
      <c r="G690" s="1"/>
      <c r="H690" s="1173"/>
      <c r="I690" s="438"/>
      <c r="J690" s="437"/>
      <c r="K690" s="438"/>
      <c r="L690" s="437"/>
      <c r="M690" s="438"/>
      <c r="N690" s="437"/>
      <c r="O690" s="438"/>
      <c r="P690" s="437"/>
      <c r="Q690" s="438"/>
      <c r="R690" s="437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1"/>
      <c r="F691" s="1173"/>
      <c r="G691" s="1"/>
      <c r="H691" s="1173"/>
      <c r="I691" s="438"/>
      <c r="J691" s="437"/>
      <c r="K691" s="438"/>
      <c r="L691" s="437"/>
      <c r="M691" s="438"/>
      <c r="N691" s="437"/>
      <c r="O691" s="438"/>
      <c r="P691" s="437"/>
      <c r="Q691" s="438"/>
      <c r="R691" s="437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1"/>
      <c r="F692" s="1173"/>
      <c r="G692" s="1"/>
      <c r="H692" s="1173"/>
      <c r="I692" s="438"/>
      <c r="J692" s="437"/>
      <c r="K692" s="438"/>
      <c r="L692" s="437"/>
      <c r="M692" s="438"/>
      <c r="N692" s="437"/>
      <c r="O692" s="438"/>
      <c r="P692" s="437"/>
      <c r="Q692" s="438"/>
      <c r="R692" s="437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1"/>
      <c r="F693" s="1173"/>
      <c r="G693" s="1"/>
      <c r="H693" s="1173"/>
      <c r="I693" s="438"/>
      <c r="J693" s="437"/>
      <c r="K693" s="438"/>
      <c r="L693" s="437"/>
      <c r="M693" s="438"/>
      <c r="N693" s="437"/>
      <c r="O693" s="438"/>
      <c r="P693" s="437"/>
      <c r="Q693" s="438"/>
      <c r="R693" s="437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1"/>
      <c r="F694" s="1173"/>
      <c r="G694" s="1"/>
      <c r="H694" s="1173"/>
      <c r="I694" s="438"/>
      <c r="J694" s="437"/>
      <c r="K694" s="438"/>
      <c r="L694" s="437"/>
      <c r="M694" s="438"/>
      <c r="N694" s="437"/>
      <c r="O694" s="438"/>
      <c r="P694" s="437"/>
      <c r="Q694" s="438"/>
      <c r="R694" s="437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1"/>
      <c r="F695" s="1173"/>
      <c r="G695" s="1"/>
      <c r="H695" s="1173"/>
      <c r="I695" s="438"/>
      <c r="J695" s="437"/>
      <c r="K695" s="438"/>
      <c r="L695" s="437"/>
      <c r="M695" s="438"/>
      <c r="N695" s="437"/>
      <c r="O695" s="438"/>
      <c r="P695" s="437"/>
      <c r="Q695" s="438"/>
      <c r="R695" s="437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1"/>
      <c r="F696" s="1173"/>
      <c r="G696" s="1"/>
      <c r="H696" s="1173"/>
      <c r="I696" s="438"/>
      <c r="J696" s="437"/>
      <c r="K696" s="438"/>
      <c r="L696" s="437"/>
      <c r="M696" s="438"/>
      <c r="N696" s="437"/>
      <c r="O696" s="438"/>
      <c r="P696" s="437"/>
      <c r="Q696" s="438"/>
      <c r="R696" s="437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1"/>
      <c r="F697" s="1173"/>
      <c r="G697" s="1"/>
      <c r="H697" s="1173"/>
      <c r="I697" s="438"/>
      <c r="J697" s="437"/>
      <c r="K697" s="438"/>
      <c r="L697" s="437"/>
      <c r="M697" s="438"/>
      <c r="N697" s="437"/>
      <c r="O697" s="438"/>
      <c r="P697" s="437"/>
      <c r="Q697" s="438"/>
      <c r="R697" s="437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1"/>
      <c r="F698" s="1173"/>
      <c r="G698" s="1"/>
      <c r="H698" s="1173"/>
      <c r="I698" s="438"/>
      <c r="J698" s="437"/>
      <c r="K698" s="438"/>
      <c r="L698" s="437"/>
      <c r="M698" s="438"/>
      <c r="N698" s="437"/>
      <c r="O698" s="438"/>
      <c r="P698" s="437"/>
      <c r="Q698" s="438"/>
      <c r="R698" s="437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1"/>
      <c r="F699" s="1173"/>
      <c r="G699" s="1"/>
      <c r="H699" s="1173"/>
      <c r="I699" s="438"/>
      <c r="J699" s="437"/>
      <c r="K699" s="438"/>
      <c r="L699" s="437"/>
      <c r="M699" s="438"/>
      <c r="N699" s="437"/>
      <c r="O699" s="438"/>
      <c r="P699" s="437"/>
      <c r="Q699" s="438"/>
      <c r="R699" s="437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1"/>
      <c r="F700" s="1173"/>
      <c r="G700" s="1"/>
      <c r="H700" s="1173"/>
      <c r="I700" s="438"/>
      <c r="J700" s="437"/>
      <c r="K700" s="438"/>
      <c r="L700" s="437"/>
      <c r="M700" s="438"/>
      <c r="N700" s="437"/>
      <c r="O700" s="438"/>
      <c r="P700" s="437"/>
      <c r="Q700" s="438"/>
      <c r="R700" s="437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1"/>
      <c r="F701" s="1173"/>
      <c r="G701" s="1"/>
      <c r="H701" s="1173"/>
      <c r="I701" s="438"/>
      <c r="J701" s="437"/>
      <c r="K701" s="438"/>
      <c r="L701" s="437"/>
      <c r="M701" s="438"/>
      <c r="N701" s="437"/>
      <c r="O701" s="438"/>
      <c r="P701" s="437"/>
      <c r="Q701" s="438"/>
      <c r="R701" s="437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1"/>
      <c r="F702" s="1173"/>
      <c r="G702" s="1"/>
      <c r="H702" s="1173"/>
      <c r="I702" s="438"/>
      <c r="J702" s="437"/>
      <c r="K702" s="438"/>
      <c r="L702" s="437"/>
      <c r="M702" s="438"/>
      <c r="N702" s="437"/>
      <c r="O702" s="438"/>
      <c r="P702" s="437"/>
      <c r="Q702" s="438"/>
      <c r="R702" s="437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1"/>
      <c r="F703" s="1173"/>
      <c r="G703" s="1"/>
      <c r="H703" s="1173"/>
      <c r="I703" s="438"/>
      <c r="J703" s="437"/>
      <c r="K703" s="438"/>
      <c r="L703" s="437"/>
      <c r="M703" s="438"/>
      <c r="N703" s="437"/>
      <c r="O703" s="438"/>
      <c r="P703" s="437"/>
      <c r="Q703" s="438"/>
      <c r="R703" s="437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1"/>
      <c r="F704" s="1173"/>
      <c r="G704" s="1"/>
      <c r="H704" s="1173"/>
      <c r="I704" s="438"/>
      <c r="J704" s="437"/>
      <c r="K704" s="438"/>
      <c r="L704" s="437"/>
      <c r="M704" s="438"/>
      <c r="N704" s="437"/>
      <c r="O704" s="438"/>
      <c r="P704" s="437"/>
      <c r="Q704" s="438"/>
      <c r="R704" s="437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1"/>
      <c r="F705" s="1173"/>
      <c r="G705" s="1"/>
      <c r="H705" s="1173"/>
      <c r="I705" s="438"/>
      <c r="J705" s="437"/>
      <c r="K705" s="438"/>
      <c r="L705" s="437"/>
      <c r="M705" s="438"/>
      <c r="N705" s="437"/>
      <c r="O705" s="438"/>
      <c r="P705" s="437"/>
      <c r="Q705" s="438"/>
      <c r="R705" s="437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1"/>
      <c r="F706" s="1173"/>
      <c r="G706" s="1"/>
      <c r="H706" s="1173"/>
      <c r="I706" s="438"/>
      <c r="J706" s="437"/>
      <c r="K706" s="438"/>
      <c r="L706" s="437"/>
      <c r="M706" s="438"/>
      <c r="N706" s="437"/>
      <c r="O706" s="438"/>
      <c r="P706" s="437"/>
      <c r="Q706" s="438"/>
      <c r="R706" s="437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1"/>
      <c r="F707" s="1173"/>
      <c r="G707" s="1"/>
      <c r="H707" s="1173"/>
      <c r="I707" s="438"/>
      <c r="J707" s="437"/>
      <c r="K707" s="438"/>
      <c r="L707" s="437"/>
      <c r="M707" s="438"/>
      <c r="N707" s="437"/>
      <c r="O707" s="438"/>
      <c r="P707" s="437"/>
      <c r="Q707" s="438"/>
      <c r="R707" s="437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1"/>
      <c r="F708" s="1173"/>
      <c r="G708" s="1"/>
      <c r="H708" s="1173"/>
      <c r="I708" s="438"/>
      <c r="J708" s="437"/>
      <c r="K708" s="438"/>
      <c r="L708" s="437"/>
      <c r="M708" s="438"/>
      <c r="N708" s="437"/>
      <c r="O708" s="438"/>
      <c r="P708" s="437"/>
      <c r="Q708" s="438"/>
      <c r="R708" s="437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1"/>
      <c r="F709" s="1173"/>
      <c r="G709" s="1"/>
      <c r="H709" s="1173"/>
      <c r="I709" s="438"/>
      <c r="J709" s="437"/>
      <c r="K709" s="438"/>
      <c r="L709" s="437"/>
      <c r="M709" s="438"/>
      <c r="N709" s="437"/>
      <c r="O709" s="438"/>
      <c r="P709" s="437"/>
      <c r="Q709" s="438"/>
      <c r="R709" s="437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1"/>
      <c r="F710" s="1173"/>
      <c r="G710" s="1"/>
      <c r="H710" s="1173"/>
      <c r="I710" s="438"/>
      <c r="J710" s="437"/>
      <c r="K710" s="438"/>
      <c r="L710" s="437"/>
      <c r="M710" s="438"/>
      <c r="N710" s="437"/>
      <c r="O710" s="438"/>
      <c r="P710" s="437"/>
      <c r="Q710" s="438"/>
      <c r="R710" s="437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1"/>
      <c r="F711" s="1173"/>
      <c r="G711" s="1"/>
      <c r="H711" s="1173"/>
      <c r="I711" s="438"/>
      <c r="J711" s="437"/>
      <c r="K711" s="438"/>
      <c r="L711" s="437"/>
      <c r="M711" s="438"/>
      <c r="N711" s="437"/>
      <c r="O711" s="438"/>
      <c r="P711" s="437"/>
      <c r="Q711" s="438"/>
      <c r="R711" s="437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1"/>
      <c r="F712" s="1173"/>
      <c r="G712" s="1"/>
      <c r="H712" s="1173"/>
      <c r="I712" s="438"/>
      <c r="J712" s="437"/>
      <c r="K712" s="438"/>
      <c r="L712" s="437"/>
      <c r="M712" s="438"/>
      <c r="N712" s="437"/>
      <c r="O712" s="438"/>
      <c r="P712" s="437"/>
      <c r="Q712" s="438"/>
      <c r="R712" s="437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1"/>
      <c r="F713" s="1173"/>
      <c r="G713" s="1"/>
      <c r="H713" s="1173"/>
      <c r="I713" s="438"/>
      <c r="J713" s="437"/>
      <c r="K713" s="438"/>
      <c r="L713" s="437"/>
      <c r="M713" s="438"/>
      <c r="N713" s="437"/>
      <c r="O713" s="438"/>
      <c r="P713" s="437"/>
      <c r="Q713" s="438"/>
      <c r="R713" s="437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1"/>
      <c r="F714" s="1173"/>
      <c r="G714" s="1"/>
      <c r="H714" s="1173"/>
      <c r="I714" s="438"/>
      <c r="J714" s="437"/>
      <c r="K714" s="438"/>
      <c r="L714" s="437"/>
      <c r="M714" s="438"/>
      <c r="N714" s="437"/>
      <c r="O714" s="438"/>
      <c r="P714" s="437"/>
      <c r="Q714" s="438"/>
      <c r="R714" s="437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1"/>
      <c r="F715" s="1173"/>
      <c r="G715" s="1"/>
      <c r="H715" s="1173"/>
      <c r="I715" s="438"/>
      <c r="J715" s="437"/>
      <c r="K715" s="438"/>
      <c r="L715" s="437"/>
      <c r="M715" s="438"/>
      <c r="N715" s="437"/>
      <c r="O715" s="438"/>
      <c r="P715" s="437"/>
      <c r="Q715" s="438"/>
      <c r="R715" s="437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1"/>
      <c r="F716" s="1173"/>
      <c r="G716" s="1"/>
      <c r="H716" s="1173"/>
      <c r="I716" s="438"/>
      <c r="J716" s="437"/>
      <c r="K716" s="438"/>
      <c r="L716" s="437"/>
      <c r="M716" s="438"/>
      <c r="N716" s="437"/>
      <c r="O716" s="438"/>
      <c r="P716" s="437"/>
      <c r="Q716" s="438"/>
      <c r="R716" s="437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1"/>
      <c r="F717" s="1173"/>
      <c r="G717" s="1"/>
      <c r="H717" s="1173"/>
      <c r="I717" s="438"/>
      <c r="J717" s="437"/>
      <c r="K717" s="438"/>
      <c r="L717" s="437"/>
      <c r="M717" s="438"/>
      <c r="N717" s="437"/>
      <c r="O717" s="438"/>
      <c r="P717" s="437"/>
      <c r="Q717" s="438"/>
      <c r="R717" s="437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1"/>
      <c r="F718" s="1173"/>
      <c r="G718" s="1"/>
      <c r="H718" s="1173"/>
      <c r="I718" s="438"/>
      <c r="J718" s="437"/>
      <c r="K718" s="438"/>
      <c r="L718" s="437"/>
      <c r="M718" s="438"/>
      <c r="N718" s="437"/>
      <c r="O718" s="438"/>
      <c r="P718" s="437"/>
      <c r="Q718" s="438"/>
      <c r="R718" s="437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1"/>
      <c r="F719" s="1173"/>
      <c r="G719" s="1"/>
      <c r="H719" s="1173"/>
      <c r="I719" s="438"/>
      <c r="J719" s="437"/>
      <c r="K719" s="438"/>
      <c r="L719" s="437"/>
      <c r="M719" s="438"/>
      <c r="N719" s="437"/>
      <c r="O719" s="438"/>
      <c r="P719" s="437"/>
      <c r="Q719" s="438"/>
      <c r="R719" s="437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1"/>
      <c r="F720" s="1173"/>
      <c r="G720" s="1"/>
      <c r="H720" s="1173"/>
      <c r="I720" s="438"/>
      <c r="J720" s="437"/>
      <c r="K720" s="438"/>
      <c r="L720" s="437"/>
      <c r="M720" s="438"/>
      <c r="N720" s="437"/>
      <c r="O720" s="438"/>
      <c r="P720" s="437"/>
      <c r="Q720" s="438"/>
      <c r="R720" s="437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1"/>
      <c r="F721" s="1173"/>
      <c r="G721" s="1"/>
      <c r="H721" s="1173"/>
      <c r="I721" s="438"/>
      <c r="J721" s="437"/>
      <c r="K721" s="438"/>
      <c r="L721" s="437"/>
      <c r="M721" s="438"/>
      <c r="N721" s="437"/>
      <c r="O721" s="438"/>
      <c r="P721" s="437"/>
      <c r="Q721" s="438"/>
      <c r="R721" s="437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1"/>
      <c r="F722" s="1173"/>
      <c r="G722" s="1"/>
      <c r="H722" s="1173"/>
      <c r="I722" s="438"/>
      <c r="J722" s="437"/>
      <c r="K722" s="438"/>
      <c r="L722" s="437"/>
      <c r="M722" s="438"/>
      <c r="N722" s="437"/>
      <c r="O722" s="438"/>
      <c r="P722" s="437"/>
      <c r="Q722" s="438"/>
      <c r="R722" s="437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1"/>
      <c r="F723" s="1173"/>
      <c r="G723" s="1"/>
      <c r="H723" s="1173"/>
      <c r="I723" s="438"/>
      <c r="J723" s="437"/>
      <c r="K723" s="438"/>
      <c r="L723" s="437"/>
      <c r="M723" s="438"/>
      <c r="N723" s="437"/>
      <c r="O723" s="438"/>
      <c r="P723" s="437"/>
      <c r="Q723" s="438"/>
      <c r="R723" s="437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1"/>
      <c r="F724" s="1173"/>
      <c r="G724" s="1"/>
      <c r="H724" s="1173"/>
      <c r="I724" s="438"/>
      <c r="J724" s="437"/>
      <c r="K724" s="438"/>
      <c r="L724" s="437"/>
      <c r="M724" s="438"/>
      <c r="N724" s="437"/>
      <c r="O724" s="438"/>
      <c r="P724" s="437"/>
      <c r="Q724" s="438"/>
      <c r="R724" s="437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1"/>
      <c r="F725" s="1173"/>
      <c r="G725" s="1"/>
      <c r="H725" s="1173"/>
      <c r="I725" s="438"/>
      <c r="J725" s="437"/>
      <c r="K725" s="438"/>
      <c r="L725" s="437"/>
      <c r="M725" s="438"/>
      <c r="N725" s="437"/>
      <c r="O725" s="438"/>
      <c r="P725" s="437"/>
      <c r="Q725" s="438"/>
      <c r="R725" s="437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1"/>
      <c r="F726" s="1173"/>
      <c r="G726" s="1"/>
      <c r="H726" s="1173"/>
      <c r="I726" s="438"/>
      <c r="J726" s="437"/>
      <c r="K726" s="438"/>
      <c r="L726" s="437"/>
      <c r="M726" s="438"/>
      <c r="N726" s="437"/>
      <c r="O726" s="438"/>
      <c r="P726" s="437"/>
      <c r="Q726" s="438"/>
      <c r="R726" s="437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1"/>
      <c r="F727" s="1173"/>
      <c r="G727" s="1"/>
      <c r="H727" s="1173"/>
      <c r="I727" s="438"/>
      <c r="J727" s="437"/>
      <c r="K727" s="438"/>
      <c r="L727" s="437"/>
      <c r="M727" s="438"/>
      <c r="N727" s="437"/>
      <c r="O727" s="438"/>
      <c r="P727" s="437"/>
      <c r="Q727" s="438"/>
      <c r="R727" s="437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1"/>
      <c r="F728" s="1173"/>
      <c r="G728" s="1"/>
      <c r="H728" s="1173"/>
      <c r="I728" s="438"/>
      <c r="J728" s="437"/>
      <c r="K728" s="438"/>
      <c r="L728" s="437"/>
      <c r="M728" s="438"/>
      <c r="N728" s="437"/>
      <c r="O728" s="438"/>
      <c r="P728" s="437"/>
      <c r="Q728" s="438"/>
      <c r="R728" s="437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1"/>
      <c r="F729" s="1173"/>
      <c r="G729" s="1"/>
      <c r="H729" s="1173"/>
      <c r="I729" s="438"/>
      <c r="J729" s="437"/>
      <c r="K729" s="438"/>
      <c r="L729" s="437"/>
      <c r="M729" s="438"/>
      <c r="N729" s="437"/>
      <c r="O729" s="438"/>
      <c r="P729" s="437"/>
      <c r="Q729" s="438"/>
      <c r="R729" s="437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1"/>
      <c r="F730" s="1173"/>
      <c r="G730" s="1"/>
      <c r="H730" s="1173"/>
      <c r="I730" s="438"/>
      <c r="J730" s="437"/>
      <c r="K730" s="438"/>
      <c r="L730" s="437"/>
      <c r="M730" s="438"/>
      <c r="N730" s="437"/>
      <c r="O730" s="438"/>
      <c r="P730" s="437"/>
      <c r="Q730" s="438"/>
      <c r="R730" s="437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1"/>
      <c r="F731" s="1173"/>
      <c r="G731" s="1"/>
      <c r="H731" s="1173"/>
      <c r="I731" s="438"/>
      <c r="J731" s="437"/>
      <c r="K731" s="438"/>
      <c r="L731" s="437"/>
      <c r="M731" s="438"/>
      <c r="N731" s="437"/>
      <c r="O731" s="438"/>
      <c r="P731" s="437"/>
      <c r="Q731" s="438"/>
      <c r="R731" s="437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1"/>
      <c r="F732" s="1173"/>
      <c r="G732" s="1"/>
      <c r="H732" s="1173"/>
      <c r="I732" s="438"/>
      <c r="J732" s="437"/>
      <c r="K732" s="438"/>
      <c r="L732" s="437"/>
      <c r="M732" s="438"/>
      <c r="N732" s="437"/>
      <c r="O732" s="438"/>
      <c r="P732" s="437"/>
      <c r="Q732" s="438"/>
      <c r="R732" s="437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1"/>
      <c r="F733" s="1173"/>
      <c r="G733" s="1"/>
      <c r="H733" s="1173"/>
      <c r="I733" s="438"/>
      <c r="J733" s="437"/>
      <c r="K733" s="438"/>
      <c r="L733" s="437"/>
      <c r="M733" s="438"/>
      <c r="N733" s="437"/>
      <c r="O733" s="438"/>
      <c r="P733" s="437"/>
      <c r="Q733" s="438"/>
      <c r="R733" s="437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1"/>
      <c r="F734" s="1173"/>
      <c r="G734" s="1"/>
      <c r="H734" s="1173"/>
      <c r="I734" s="438"/>
      <c r="J734" s="437"/>
      <c r="K734" s="438"/>
      <c r="L734" s="437"/>
      <c r="M734" s="438"/>
      <c r="N734" s="437"/>
      <c r="O734" s="438"/>
      <c r="P734" s="437"/>
      <c r="Q734" s="438"/>
      <c r="R734" s="437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1"/>
      <c r="F735" s="1173"/>
      <c r="G735" s="1"/>
      <c r="H735" s="1173"/>
      <c r="I735" s="438"/>
      <c r="J735" s="437"/>
      <c r="K735" s="438"/>
      <c r="L735" s="437"/>
      <c r="M735" s="438"/>
      <c r="N735" s="437"/>
      <c r="O735" s="438"/>
      <c r="P735" s="437"/>
      <c r="Q735" s="438"/>
      <c r="R735" s="437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1"/>
      <c r="F736" s="1173"/>
      <c r="G736" s="1"/>
      <c r="H736" s="1173"/>
      <c r="I736" s="438"/>
      <c r="J736" s="437"/>
      <c r="K736" s="438"/>
      <c r="L736" s="437"/>
      <c r="M736" s="438"/>
      <c r="N736" s="437"/>
      <c r="O736" s="438"/>
      <c r="P736" s="437"/>
      <c r="Q736" s="438"/>
      <c r="R736" s="437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1"/>
      <c r="F737" s="1173"/>
      <c r="G737" s="1"/>
      <c r="H737" s="1173"/>
      <c r="I737" s="438"/>
      <c r="J737" s="437"/>
      <c r="K737" s="438"/>
      <c r="L737" s="437"/>
      <c r="M737" s="438"/>
      <c r="N737" s="437"/>
      <c r="O737" s="438"/>
      <c r="P737" s="437"/>
      <c r="Q737" s="438"/>
      <c r="R737" s="437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1"/>
      <c r="F738" s="1173"/>
      <c r="G738" s="1"/>
      <c r="H738" s="1173"/>
      <c r="I738" s="438"/>
      <c r="J738" s="437"/>
      <c r="K738" s="438"/>
      <c r="L738" s="437"/>
      <c r="M738" s="438"/>
      <c r="N738" s="437"/>
      <c r="O738" s="438"/>
      <c r="P738" s="437"/>
      <c r="Q738" s="438"/>
      <c r="R738" s="437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1"/>
      <c r="F739" s="1173"/>
      <c r="G739" s="1"/>
      <c r="H739" s="1173"/>
      <c r="I739" s="438"/>
      <c r="J739" s="437"/>
      <c r="K739" s="438"/>
      <c r="L739" s="437"/>
      <c r="M739" s="438"/>
      <c r="N739" s="437"/>
      <c r="O739" s="438"/>
      <c r="P739" s="437"/>
      <c r="Q739" s="438"/>
      <c r="R739" s="437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1"/>
      <c r="F740" s="1173"/>
      <c r="G740" s="1"/>
      <c r="H740" s="1173"/>
      <c r="I740" s="438"/>
      <c r="J740" s="437"/>
      <c r="K740" s="438"/>
      <c r="L740" s="437"/>
      <c r="M740" s="438"/>
      <c r="N740" s="437"/>
      <c r="O740" s="438"/>
      <c r="P740" s="437"/>
      <c r="Q740" s="438"/>
      <c r="R740" s="437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1"/>
      <c r="F741" s="1173"/>
      <c r="G741" s="1"/>
      <c r="H741" s="1173"/>
      <c r="I741" s="438"/>
      <c r="J741" s="437"/>
      <c r="K741" s="438"/>
      <c r="L741" s="437"/>
      <c r="M741" s="438"/>
      <c r="N741" s="437"/>
      <c r="O741" s="438"/>
      <c r="P741" s="437"/>
      <c r="Q741" s="438"/>
      <c r="R741" s="437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1"/>
      <c r="F742" s="1173"/>
      <c r="G742" s="1"/>
      <c r="H742" s="1173"/>
      <c r="I742" s="438"/>
      <c r="J742" s="437"/>
      <c r="K742" s="438"/>
      <c r="L742" s="437"/>
      <c r="M742" s="438"/>
      <c r="N742" s="437"/>
      <c r="O742" s="438"/>
      <c r="P742" s="437"/>
      <c r="Q742" s="438"/>
      <c r="R742" s="437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1"/>
      <c r="F743" s="1173"/>
      <c r="G743" s="1"/>
      <c r="H743" s="1173"/>
      <c r="I743" s="438"/>
      <c r="J743" s="437"/>
      <c r="K743" s="438"/>
      <c r="L743" s="437"/>
      <c r="M743" s="438"/>
      <c r="N743" s="437"/>
      <c r="O743" s="438"/>
      <c r="P743" s="437"/>
      <c r="Q743" s="438"/>
      <c r="R743" s="437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1"/>
      <c r="F744" s="1173"/>
      <c r="G744" s="1"/>
      <c r="H744" s="1173"/>
      <c r="I744" s="438"/>
      <c r="J744" s="437"/>
      <c r="K744" s="438"/>
      <c r="L744" s="437"/>
      <c r="M744" s="438"/>
      <c r="N744" s="437"/>
      <c r="O744" s="438"/>
      <c r="P744" s="437"/>
      <c r="Q744" s="438"/>
      <c r="R744" s="437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1"/>
      <c r="F745" s="1173"/>
      <c r="G745" s="1"/>
      <c r="H745" s="1173"/>
      <c r="I745" s="438"/>
      <c r="J745" s="437"/>
      <c r="K745" s="438"/>
      <c r="L745" s="437"/>
      <c r="M745" s="438"/>
      <c r="N745" s="437"/>
      <c r="O745" s="438"/>
      <c r="P745" s="437"/>
      <c r="Q745" s="438"/>
      <c r="R745" s="437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1"/>
      <c r="F746" s="1173"/>
      <c r="G746" s="1"/>
      <c r="H746" s="1173"/>
      <c r="I746" s="438"/>
      <c r="J746" s="437"/>
      <c r="K746" s="438"/>
      <c r="L746" s="437"/>
      <c r="M746" s="438"/>
      <c r="N746" s="437"/>
      <c r="O746" s="438"/>
      <c r="P746" s="437"/>
      <c r="Q746" s="438"/>
      <c r="R746" s="437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1"/>
      <c r="F747" s="1173"/>
      <c r="G747" s="1"/>
      <c r="H747" s="1173"/>
      <c r="I747" s="438"/>
      <c r="J747" s="437"/>
      <c r="K747" s="438"/>
      <c r="L747" s="437"/>
      <c r="M747" s="438"/>
      <c r="N747" s="437"/>
      <c r="O747" s="438"/>
      <c r="P747" s="437"/>
      <c r="Q747" s="438"/>
      <c r="R747" s="437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1"/>
      <c r="F748" s="1173"/>
      <c r="G748" s="1"/>
      <c r="H748" s="1173"/>
      <c r="I748" s="438"/>
      <c r="J748" s="437"/>
      <c r="K748" s="438"/>
      <c r="L748" s="437"/>
      <c r="M748" s="438"/>
      <c r="N748" s="437"/>
      <c r="O748" s="438"/>
      <c r="P748" s="437"/>
      <c r="Q748" s="438"/>
      <c r="R748" s="437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1"/>
      <c r="F749" s="1173"/>
      <c r="G749" s="1"/>
      <c r="H749" s="1173"/>
      <c r="I749" s="438"/>
      <c r="J749" s="437"/>
      <c r="K749" s="438"/>
      <c r="L749" s="437"/>
      <c r="M749" s="438"/>
      <c r="N749" s="437"/>
      <c r="O749" s="438"/>
      <c r="P749" s="437"/>
      <c r="Q749" s="438"/>
      <c r="R749" s="437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1"/>
      <c r="F750" s="1173"/>
      <c r="G750" s="1"/>
      <c r="H750" s="1173"/>
      <c r="I750" s="438"/>
      <c r="J750" s="437"/>
      <c r="K750" s="438"/>
      <c r="L750" s="437"/>
      <c r="M750" s="438"/>
      <c r="N750" s="437"/>
      <c r="O750" s="438"/>
      <c r="P750" s="437"/>
      <c r="Q750" s="438"/>
      <c r="R750" s="437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1"/>
      <c r="F751" s="1173"/>
      <c r="G751" s="1"/>
      <c r="H751" s="1173"/>
      <c r="I751" s="438"/>
      <c r="J751" s="437"/>
      <c r="K751" s="438"/>
      <c r="L751" s="437"/>
      <c r="M751" s="438"/>
      <c r="N751" s="437"/>
      <c r="O751" s="438"/>
      <c r="P751" s="437"/>
      <c r="Q751" s="438"/>
      <c r="R751" s="437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1"/>
      <c r="F752" s="1173"/>
      <c r="G752" s="1"/>
      <c r="H752" s="1173"/>
      <c r="I752" s="438"/>
      <c r="J752" s="437"/>
      <c r="K752" s="438"/>
      <c r="L752" s="437"/>
      <c r="M752" s="438"/>
      <c r="N752" s="437"/>
      <c r="O752" s="438"/>
      <c r="P752" s="437"/>
      <c r="Q752" s="438"/>
      <c r="R752" s="437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1"/>
      <c r="F753" s="1173"/>
      <c r="G753" s="1"/>
      <c r="H753" s="1173"/>
      <c r="I753" s="438"/>
      <c r="J753" s="437"/>
      <c r="K753" s="438"/>
      <c r="L753" s="437"/>
      <c r="M753" s="438"/>
      <c r="N753" s="437"/>
      <c r="O753" s="438"/>
      <c r="P753" s="437"/>
      <c r="Q753" s="438"/>
      <c r="R753" s="437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1"/>
      <c r="F754" s="1173"/>
      <c r="G754" s="1"/>
      <c r="H754" s="1173"/>
      <c r="I754" s="438"/>
      <c r="J754" s="437"/>
      <c r="K754" s="438"/>
      <c r="L754" s="437"/>
      <c r="M754" s="438"/>
      <c r="N754" s="437"/>
      <c r="O754" s="438"/>
      <c r="P754" s="437"/>
      <c r="Q754" s="438"/>
      <c r="R754" s="437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1"/>
      <c r="F755" s="1173"/>
      <c r="G755" s="1"/>
      <c r="H755" s="1173"/>
      <c r="I755" s="438"/>
      <c r="J755" s="437"/>
      <c r="K755" s="438"/>
      <c r="L755" s="437"/>
      <c r="M755" s="438"/>
      <c r="N755" s="437"/>
      <c r="O755" s="438"/>
      <c r="P755" s="437"/>
      <c r="Q755" s="438"/>
      <c r="R755" s="437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1"/>
      <c r="F756" s="1173"/>
      <c r="G756" s="1"/>
      <c r="H756" s="1173"/>
      <c r="I756" s="438"/>
      <c r="J756" s="437"/>
      <c r="K756" s="438"/>
      <c r="L756" s="437"/>
      <c r="M756" s="438"/>
      <c r="N756" s="437"/>
      <c r="O756" s="438"/>
      <c r="P756" s="437"/>
      <c r="Q756" s="438"/>
      <c r="R756" s="437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1"/>
      <c r="F757" s="1173"/>
      <c r="G757" s="1"/>
      <c r="H757" s="1173"/>
      <c r="I757" s="438"/>
      <c r="J757" s="437"/>
      <c r="K757" s="438"/>
      <c r="L757" s="437"/>
      <c r="M757" s="438"/>
      <c r="N757" s="437"/>
      <c r="O757" s="438"/>
      <c r="P757" s="437"/>
      <c r="Q757" s="438"/>
      <c r="R757" s="437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1"/>
      <c r="F758" s="1173"/>
      <c r="G758" s="1"/>
      <c r="H758" s="1173"/>
      <c r="I758" s="438"/>
      <c r="J758" s="437"/>
      <c r="K758" s="438"/>
      <c r="L758" s="437"/>
      <c r="M758" s="438"/>
      <c r="N758" s="437"/>
      <c r="O758" s="438"/>
      <c r="P758" s="437"/>
      <c r="Q758" s="438"/>
      <c r="R758" s="437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1"/>
      <c r="F759" s="1173"/>
      <c r="G759" s="1"/>
      <c r="H759" s="1173"/>
      <c r="I759" s="438"/>
      <c r="J759" s="437"/>
      <c r="K759" s="438"/>
      <c r="L759" s="437"/>
      <c r="M759" s="438"/>
      <c r="N759" s="437"/>
      <c r="O759" s="438"/>
      <c r="P759" s="437"/>
      <c r="Q759" s="438"/>
      <c r="R759" s="437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1"/>
      <c r="F760" s="1173"/>
      <c r="G760" s="1"/>
      <c r="H760" s="1173"/>
      <c r="I760" s="438"/>
      <c r="J760" s="437"/>
      <c r="K760" s="438"/>
      <c r="L760" s="437"/>
      <c r="M760" s="438"/>
      <c r="N760" s="437"/>
      <c r="O760" s="438"/>
      <c r="P760" s="437"/>
      <c r="Q760" s="438"/>
      <c r="R760" s="437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1"/>
      <c r="F761" s="1173"/>
      <c r="G761" s="1"/>
      <c r="H761" s="1173"/>
      <c r="I761" s="438"/>
      <c r="J761" s="437"/>
      <c r="K761" s="438"/>
      <c r="L761" s="437"/>
      <c r="M761" s="438"/>
      <c r="N761" s="437"/>
      <c r="O761" s="438"/>
      <c r="P761" s="437"/>
      <c r="Q761" s="438"/>
      <c r="R761" s="437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1"/>
      <c r="F762" s="1173"/>
      <c r="G762" s="1"/>
      <c r="H762" s="1173"/>
      <c r="I762" s="438"/>
      <c r="J762" s="437"/>
      <c r="K762" s="438"/>
      <c r="L762" s="437"/>
      <c r="M762" s="438"/>
      <c r="N762" s="437"/>
      <c r="O762" s="438"/>
      <c r="P762" s="437"/>
      <c r="Q762" s="438"/>
      <c r="R762" s="437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1"/>
      <c r="F763" s="1173"/>
      <c r="G763" s="1"/>
      <c r="H763" s="1173"/>
      <c r="I763" s="438"/>
      <c r="J763" s="437"/>
      <c r="K763" s="438"/>
      <c r="L763" s="437"/>
      <c r="M763" s="438"/>
      <c r="N763" s="437"/>
      <c r="O763" s="438"/>
      <c r="P763" s="437"/>
      <c r="Q763" s="438"/>
      <c r="R763" s="437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1"/>
      <c r="F764" s="1173"/>
      <c r="G764" s="1"/>
      <c r="H764" s="1173"/>
      <c r="I764" s="438"/>
      <c r="J764" s="437"/>
      <c r="K764" s="438"/>
      <c r="L764" s="437"/>
      <c r="M764" s="438"/>
      <c r="N764" s="437"/>
      <c r="O764" s="438"/>
      <c r="P764" s="437"/>
      <c r="Q764" s="438"/>
      <c r="R764" s="437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1"/>
      <c r="F765" s="1173"/>
      <c r="G765" s="1"/>
      <c r="H765" s="1173"/>
      <c r="I765" s="438"/>
      <c r="J765" s="437"/>
      <c r="K765" s="438"/>
      <c r="L765" s="437"/>
      <c r="M765" s="438"/>
      <c r="N765" s="437"/>
      <c r="O765" s="438"/>
      <c r="P765" s="437"/>
      <c r="Q765" s="438"/>
      <c r="R765" s="437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1"/>
      <c r="F766" s="1173"/>
      <c r="G766" s="1"/>
      <c r="H766" s="1173"/>
      <c r="I766" s="438"/>
      <c r="J766" s="437"/>
      <c r="K766" s="438"/>
      <c r="L766" s="437"/>
      <c r="M766" s="438"/>
      <c r="N766" s="437"/>
      <c r="O766" s="438"/>
      <c r="P766" s="437"/>
      <c r="Q766" s="438"/>
      <c r="R766" s="437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1"/>
      <c r="F767" s="1173"/>
      <c r="G767" s="1"/>
      <c r="H767" s="1173"/>
      <c r="I767" s="438"/>
      <c r="J767" s="437"/>
      <c r="K767" s="438"/>
      <c r="L767" s="437"/>
      <c r="M767" s="438"/>
      <c r="N767" s="437"/>
      <c r="O767" s="438"/>
      <c r="P767" s="437"/>
      <c r="Q767" s="438"/>
      <c r="R767" s="437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1"/>
      <c r="F768" s="1173"/>
      <c r="G768" s="1"/>
      <c r="H768" s="1173"/>
      <c r="I768" s="438"/>
      <c r="J768" s="437"/>
      <c r="K768" s="438"/>
      <c r="L768" s="437"/>
      <c r="M768" s="438"/>
      <c r="N768" s="437"/>
      <c r="O768" s="438"/>
      <c r="P768" s="437"/>
      <c r="Q768" s="438"/>
      <c r="R768" s="437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1"/>
      <c r="F769" s="1173"/>
      <c r="G769" s="1"/>
      <c r="H769" s="1173"/>
      <c r="I769" s="438"/>
      <c r="J769" s="437"/>
      <c r="K769" s="438"/>
      <c r="L769" s="437"/>
      <c r="M769" s="438"/>
      <c r="N769" s="437"/>
      <c r="O769" s="438"/>
      <c r="P769" s="437"/>
      <c r="Q769" s="438"/>
      <c r="R769" s="437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1"/>
      <c r="F770" s="1173"/>
      <c r="G770" s="1"/>
      <c r="H770" s="1173"/>
      <c r="I770" s="438"/>
      <c r="J770" s="437"/>
      <c r="K770" s="438"/>
      <c r="L770" s="437"/>
      <c r="M770" s="438"/>
      <c r="N770" s="437"/>
      <c r="O770" s="438"/>
      <c r="P770" s="437"/>
      <c r="Q770" s="438"/>
      <c r="R770" s="437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1"/>
      <c r="F771" s="1173"/>
      <c r="G771" s="1"/>
      <c r="H771" s="1173"/>
      <c r="I771" s="438"/>
      <c r="J771" s="437"/>
      <c r="K771" s="438"/>
      <c r="L771" s="437"/>
      <c r="M771" s="438"/>
      <c r="N771" s="437"/>
      <c r="O771" s="438"/>
      <c r="P771" s="437"/>
      <c r="Q771" s="438"/>
      <c r="R771" s="437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1"/>
      <c r="F772" s="1173"/>
      <c r="G772" s="1"/>
      <c r="H772" s="1173"/>
      <c r="I772" s="438"/>
      <c r="J772" s="437"/>
      <c r="K772" s="438"/>
      <c r="L772" s="437"/>
      <c r="M772" s="438"/>
      <c r="N772" s="437"/>
      <c r="O772" s="438"/>
      <c r="P772" s="437"/>
      <c r="Q772" s="438"/>
      <c r="R772" s="437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1"/>
      <c r="F773" s="1173"/>
      <c r="G773" s="1"/>
      <c r="H773" s="1173"/>
      <c r="I773" s="438"/>
      <c r="J773" s="437"/>
      <c r="K773" s="438"/>
      <c r="L773" s="437"/>
      <c r="M773" s="438"/>
      <c r="N773" s="437"/>
      <c r="O773" s="438"/>
      <c r="P773" s="437"/>
      <c r="Q773" s="438"/>
      <c r="R773" s="437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1"/>
      <c r="F774" s="1173"/>
      <c r="G774" s="1"/>
      <c r="H774" s="1173"/>
      <c r="I774" s="438"/>
      <c r="J774" s="437"/>
      <c r="K774" s="438"/>
      <c r="L774" s="437"/>
      <c r="M774" s="438"/>
      <c r="N774" s="437"/>
      <c r="O774" s="438"/>
      <c r="P774" s="437"/>
      <c r="Q774" s="438"/>
      <c r="R774" s="437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1"/>
      <c r="F775" s="1173"/>
      <c r="G775" s="1"/>
      <c r="H775" s="1173"/>
      <c r="I775" s="438"/>
      <c r="J775" s="437"/>
      <c r="K775" s="438"/>
      <c r="L775" s="437"/>
      <c r="M775" s="438"/>
      <c r="N775" s="437"/>
      <c r="O775" s="438"/>
      <c r="P775" s="437"/>
      <c r="Q775" s="438"/>
      <c r="R775" s="437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1"/>
      <c r="F776" s="1173"/>
      <c r="G776" s="1"/>
      <c r="H776" s="1173"/>
      <c r="I776" s="438"/>
      <c r="J776" s="437"/>
      <c r="K776" s="438"/>
      <c r="L776" s="437"/>
      <c r="M776" s="438"/>
      <c r="N776" s="437"/>
      <c r="O776" s="438"/>
      <c r="P776" s="437"/>
      <c r="Q776" s="438"/>
      <c r="R776" s="437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1"/>
      <c r="F777" s="1173"/>
      <c r="G777" s="1"/>
      <c r="H777" s="1173"/>
      <c r="I777" s="438"/>
      <c r="J777" s="437"/>
      <c r="K777" s="438"/>
      <c r="L777" s="437"/>
      <c r="M777" s="438"/>
      <c r="N777" s="437"/>
      <c r="O777" s="438"/>
      <c r="P777" s="437"/>
      <c r="Q777" s="438"/>
      <c r="R777" s="437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1"/>
      <c r="F778" s="1173"/>
      <c r="G778" s="1"/>
      <c r="H778" s="1173"/>
      <c r="I778" s="438"/>
      <c r="J778" s="437"/>
      <c r="K778" s="438"/>
      <c r="L778" s="437"/>
      <c r="M778" s="438"/>
      <c r="N778" s="437"/>
      <c r="O778" s="438"/>
      <c r="P778" s="437"/>
      <c r="Q778" s="438"/>
      <c r="R778" s="437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1"/>
      <c r="F779" s="1173"/>
      <c r="G779" s="1"/>
      <c r="H779" s="1173"/>
      <c r="I779" s="438"/>
      <c r="J779" s="437"/>
      <c r="K779" s="438"/>
      <c r="L779" s="437"/>
      <c r="M779" s="438"/>
      <c r="N779" s="437"/>
      <c r="O779" s="438"/>
      <c r="P779" s="437"/>
      <c r="Q779" s="438"/>
      <c r="R779" s="437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1"/>
      <c r="F780" s="1173"/>
      <c r="G780" s="1"/>
      <c r="H780" s="1173"/>
      <c r="I780" s="438"/>
      <c r="J780" s="437"/>
      <c r="K780" s="438"/>
      <c r="L780" s="437"/>
      <c r="M780" s="438"/>
      <c r="N780" s="437"/>
      <c r="O780" s="438"/>
      <c r="P780" s="437"/>
      <c r="Q780" s="438"/>
      <c r="R780" s="437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1"/>
      <c r="F781" s="1173"/>
      <c r="G781" s="1"/>
      <c r="H781" s="1173"/>
      <c r="I781" s="438"/>
      <c r="J781" s="437"/>
      <c r="K781" s="438"/>
      <c r="L781" s="437"/>
      <c r="M781" s="438"/>
      <c r="N781" s="437"/>
      <c r="O781" s="438"/>
      <c r="P781" s="437"/>
      <c r="Q781" s="438"/>
      <c r="R781" s="437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1"/>
      <c r="F782" s="1173"/>
      <c r="G782" s="1"/>
      <c r="H782" s="1173"/>
      <c r="I782" s="438"/>
      <c r="J782" s="437"/>
      <c r="K782" s="438"/>
      <c r="L782" s="437"/>
      <c r="M782" s="438"/>
      <c r="N782" s="437"/>
      <c r="O782" s="438"/>
      <c r="P782" s="437"/>
      <c r="Q782" s="438"/>
      <c r="R782" s="437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1"/>
      <c r="F783" s="1173"/>
      <c r="G783" s="1"/>
      <c r="H783" s="1173"/>
      <c r="I783" s="438"/>
      <c r="J783" s="437"/>
      <c r="K783" s="438"/>
      <c r="L783" s="437"/>
      <c r="M783" s="438"/>
      <c r="N783" s="437"/>
      <c r="O783" s="438"/>
      <c r="P783" s="437"/>
      <c r="Q783" s="438"/>
      <c r="R783" s="437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1"/>
      <c r="F784" s="1173"/>
      <c r="G784" s="1"/>
      <c r="H784" s="1173"/>
      <c r="I784" s="438"/>
      <c r="J784" s="437"/>
      <c r="K784" s="438"/>
      <c r="L784" s="437"/>
      <c r="M784" s="438"/>
      <c r="N784" s="437"/>
      <c r="O784" s="438"/>
      <c r="P784" s="437"/>
      <c r="Q784" s="438"/>
      <c r="R784" s="437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1"/>
      <c r="F785" s="1173"/>
      <c r="G785" s="1"/>
      <c r="H785" s="1173"/>
      <c r="I785" s="438"/>
      <c r="J785" s="437"/>
      <c r="K785" s="438"/>
      <c r="L785" s="437"/>
      <c r="M785" s="438"/>
      <c r="N785" s="437"/>
      <c r="O785" s="438"/>
      <c r="P785" s="437"/>
      <c r="Q785" s="438"/>
      <c r="R785" s="437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1"/>
      <c r="F786" s="1173"/>
      <c r="G786" s="1"/>
      <c r="H786" s="1173"/>
      <c r="I786" s="438"/>
      <c r="J786" s="437"/>
      <c r="K786" s="438"/>
      <c r="L786" s="437"/>
      <c r="M786" s="438"/>
      <c r="N786" s="437"/>
      <c r="O786" s="438"/>
      <c r="P786" s="437"/>
      <c r="Q786" s="438"/>
      <c r="R786" s="437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1"/>
      <c r="F787" s="1173"/>
      <c r="G787" s="1"/>
      <c r="H787" s="1173"/>
      <c r="I787" s="438"/>
      <c r="J787" s="437"/>
      <c r="K787" s="438"/>
      <c r="L787" s="437"/>
      <c r="M787" s="438"/>
      <c r="N787" s="437"/>
      <c r="O787" s="438"/>
      <c r="P787" s="437"/>
      <c r="Q787" s="438"/>
      <c r="R787" s="437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1"/>
      <c r="F788" s="1173"/>
      <c r="G788" s="1"/>
      <c r="H788" s="1173"/>
      <c r="I788" s="438"/>
      <c r="J788" s="437"/>
      <c r="K788" s="438"/>
      <c r="L788" s="437"/>
      <c r="M788" s="438"/>
      <c r="N788" s="437"/>
      <c r="O788" s="438"/>
      <c r="P788" s="437"/>
      <c r="Q788" s="438"/>
      <c r="R788" s="437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1"/>
      <c r="F789" s="1173"/>
      <c r="G789" s="1"/>
      <c r="H789" s="1173"/>
      <c r="I789" s="438"/>
      <c r="J789" s="437"/>
      <c r="K789" s="438"/>
      <c r="L789" s="437"/>
      <c r="M789" s="438"/>
      <c r="N789" s="437"/>
      <c r="O789" s="438"/>
      <c r="P789" s="437"/>
      <c r="Q789" s="438"/>
      <c r="R789" s="437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1"/>
      <c r="F790" s="1173"/>
      <c r="G790" s="1"/>
      <c r="H790" s="1173"/>
      <c r="I790" s="438"/>
      <c r="J790" s="437"/>
      <c r="K790" s="438"/>
      <c r="L790" s="437"/>
      <c r="M790" s="438"/>
      <c r="N790" s="437"/>
      <c r="O790" s="438"/>
      <c r="P790" s="437"/>
      <c r="Q790" s="438"/>
      <c r="R790" s="437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1"/>
      <c r="F791" s="1173"/>
      <c r="G791" s="1"/>
      <c r="H791" s="1173"/>
      <c r="I791" s="438"/>
      <c r="J791" s="437"/>
      <c r="K791" s="438"/>
      <c r="L791" s="437"/>
      <c r="M791" s="438"/>
      <c r="N791" s="437"/>
      <c r="O791" s="438"/>
      <c r="P791" s="437"/>
      <c r="Q791" s="438"/>
      <c r="R791" s="437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1"/>
      <c r="F792" s="1173"/>
      <c r="G792" s="1"/>
      <c r="H792" s="1173"/>
      <c r="I792" s="438"/>
      <c r="J792" s="437"/>
      <c r="K792" s="438"/>
      <c r="L792" s="437"/>
      <c r="M792" s="438"/>
      <c r="N792" s="437"/>
      <c r="O792" s="438"/>
      <c r="P792" s="437"/>
      <c r="Q792" s="438"/>
      <c r="R792" s="437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1"/>
      <c r="F793" s="1173"/>
      <c r="G793" s="1"/>
      <c r="H793" s="1173"/>
      <c r="I793" s="438"/>
      <c r="J793" s="437"/>
      <c r="K793" s="438"/>
      <c r="L793" s="437"/>
      <c r="M793" s="438"/>
      <c r="N793" s="437"/>
      <c r="O793" s="438"/>
      <c r="P793" s="437"/>
      <c r="Q793" s="438"/>
      <c r="R793" s="437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1"/>
      <c r="F794" s="1173"/>
      <c r="G794" s="1"/>
      <c r="H794" s="1173"/>
      <c r="I794" s="438"/>
      <c r="J794" s="437"/>
      <c r="K794" s="438"/>
      <c r="L794" s="437"/>
      <c r="M794" s="438"/>
      <c r="N794" s="437"/>
      <c r="O794" s="438"/>
      <c r="P794" s="437"/>
      <c r="Q794" s="438"/>
      <c r="R794" s="437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1"/>
      <c r="F795" s="1173"/>
      <c r="G795" s="1"/>
      <c r="H795" s="1173"/>
      <c r="I795" s="438"/>
      <c r="J795" s="437"/>
      <c r="K795" s="438"/>
      <c r="L795" s="437"/>
      <c r="M795" s="438"/>
      <c r="N795" s="437"/>
      <c r="O795" s="438"/>
      <c r="P795" s="437"/>
      <c r="Q795" s="438"/>
      <c r="R795" s="437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1"/>
      <c r="F796" s="1173"/>
      <c r="G796" s="1"/>
      <c r="H796" s="1173"/>
      <c r="I796" s="438"/>
      <c r="J796" s="437"/>
      <c r="K796" s="438"/>
      <c r="L796" s="437"/>
      <c r="M796" s="438"/>
      <c r="N796" s="437"/>
      <c r="O796" s="438"/>
      <c r="P796" s="437"/>
      <c r="Q796" s="438"/>
      <c r="R796" s="437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1"/>
      <c r="F797" s="1173"/>
      <c r="G797" s="1"/>
      <c r="H797" s="1173"/>
      <c r="I797" s="438"/>
      <c r="J797" s="437"/>
      <c r="K797" s="438"/>
      <c r="L797" s="437"/>
      <c r="M797" s="438"/>
      <c r="N797" s="437"/>
      <c r="O797" s="438"/>
      <c r="P797" s="437"/>
      <c r="Q797" s="438"/>
      <c r="R797" s="437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1"/>
      <c r="F798" s="1173"/>
      <c r="G798" s="1"/>
      <c r="H798" s="1173"/>
      <c r="I798" s="438"/>
      <c r="J798" s="437"/>
      <c r="K798" s="438"/>
      <c r="L798" s="437"/>
      <c r="M798" s="438"/>
      <c r="N798" s="437"/>
      <c r="O798" s="438"/>
      <c r="P798" s="437"/>
      <c r="Q798" s="438"/>
      <c r="R798" s="437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1"/>
      <c r="F799" s="1173"/>
      <c r="G799" s="1"/>
      <c r="H799" s="1173"/>
      <c r="I799" s="438"/>
      <c r="J799" s="437"/>
      <c r="K799" s="438"/>
      <c r="L799" s="437"/>
      <c r="M799" s="438"/>
      <c r="N799" s="437"/>
      <c r="O799" s="438"/>
      <c r="P799" s="437"/>
      <c r="Q799" s="438"/>
      <c r="R799" s="437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1"/>
      <c r="F800" s="1173"/>
      <c r="G800" s="1"/>
      <c r="H800" s="1173"/>
      <c r="I800" s="438"/>
      <c r="J800" s="437"/>
      <c r="K800" s="438"/>
      <c r="L800" s="437"/>
      <c r="M800" s="438"/>
      <c r="N800" s="437"/>
      <c r="O800" s="438"/>
      <c r="P800" s="437"/>
      <c r="Q800" s="438"/>
      <c r="R800" s="437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1"/>
      <c r="F801" s="1173"/>
      <c r="G801" s="1"/>
      <c r="H801" s="1173"/>
      <c r="I801" s="438"/>
      <c r="J801" s="437"/>
      <c r="K801" s="438"/>
      <c r="L801" s="437"/>
      <c r="M801" s="438"/>
      <c r="N801" s="437"/>
      <c r="O801" s="438"/>
      <c r="P801" s="437"/>
      <c r="Q801" s="438"/>
      <c r="R801" s="437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1"/>
      <c r="F802" s="1173"/>
      <c r="G802" s="1"/>
      <c r="H802" s="1173"/>
      <c r="I802" s="438"/>
      <c r="J802" s="437"/>
      <c r="K802" s="438"/>
      <c r="L802" s="437"/>
      <c r="M802" s="438"/>
      <c r="N802" s="437"/>
      <c r="O802" s="438"/>
      <c r="P802" s="437"/>
      <c r="Q802" s="438"/>
      <c r="R802" s="437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1"/>
      <c r="F803" s="1173"/>
      <c r="G803" s="1"/>
      <c r="H803" s="1173"/>
      <c r="I803" s="438"/>
      <c r="J803" s="437"/>
      <c r="K803" s="438"/>
      <c r="L803" s="437"/>
      <c r="M803" s="438"/>
      <c r="N803" s="437"/>
      <c r="O803" s="438"/>
      <c r="P803" s="437"/>
      <c r="Q803" s="438"/>
      <c r="R803" s="437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1"/>
      <c r="F804" s="1173"/>
      <c r="G804" s="1"/>
      <c r="H804" s="1173"/>
      <c r="I804" s="438"/>
      <c r="J804" s="437"/>
      <c r="K804" s="438"/>
      <c r="L804" s="437"/>
      <c r="M804" s="438"/>
      <c r="N804" s="437"/>
      <c r="O804" s="438"/>
      <c r="P804" s="437"/>
      <c r="Q804" s="438"/>
      <c r="R804" s="437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1"/>
      <c r="F805" s="1173"/>
      <c r="G805" s="1"/>
      <c r="H805" s="1173"/>
      <c r="I805" s="438"/>
      <c r="J805" s="437"/>
      <c r="K805" s="438"/>
      <c r="L805" s="437"/>
      <c r="M805" s="438"/>
      <c r="N805" s="437"/>
      <c r="O805" s="438"/>
      <c r="P805" s="437"/>
      <c r="Q805" s="438"/>
      <c r="R805" s="437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1"/>
      <c r="F806" s="1173"/>
      <c r="G806" s="1"/>
      <c r="H806" s="1173"/>
      <c r="I806" s="438"/>
      <c r="J806" s="437"/>
      <c r="K806" s="438"/>
      <c r="L806" s="437"/>
      <c r="M806" s="438"/>
      <c r="N806" s="437"/>
      <c r="O806" s="438"/>
      <c r="P806" s="437"/>
      <c r="Q806" s="438"/>
      <c r="R806" s="437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1"/>
      <c r="F807" s="1173"/>
      <c r="G807" s="1"/>
      <c r="H807" s="1173"/>
      <c r="I807" s="438"/>
      <c r="J807" s="437"/>
      <c r="K807" s="438"/>
      <c r="L807" s="437"/>
      <c r="M807" s="438"/>
      <c r="N807" s="437"/>
      <c r="O807" s="438"/>
      <c r="P807" s="437"/>
      <c r="Q807" s="438"/>
      <c r="R807" s="437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1"/>
      <c r="F808" s="1173"/>
      <c r="G808" s="1"/>
      <c r="H808" s="1173"/>
      <c r="I808" s="438"/>
      <c r="J808" s="437"/>
      <c r="K808" s="438"/>
      <c r="L808" s="437"/>
      <c r="M808" s="438"/>
      <c r="N808" s="437"/>
      <c r="O808" s="438"/>
      <c r="P808" s="437"/>
      <c r="Q808" s="438"/>
      <c r="R808" s="437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1"/>
      <c r="F809" s="1173"/>
      <c r="G809" s="1"/>
      <c r="H809" s="1173"/>
      <c r="I809" s="438"/>
      <c r="J809" s="437"/>
      <c r="K809" s="438"/>
      <c r="L809" s="437"/>
      <c r="M809" s="438"/>
      <c r="N809" s="437"/>
      <c r="O809" s="438"/>
      <c r="P809" s="437"/>
      <c r="Q809" s="438"/>
      <c r="R809" s="437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1"/>
      <c r="F810" s="1173"/>
      <c r="G810" s="1"/>
      <c r="H810" s="1173"/>
      <c r="I810" s="438"/>
      <c r="J810" s="437"/>
      <c r="K810" s="438"/>
      <c r="L810" s="437"/>
      <c r="M810" s="438"/>
      <c r="N810" s="437"/>
      <c r="O810" s="438"/>
      <c r="P810" s="437"/>
      <c r="Q810" s="438"/>
      <c r="R810" s="437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1"/>
      <c r="F811" s="1173"/>
      <c r="G811" s="1"/>
      <c r="H811" s="1173"/>
      <c r="I811" s="438"/>
      <c r="J811" s="437"/>
      <c r="K811" s="438"/>
      <c r="L811" s="437"/>
      <c r="M811" s="438"/>
      <c r="N811" s="437"/>
      <c r="O811" s="438"/>
      <c r="P811" s="437"/>
      <c r="Q811" s="438"/>
      <c r="R811" s="437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1"/>
      <c r="F812" s="1173"/>
      <c r="G812" s="1"/>
      <c r="H812" s="1173"/>
      <c r="I812" s="438"/>
      <c r="J812" s="437"/>
      <c r="K812" s="438"/>
      <c r="L812" s="437"/>
      <c r="M812" s="438"/>
      <c r="N812" s="437"/>
      <c r="O812" s="438"/>
      <c r="P812" s="437"/>
      <c r="Q812" s="438"/>
      <c r="R812" s="437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1"/>
      <c r="F813" s="1173"/>
      <c r="G813" s="1"/>
      <c r="H813" s="1173"/>
      <c r="I813" s="438"/>
      <c r="J813" s="437"/>
      <c r="K813" s="438"/>
      <c r="L813" s="437"/>
      <c r="M813" s="438"/>
      <c r="N813" s="437"/>
      <c r="O813" s="438"/>
      <c r="P813" s="437"/>
      <c r="Q813" s="438"/>
      <c r="R813" s="437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1"/>
      <c r="F814" s="1173"/>
      <c r="G814" s="1"/>
      <c r="H814" s="1173"/>
      <c r="I814" s="438"/>
      <c r="J814" s="437"/>
      <c r="K814" s="438"/>
      <c r="L814" s="437"/>
      <c r="M814" s="438"/>
      <c r="N814" s="437"/>
      <c r="O814" s="438"/>
      <c r="P814" s="437"/>
      <c r="Q814" s="438"/>
      <c r="R814" s="437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1"/>
      <c r="F815" s="1173"/>
      <c r="G815" s="1"/>
      <c r="H815" s="1173"/>
      <c r="I815" s="438"/>
      <c r="J815" s="437"/>
      <c r="K815" s="438"/>
      <c r="L815" s="437"/>
      <c r="M815" s="438"/>
      <c r="N815" s="437"/>
      <c r="O815" s="438"/>
      <c r="P815" s="437"/>
      <c r="Q815" s="438"/>
      <c r="R815" s="437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1"/>
      <c r="F816" s="1173"/>
      <c r="G816" s="1"/>
      <c r="H816" s="1173"/>
      <c r="I816" s="438"/>
      <c r="J816" s="437"/>
      <c r="K816" s="438"/>
      <c r="L816" s="437"/>
      <c r="M816" s="438"/>
      <c r="N816" s="437"/>
      <c r="O816" s="438"/>
      <c r="P816" s="437"/>
      <c r="Q816" s="438"/>
      <c r="R816" s="437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1"/>
      <c r="F817" s="1173"/>
      <c r="G817" s="1"/>
      <c r="H817" s="1173"/>
      <c r="I817" s="438"/>
      <c r="J817" s="437"/>
      <c r="K817" s="438"/>
      <c r="L817" s="437"/>
      <c r="M817" s="438"/>
      <c r="N817" s="437"/>
      <c r="O817" s="438"/>
      <c r="P817" s="437"/>
      <c r="Q817" s="438"/>
      <c r="R817" s="437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1"/>
      <c r="F818" s="1173"/>
      <c r="G818" s="1"/>
      <c r="H818" s="1173"/>
      <c r="I818" s="438"/>
      <c r="J818" s="437"/>
      <c r="K818" s="438"/>
      <c r="L818" s="437"/>
      <c r="M818" s="438"/>
      <c r="N818" s="437"/>
      <c r="O818" s="438"/>
      <c r="P818" s="437"/>
      <c r="Q818" s="438"/>
      <c r="R818" s="437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1"/>
      <c r="F819" s="1173"/>
      <c r="G819" s="1"/>
      <c r="H819" s="1173"/>
      <c r="I819" s="438"/>
      <c r="J819" s="437"/>
      <c r="K819" s="438"/>
      <c r="L819" s="437"/>
      <c r="M819" s="438"/>
      <c r="N819" s="437"/>
      <c r="O819" s="438"/>
      <c r="P819" s="437"/>
      <c r="Q819" s="438"/>
      <c r="R819" s="437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1"/>
      <c r="F820" s="1173"/>
      <c r="G820" s="1"/>
      <c r="H820" s="1173"/>
      <c r="I820" s="438"/>
      <c r="J820" s="437"/>
      <c r="K820" s="438"/>
      <c r="L820" s="437"/>
      <c r="M820" s="438"/>
      <c r="N820" s="437"/>
      <c r="O820" s="438"/>
      <c r="P820" s="437"/>
      <c r="Q820" s="438"/>
      <c r="R820" s="437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1"/>
      <c r="F821" s="1173"/>
      <c r="G821" s="1"/>
      <c r="H821" s="1173"/>
      <c r="I821" s="438"/>
      <c r="J821" s="437"/>
      <c r="K821" s="438"/>
      <c r="L821" s="437"/>
      <c r="M821" s="438"/>
      <c r="N821" s="437"/>
      <c r="O821" s="438"/>
      <c r="P821" s="437"/>
      <c r="Q821" s="438"/>
      <c r="R821" s="437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1"/>
      <c r="F822" s="1173"/>
      <c r="G822" s="1"/>
      <c r="H822" s="1173"/>
      <c r="I822" s="438"/>
      <c r="J822" s="437"/>
      <c r="K822" s="438"/>
      <c r="L822" s="437"/>
      <c r="M822" s="438"/>
      <c r="N822" s="437"/>
      <c r="O822" s="438"/>
      <c r="P822" s="437"/>
      <c r="Q822" s="438"/>
      <c r="R822" s="437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1"/>
      <c r="F823" s="1173"/>
      <c r="G823" s="1"/>
      <c r="H823" s="1173"/>
      <c r="I823" s="438"/>
      <c r="J823" s="437"/>
      <c r="K823" s="438"/>
      <c r="L823" s="437"/>
      <c r="M823" s="438"/>
      <c r="N823" s="437"/>
      <c r="O823" s="438"/>
      <c r="P823" s="437"/>
      <c r="Q823" s="438"/>
      <c r="R823" s="437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1"/>
      <c r="F824" s="1173"/>
      <c r="G824" s="1"/>
      <c r="H824" s="1173"/>
      <c r="I824" s="438"/>
      <c r="J824" s="437"/>
      <c r="K824" s="438"/>
      <c r="L824" s="437"/>
      <c r="M824" s="438"/>
      <c r="N824" s="437"/>
      <c r="O824" s="438"/>
      <c r="P824" s="437"/>
      <c r="Q824" s="438"/>
      <c r="R824" s="437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1"/>
      <c r="F825" s="1173"/>
      <c r="G825" s="1"/>
      <c r="H825" s="1173"/>
      <c r="I825" s="438"/>
      <c r="J825" s="437"/>
      <c r="K825" s="438"/>
      <c r="L825" s="437"/>
      <c r="M825" s="438"/>
      <c r="N825" s="437"/>
      <c r="O825" s="438"/>
      <c r="P825" s="437"/>
      <c r="Q825" s="438"/>
      <c r="R825" s="437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1"/>
      <c r="F826" s="1173"/>
      <c r="G826" s="1"/>
      <c r="H826" s="1173"/>
      <c r="I826" s="438"/>
      <c r="J826" s="437"/>
      <c r="K826" s="438"/>
      <c r="L826" s="437"/>
      <c r="M826" s="438"/>
      <c r="N826" s="437"/>
      <c r="O826" s="438"/>
      <c r="P826" s="437"/>
      <c r="Q826" s="438"/>
      <c r="R826" s="437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1"/>
      <c r="F827" s="1173"/>
      <c r="G827" s="1"/>
      <c r="H827" s="1173"/>
      <c r="I827" s="438"/>
      <c r="J827" s="437"/>
      <c r="K827" s="438"/>
      <c r="L827" s="437"/>
      <c r="M827" s="438"/>
      <c r="N827" s="437"/>
      <c r="O827" s="438"/>
      <c r="P827" s="437"/>
      <c r="Q827" s="438"/>
      <c r="R827" s="437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1"/>
      <c r="F828" s="1173"/>
      <c r="G828" s="1"/>
      <c r="H828" s="1173"/>
      <c r="I828" s="438"/>
      <c r="J828" s="437"/>
      <c r="K828" s="438"/>
      <c r="L828" s="437"/>
      <c r="M828" s="438"/>
      <c r="N828" s="437"/>
      <c r="O828" s="438"/>
      <c r="P828" s="437"/>
      <c r="Q828" s="438"/>
      <c r="R828" s="437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1"/>
      <c r="F829" s="1173"/>
      <c r="G829" s="1"/>
      <c r="H829" s="1173"/>
      <c r="I829" s="438"/>
      <c r="J829" s="437"/>
      <c r="K829" s="438"/>
      <c r="L829" s="437"/>
      <c r="M829" s="438"/>
      <c r="N829" s="437"/>
      <c r="O829" s="438"/>
      <c r="P829" s="437"/>
      <c r="Q829" s="438"/>
      <c r="R829" s="437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1"/>
      <c r="F830" s="1173"/>
      <c r="G830" s="1"/>
      <c r="H830" s="1173"/>
      <c r="I830" s="438"/>
      <c r="J830" s="437"/>
      <c r="K830" s="438"/>
      <c r="L830" s="437"/>
      <c r="M830" s="438"/>
      <c r="N830" s="437"/>
      <c r="O830" s="438"/>
      <c r="P830" s="437"/>
      <c r="Q830" s="438"/>
      <c r="R830" s="437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1"/>
      <c r="F831" s="1173"/>
      <c r="G831" s="1"/>
      <c r="H831" s="1173"/>
      <c r="I831" s="438"/>
      <c r="J831" s="437"/>
      <c r="K831" s="438"/>
      <c r="L831" s="437"/>
      <c r="M831" s="438"/>
      <c r="N831" s="437"/>
      <c r="O831" s="438"/>
      <c r="P831" s="437"/>
      <c r="Q831" s="438"/>
      <c r="R831" s="437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1"/>
      <c r="F832" s="1173"/>
      <c r="G832" s="1"/>
      <c r="H832" s="1173"/>
      <c r="I832" s="438"/>
      <c r="J832" s="437"/>
      <c r="K832" s="438"/>
      <c r="L832" s="437"/>
      <c r="M832" s="438"/>
      <c r="N832" s="437"/>
      <c r="O832" s="438"/>
      <c r="P832" s="437"/>
      <c r="Q832" s="438"/>
      <c r="R832" s="437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1"/>
      <c r="F833" s="1173"/>
      <c r="G833" s="1"/>
      <c r="H833" s="1173"/>
      <c r="I833" s="438"/>
      <c r="J833" s="437"/>
      <c r="K833" s="438"/>
      <c r="L833" s="437"/>
      <c r="M833" s="438"/>
      <c r="N833" s="437"/>
      <c r="O833" s="438"/>
      <c r="P833" s="437"/>
      <c r="Q833" s="438"/>
      <c r="R833" s="437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1"/>
      <c r="F834" s="1173"/>
      <c r="G834" s="1"/>
      <c r="H834" s="1173"/>
      <c r="I834" s="438"/>
      <c r="J834" s="437"/>
      <c r="K834" s="438"/>
      <c r="L834" s="437"/>
      <c r="M834" s="438"/>
      <c r="N834" s="437"/>
      <c r="O834" s="438"/>
      <c r="P834" s="437"/>
      <c r="Q834" s="438"/>
      <c r="R834" s="437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1"/>
      <c r="F835" s="1173"/>
      <c r="G835" s="1"/>
      <c r="H835" s="1173"/>
      <c r="I835" s="438"/>
      <c r="J835" s="437"/>
      <c r="K835" s="438"/>
      <c r="L835" s="437"/>
      <c r="M835" s="438"/>
      <c r="N835" s="437"/>
      <c r="O835" s="438"/>
      <c r="P835" s="437"/>
      <c r="Q835" s="438"/>
      <c r="R835" s="437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1"/>
      <c r="F836" s="1173"/>
      <c r="G836" s="1"/>
      <c r="H836" s="1173"/>
      <c r="I836" s="438"/>
      <c r="J836" s="437"/>
      <c r="K836" s="438"/>
      <c r="L836" s="437"/>
      <c r="M836" s="438"/>
      <c r="N836" s="437"/>
      <c r="O836" s="438"/>
      <c r="P836" s="437"/>
      <c r="Q836" s="438"/>
      <c r="R836" s="437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1"/>
      <c r="F837" s="1173"/>
      <c r="G837" s="1"/>
      <c r="H837" s="1173"/>
      <c r="I837" s="438"/>
      <c r="J837" s="437"/>
      <c r="K837" s="438"/>
      <c r="L837" s="437"/>
      <c r="M837" s="438"/>
      <c r="N837" s="437"/>
      <c r="O837" s="438"/>
      <c r="P837" s="437"/>
      <c r="Q837" s="438"/>
      <c r="R837" s="437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1"/>
      <c r="F838" s="1173"/>
      <c r="G838" s="1"/>
      <c r="H838" s="1173"/>
      <c r="I838" s="438"/>
      <c r="J838" s="437"/>
      <c r="K838" s="438"/>
      <c r="L838" s="437"/>
      <c r="M838" s="438"/>
      <c r="N838" s="437"/>
      <c r="O838" s="438"/>
      <c r="P838" s="437"/>
      <c r="Q838" s="438"/>
      <c r="R838" s="437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1"/>
      <c r="F839" s="1173"/>
      <c r="G839" s="1"/>
      <c r="H839" s="1173"/>
      <c r="I839" s="438"/>
      <c r="J839" s="437"/>
      <c r="K839" s="438"/>
      <c r="L839" s="437"/>
      <c r="M839" s="438"/>
      <c r="N839" s="437"/>
      <c r="O839" s="438"/>
      <c r="P839" s="437"/>
      <c r="Q839" s="438"/>
      <c r="R839" s="437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1"/>
      <c r="F840" s="1173"/>
      <c r="G840" s="1"/>
      <c r="H840" s="1173"/>
      <c r="I840" s="438"/>
      <c r="J840" s="437"/>
      <c r="K840" s="438"/>
      <c r="L840" s="437"/>
      <c r="M840" s="438"/>
      <c r="N840" s="437"/>
      <c r="O840" s="438"/>
      <c r="P840" s="437"/>
      <c r="Q840" s="438"/>
      <c r="R840" s="437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1"/>
      <c r="F841" s="1173"/>
      <c r="G841" s="1"/>
      <c r="H841" s="1173"/>
      <c r="I841" s="438"/>
      <c r="J841" s="437"/>
      <c r="K841" s="438"/>
      <c r="L841" s="437"/>
      <c r="M841" s="438"/>
      <c r="N841" s="437"/>
      <c r="O841" s="438"/>
      <c r="P841" s="437"/>
      <c r="Q841" s="438"/>
      <c r="R841" s="437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1"/>
      <c r="F842" s="1173"/>
      <c r="G842" s="1"/>
      <c r="H842" s="1173"/>
      <c r="I842" s="438"/>
      <c r="J842" s="437"/>
      <c r="K842" s="438"/>
      <c r="L842" s="437"/>
      <c r="M842" s="438"/>
      <c r="N842" s="437"/>
      <c r="O842" s="438"/>
      <c r="P842" s="437"/>
      <c r="Q842" s="438"/>
      <c r="R842" s="437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1"/>
      <c r="F843" s="1173"/>
      <c r="G843" s="1"/>
      <c r="H843" s="1173"/>
      <c r="I843" s="438"/>
      <c r="J843" s="437"/>
      <c r="K843" s="438"/>
      <c r="L843" s="437"/>
      <c r="M843" s="438"/>
      <c r="N843" s="437"/>
      <c r="O843" s="438"/>
      <c r="P843" s="437"/>
      <c r="Q843" s="438"/>
      <c r="R843" s="437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1"/>
      <c r="F844" s="1173"/>
      <c r="G844" s="1"/>
      <c r="H844" s="1173"/>
      <c r="I844" s="438"/>
      <c r="J844" s="437"/>
      <c r="K844" s="438"/>
      <c r="L844" s="437"/>
      <c r="M844" s="438"/>
      <c r="N844" s="437"/>
      <c r="O844" s="438"/>
      <c r="P844" s="437"/>
      <c r="Q844" s="438"/>
      <c r="R844" s="437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1"/>
      <c r="F845" s="1173"/>
      <c r="G845" s="1"/>
      <c r="H845" s="1173"/>
      <c r="I845" s="438"/>
      <c r="J845" s="437"/>
      <c r="K845" s="438"/>
      <c r="L845" s="437"/>
      <c r="M845" s="438"/>
      <c r="N845" s="437"/>
      <c r="O845" s="438"/>
      <c r="P845" s="437"/>
      <c r="Q845" s="438"/>
      <c r="R845" s="437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1"/>
      <c r="F846" s="1173"/>
      <c r="G846" s="1"/>
      <c r="H846" s="1173"/>
      <c r="I846" s="438"/>
      <c r="J846" s="437"/>
      <c r="K846" s="438"/>
      <c r="L846" s="437"/>
      <c r="M846" s="438"/>
      <c r="N846" s="437"/>
      <c r="O846" s="438"/>
      <c r="P846" s="437"/>
      <c r="Q846" s="438"/>
      <c r="R846" s="437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1"/>
      <c r="F847" s="1173"/>
      <c r="G847" s="1"/>
      <c r="H847" s="1173"/>
      <c r="I847" s="438"/>
      <c r="J847" s="437"/>
      <c r="K847" s="438"/>
      <c r="L847" s="437"/>
      <c r="M847" s="438"/>
      <c r="N847" s="437"/>
      <c r="O847" s="438"/>
      <c r="P847" s="437"/>
      <c r="Q847" s="438"/>
      <c r="R847" s="437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1"/>
      <c r="F848" s="1173"/>
      <c r="G848" s="1"/>
      <c r="H848" s="1173"/>
      <c r="I848" s="438"/>
      <c r="J848" s="437"/>
      <c r="K848" s="438"/>
      <c r="L848" s="437"/>
      <c r="M848" s="438"/>
      <c r="N848" s="437"/>
      <c r="O848" s="438"/>
      <c r="P848" s="437"/>
      <c r="Q848" s="438"/>
      <c r="R848" s="437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1"/>
      <c r="F849" s="1173"/>
      <c r="G849" s="1"/>
      <c r="H849" s="1173"/>
      <c r="I849" s="438"/>
      <c r="J849" s="437"/>
      <c r="K849" s="438"/>
      <c r="L849" s="437"/>
      <c r="M849" s="438"/>
      <c r="N849" s="437"/>
      <c r="O849" s="438"/>
      <c r="P849" s="437"/>
      <c r="Q849" s="438"/>
      <c r="R849" s="437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1"/>
      <c r="F850" s="1173"/>
      <c r="G850" s="1"/>
      <c r="H850" s="1173"/>
      <c r="I850" s="438"/>
      <c r="J850" s="437"/>
      <c r="K850" s="438"/>
      <c r="L850" s="437"/>
      <c r="M850" s="438"/>
      <c r="N850" s="437"/>
      <c r="O850" s="438"/>
      <c r="P850" s="437"/>
      <c r="Q850" s="438"/>
      <c r="R850" s="437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1"/>
      <c r="F851" s="1173"/>
      <c r="G851" s="1"/>
      <c r="H851" s="1173"/>
      <c r="I851" s="438"/>
      <c r="J851" s="437"/>
      <c r="K851" s="438"/>
      <c r="L851" s="437"/>
      <c r="M851" s="438"/>
      <c r="N851" s="437"/>
      <c r="O851" s="438"/>
      <c r="P851" s="437"/>
      <c r="Q851" s="438"/>
      <c r="R851" s="437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1"/>
      <c r="F852" s="1173"/>
      <c r="G852" s="1"/>
      <c r="H852" s="1173"/>
      <c r="I852" s="438"/>
      <c r="J852" s="437"/>
      <c r="K852" s="438"/>
      <c r="L852" s="437"/>
      <c r="M852" s="438"/>
      <c r="N852" s="437"/>
      <c r="O852" s="438"/>
      <c r="P852" s="437"/>
      <c r="Q852" s="438"/>
      <c r="R852" s="437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1"/>
      <c r="F853" s="1173"/>
      <c r="G853" s="1"/>
      <c r="H853" s="1173"/>
      <c r="I853" s="438"/>
      <c r="J853" s="437"/>
      <c r="K853" s="438"/>
      <c r="L853" s="437"/>
      <c r="M853" s="438"/>
      <c r="N853" s="437"/>
      <c r="O853" s="438"/>
      <c r="P853" s="437"/>
      <c r="Q853" s="438"/>
      <c r="R853" s="437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1"/>
      <c r="F854" s="1173"/>
      <c r="G854" s="1"/>
      <c r="H854" s="1173"/>
      <c r="I854" s="438"/>
      <c r="J854" s="437"/>
      <c r="K854" s="438"/>
      <c r="L854" s="437"/>
      <c r="M854" s="438"/>
      <c r="N854" s="437"/>
      <c r="O854" s="438"/>
      <c r="P854" s="437"/>
      <c r="Q854" s="438"/>
      <c r="R854" s="437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1"/>
      <c r="F855" s="1173"/>
      <c r="G855" s="1"/>
      <c r="H855" s="1173"/>
      <c r="I855" s="438"/>
      <c r="J855" s="437"/>
      <c r="K855" s="438"/>
      <c r="L855" s="437"/>
      <c r="M855" s="438"/>
      <c r="N855" s="437"/>
      <c r="O855" s="438"/>
      <c r="P855" s="437"/>
      <c r="Q855" s="438"/>
      <c r="R855" s="437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1"/>
      <c r="F856" s="1173"/>
      <c r="G856" s="1"/>
      <c r="H856" s="1173"/>
      <c r="I856" s="438"/>
      <c r="J856" s="437"/>
      <c r="K856" s="438"/>
      <c r="L856" s="437"/>
      <c r="M856" s="438"/>
      <c r="N856" s="437"/>
      <c r="O856" s="438"/>
      <c r="P856" s="437"/>
      <c r="Q856" s="438"/>
      <c r="R856" s="437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1"/>
      <c r="F857" s="1173"/>
      <c r="G857" s="1"/>
      <c r="H857" s="1173"/>
      <c r="I857" s="438"/>
      <c r="J857" s="437"/>
      <c r="K857" s="438"/>
      <c r="L857" s="437"/>
      <c r="M857" s="438"/>
      <c r="N857" s="437"/>
      <c r="O857" s="438"/>
      <c r="P857" s="437"/>
      <c r="Q857" s="438"/>
      <c r="R857" s="437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1"/>
      <c r="F858" s="1173"/>
      <c r="G858" s="1"/>
      <c r="H858" s="1173"/>
      <c r="I858" s="438"/>
      <c r="J858" s="437"/>
      <c r="K858" s="438"/>
      <c r="L858" s="437"/>
      <c r="M858" s="438"/>
      <c r="N858" s="437"/>
      <c r="O858" s="438"/>
      <c r="P858" s="437"/>
      <c r="Q858" s="438"/>
      <c r="R858" s="437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1"/>
      <c r="F859" s="1173"/>
      <c r="G859" s="1"/>
      <c r="H859" s="1173"/>
      <c r="I859" s="438"/>
      <c r="J859" s="437"/>
      <c r="K859" s="438"/>
      <c r="L859" s="437"/>
      <c r="M859" s="438"/>
      <c r="N859" s="437"/>
      <c r="O859" s="438"/>
      <c r="P859" s="437"/>
      <c r="Q859" s="438"/>
      <c r="R859" s="437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1"/>
      <c r="F860" s="1173"/>
      <c r="G860" s="1"/>
      <c r="H860" s="1173"/>
      <c r="I860" s="438"/>
      <c r="J860" s="437"/>
      <c r="K860" s="438"/>
      <c r="L860" s="437"/>
      <c r="M860" s="438"/>
      <c r="N860" s="437"/>
      <c r="O860" s="438"/>
      <c r="P860" s="437"/>
      <c r="Q860" s="438"/>
      <c r="R860" s="437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1"/>
      <c r="F861" s="1173"/>
      <c r="G861" s="1"/>
      <c r="H861" s="1173"/>
      <c r="I861" s="438"/>
      <c r="J861" s="437"/>
      <c r="K861" s="438"/>
      <c r="L861" s="437"/>
      <c r="M861" s="438"/>
      <c r="N861" s="437"/>
      <c r="O861" s="438"/>
      <c r="P861" s="437"/>
      <c r="Q861" s="438"/>
      <c r="R861" s="437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1"/>
      <c r="F862" s="1173"/>
      <c r="G862" s="1"/>
      <c r="H862" s="1173"/>
      <c r="I862" s="438"/>
      <c r="J862" s="437"/>
      <c r="K862" s="438"/>
      <c r="L862" s="437"/>
      <c r="M862" s="438"/>
      <c r="N862" s="437"/>
      <c r="O862" s="438"/>
      <c r="P862" s="437"/>
      <c r="Q862" s="438"/>
      <c r="R862" s="437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1"/>
      <c r="F863" s="1173"/>
      <c r="G863" s="1"/>
      <c r="H863" s="1173"/>
      <c r="I863" s="438"/>
      <c r="J863" s="437"/>
      <c r="K863" s="438"/>
      <c r="L863" s="437"/>
      <c r="M863" s="438"/>
      <c r="N863" s="437"/>
      <c r="O863" s="438"/>
      <c r="P863" s="437"/>
      <c r="Q863" s="438"/>
      <c r="R863" s="437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1"/>
      <c r="F864" s="1173"/>
      <c r="G864" s="1"/>
      <c r="H864" s="1173"/>
      <c r="I864" s="438"/>
      <c r="J864" s="437"/>
      <c r="K864" s="438"/>
      <c r="L864" s="437"/>
      <c r="M864" s="438"/>
      <c r="N864" s="437"/>
      <c r="O864" s="438"/>
      <c r="P864" s="437"/>
      <c r="Q864" s="438"/>
      <c r="R864" s="437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1"/>
      <c r="F865" s="1173"/>
      <c r="G865" s="1"/>
      <c r="H865" s="1173"/>
      <c r="I865" s="438"/>
      <c r="J865" s="437"/>
      <c r="K865" s="438"/>
      <c r="L865" s="437"/>
      <c r="M865" s="438"/>
      <c r="N865" s="437"/>
      <c r="O865" s="438"/>
      <c r="P865" s="437"/>
      <c r="Q865" s="438"/>
      <c r="R865" s="437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1"/>
      <c r="F866" s="1173"/>
      <c r="G866" s="1"/>
      <c r="H866" s="1173"/>
      <c r="I866" s="438"/>
      <c r="J866" s="437"/>
      <c r="K866" s="438"/>
      <c r="L866" s="437"/>
      <c r="M866" s="438"/>
      <c r="N866" s="437"/>
      <c r="O866" s="438"/>
      <c r="P866" s="437"/>
      <c r="Q866" s="438"/>
      <c r="R866" s="437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1"/>
      <c r="F867" s="1173"/>
      <c r="G867" s="1"/>
      <c r="H867" s="1173"/>
      <c r="I867" s="438"/>
      <c r="J867" s="437"/>
      <c r="K867" s="438"/>
      <c r="L867" s="437"/>
      <c r="M867" s="438"/>
      <c r="N867" s="437"/>
      <c r="O867" s="438"/>
      <c r="P867" s="437"/>
      <c r="Q867" s="438"/>
      <c r="R867" s="437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1"/>
      <c r="F868" s="1173"/>
      <c r="G868" s="1"/>
      <c r="H868" s="1173"/>
      <c r="I868" s="438"/>
      <c r="J868" s="437"/>
      <c r="K868" s="438"/>
      <c r="L868" s="437"/>
      <c r="M868" s="438"/>
      <c r="N868" s="437"/>
      <c r="O868" s="438"/>
      <c r="P868" s="437"/>
      <c r="Q868" s="438"/>
      <c r="R868" s="437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1"/>
      <c r="F869" s="1173"/>
      <c r="G869" s="1"/>
      <c r="H869" s="1173"/>
      <c r="I869" s="438"/>
      <c r="J869" s="437"/>
      <c r="K869" s="438"/>
      <c r="L869" s="437"/>
      <c r="M869" s="438"/>
      <c r="N869" s="437"/>
      <c r="O869" s="438"/>
      <c r="P869" s="437"/>
      <c r="Q869" s="438"/>
      <c r="R869" s="437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1"/>
      <c r="F870" s="1173"/>
      <c r="G870" s="1"/>
      <c r="H870" s="1173"/>
      <c r="I870" s="438"/>
      <c r="J870" s="437"/>
      <c r="K870" s="438"/>
      <c r="L870" s="437"/>
      <c r="M870" s="438"/>
      <c r="N870" s="437"/>
      <c r="O870" s="438"/>
      <c r="P870" s="437"/>
      <c r="Q870" s="438"/>
      <c r="R870" s="437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1"/>
      <c r="F871" s="1173"/>
      <c r="G871" s="1"/>
      <c r="H871" s="1173"/>
      <c r="I871" s="438"/>
      <c r="J871" s="437"/>
      <c r="K871" s="438"/>
      <c r="L871" s="437"/>
      <c r="M871" s="438"/>
      <c r="N871" s="437"/>
      <c r="O871" s="438"/>
      <c r="P871" s="437"/>
      <c r="Q871" s="438"/>
      <c r="R871" s="437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1"/>
      <c r="F872" s="1173"/>
      <c r="G872" s="1"/>
      <c r="H872" s="1173"/>
      <c r="I872" s="438"/>
      <c r="J872" s="437"/>
      <c r="K872" s="438"/>
      <c r="L872" s="437"/>
      <c r="M872" s="438"/>
      <c r="N872" s="437"/>
      <c r="O872" s="438"/>
      <c r="P872" s="437"/>
      <c r="Q872" s="438"/>
      <c r="R872" s="437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1"/>
      <c r="F873" s="1173"/>
      <c r="G873" s="1"/>
      <c r="H873" s="1173"/>
      <c r="I873" s="438"/>
      <c r="J873" s="437"/>
      <c r="K873" s="438"/>
      <c r="L873" s="437"/>
      <c r="M873" s="438"/>
      <c r="N873" s="437"/>
      <c r="O873" s="438"/>
      <c r="P873" s="437"/>
      <c r="Q873" s="438"/>
      <c r="R873" s="437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1"/>
      <c r="F874" s="1173"/>
      <c r="G874" s="1"/>
      <c r="H874" s="1173"/>
      <c r="I874" s="438"/>
      <c r="J874" s="437"/>
      <c r="K874" s="438"/>
      <c r="L874" s="437"/>
      <c r="M874" s="438"/>
      <c r="N874" s="437"/>
      <c r="O874" s="438"/>
      <c r="P874" s="437"/>
      <c r="Q874" s="438"/>
      <c r="R874" s="437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1"/>
      <c r="F875" s="1173"/>
      <c r="G875" s="1"/>
      <c r="H875" s="1173"/>
      <c r="I875" s="438"/>
      <c r="J875" s="437"/>
      <c r="K875" s="438"/>
      <c r="L875" s="437"/>
      <c r="M875" s="438"/>
      <c r="N875" s="437"/>
      <c r="O875" s="438"/>
      <c r="P875" s="437"/>
      <c r="Q875" s="438"/>
      <c r="R875" s="437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1"/>
      <c r="F876" s="1173"/>
      <c r="G876" s="1"/>
      <c r="H876" s="1173"/>
      <c r="I876" s="438"/>
      <c r="J876" s="437"/>
      <c r="K876" s="438"/>
      <c r="L876" s="437"/>
      <c r="M876" s="438"/>
      <c r="N876" s="437"/>
      <c r="O876" s="438"/>
      <c r="P876" s="437"/>
      <c r="Q876" s="438"/>
      <c r="R876" s="437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1"/>
      <c r="F877" s="1173"/>
      <c r="G877" s="1"/>
      <c r="H877" s="1173"/>
      <c r="I877" s="438"/>
      <c r="J877" s="437"/>
      <c r="K877" s="438"/>
      <c r="L877" s="437"/>
      <c r="M877" s="438"/>
      <c r="N877" s="437"/>
      <c r="O877" s="438"/>
      <c r="P877" s="437"/>
      <c r="Q877" s="438"/>
      <c r="R877" s="437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1"/>
      <c r="F878" s="1173"/>
      <c r="G878" s="1"/>
      <c r="H878" s="1173"/>
      <c r="I878" s="438"/>
      <c r="J878" s="437"/>
      <c r="K878" s="438"/>
      <c r="L878" s="437"/>
      <c r="M878" s="438"/>
      <c r="N878" s="437"/>
      <c r="O878" s="438"/>
      <c r="P878" s="437"/>
      <c r="Q878" s="438"/>
      <c r="R878" s="437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1"/>
      <c r="F879" s="1173"/>
      <c r="G879" s="1"/>
      <c r="H879" s="1173"/>
      <c r="I879" s="438"/>
      <c r="J879" s="437"/>
      <c r="K879" s="438"/>
      <c r="L879" s="437"/>
      <c r="M879" s="438"/>
      <c r="N879" s="437"/>
      <c r="O879" s="438"/>
      <c r="P879" s="437"/>
      <c r="Q879" s="438"/>
      <c r="R879" s="437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1"/>
      <c r="F880" s="1173"/>
      <c r="G880" s="1"/>
      <c r="H880" s="1173"/>
      <c r="I880" s="438"/>
      <c r="J880" s="437"/>
      <c r="K880" s="438"/>
      <c r="L880" s="437"/>
      <c r="M880" s="438"/>
      <c r="N880" s="437"/>
      <c r="O880" s="438"/>
      <c r="P880" s="437"/>
      <c r="Q880" s="438"/>
      <c r="R880" s="437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1"/>
      <c r="F881" s="1173"/>
      <c r="G881" s="1"/>
      <c r="H881" s="1173"/>
      <c r="I881" s="438"/>
      <c r="J881" s="437"/>
      <c r="K881" s="438"/>
      <c r="L881" s="437"/>
      <c r="M881" s="438"/>
      <c r="N881" s="437"/>
      <c r="O881" s="438"/>
      <c r="P881" s="437"/>
      <c r="Q881" s="438"/>
      <c r="R881" s="437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1"/>
      <c r="F882" s="1173"/>
      <c r="G882" s="1"/>
      <c r="H882" s="1173"/>
      <c r="I882" s="438"/>
      <c r="J882" s="437"/>
      <c r="K882" s="438"/>
      <c r="L882" s="437"/>
      <c r="M882" s="438"/>
      <c r="N882" s="437"/>
      <c r="O882" s="438"/>
      <c r="P882" s="437"/>
      <c r="Q882" s="438"/>
      <c r="R882" s="437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1"/>
      <c r="F883" s="1173"/>
      <c r="G883" s="1"/>
      <c r="H883" s="1173"/>
      <c r="I883" s="438"/>
      <c r="J883" s="437"/>
      <c r="K883" s="438"/>
      <c r="L883" s="437"/>
      <c r="M883" s="438"/>
      <c r="N883" s="437"/>
      <c r="O883" s="438"/>
      <c r="P883" s="437"/>
      <c r="Q883" s="438"/>
      <c r="R883" s="437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1"/>
      <c r="F884" s="1173"/>
      <c r="G884" s="1"/>
      <c r="H884" s="1173"/>
      <c r="I884" s="438"/>
      <c r="J884" s="437"/>
      <c r="K884" s="438"/>
      <c r="L884" s="437"/>
      <c r="M884" s="438"/>
      <c r="N884" s="437"/>
      <c r="O884" s="438"/>
      <c r="P884" s="437"/>
      <c r="Q884" s="438"/>
      <c r="R884" s="437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1"/>
      <c r="F885" s="1173"/>
      <c r="G885" s="1"/>
      <c r="H885" s="1173"/>
      <c r="I885" s="438"/>
      <c r="J885" s="437"/>
      <c r="K885" s="438"/>
      <c r="L885" s="437"/>
      <c r="M885" s="438"/>
      <c r="N885" s="437"/>
      <c r="O885" s="438"/>
      <c r="P885" s="437"/>
      <c r="Q885" s="438"/>
      <c r="R885" s="437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1"/>
      <c r="F886" s="1173"/>
      <c r="G886" s="1"/>
      <c r="H886" s="1173"/>
      <c r="I886" s="438"/>
      <c r="J886" s="437"/>
      <c r="K886" s="438"/>
      <c r="L886" s="437"/>
      <c r="M886" s="438"/>
      <c r="N886" s="437"/>
      <c r="O886" s="438"/>
      <c r="P886" s="437"/>
      <c r="Q886" s="438"/>
      <c r="R886" s="437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1"/>
      <c r="F887" s="1173"/>
      <c r="G887" s="1"/>
      <c r="H887" s="1173"/>
      <c r="I887" s="438"/>
      <c r="J887" s="437"/>
      <c r="K887" s="438"/>
      <c r="L887" s="437"/>
      <c r="M887" s="438"/>
      <c r="N887" s="437"/>
      <c r="O887" s="438"/>
      <c r="P887" s="437"/>
      <c r="Q887" s="438"/>
      <c r="R887" s="437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1"/>
      <c r="F888" s="1173"/>
      <c r="G888" s="1"/>
      <c r="H888" s="1173"/>
      <c r="I888" s="438"/>
      <c r="J888" s="437"/>
      <c r="K888" s="438"/>
      <c r="L888" s="437"/>
      <c r="M888" s="438"/>
      <c r="N888" s="437"/>
      <c r="O888" s="438"/>
      <c r="P888" s="437"/>
      <c r="Q888" s="438"/>
      <c r="R888" s="437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1"/>
      <c r="F889" s="1173"/>
      <c r="G889" s="1"/>
      <c r="H889" s="1173"/>
      <c r="I889" s="438"/>
      <c r="J889" s="437"/>
      <c r="K889" s="438"/>
      <c r="L889" s="437"/>
      <c r="M889" s="438"/>
      <c r="N889" s="437"/>
      <c r="O889" s="438"/>
      <c r="P889" s="437"/>
      <c r="Q889" s="438"/>
      <c r="R889" s="437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1"/>
      <c r="F890" s="1173"/>
      <c r="G890" s="1"/>
      <c r="H890" s="1173"/>
      <c r="I890" s="438"/>
      <c r="J890" s="437"/>
      <c r="K890" s="438"/>
      <c r="L890" s="437"/>
      <c r="M890" s="438"/>
      <c r="N890" s="437"/>
      <c r="O890" s="438"/>
      <c r="P890" s="437"/>
      <c r="Q890" s="438"/>
      <c r="R890" s="437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1"/>
      <c r="F891" s="1173"/>
      <c r="G891" s="1"/>
      <c r="H891" s="1173"/>
      <c r="I891" s="438"/>
      <c r="J891" s="437"/>
      <c r="K891" s="438"/>
      <c r="L891" s="437"/>
      <c r="M891" s="438"/>
      <c r="N891" s="437"/>
      <c r="O891" s="438"/>
      <c r="P891" s="437"/>
      <c r="Q891" s="438"/>
      <c r="R891" s="437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1"/>
      <c r="F892" s="1173"/>
      <c r="G892" s="1"/>
      <c r="H892" s="1173"/>
      <c r="I892" s="438"/>
      <c r="J892" s="437"/>
      <c r="K892" s="438"/>
      <c r="L892" s="437"/>
      <c r="M892" s="438"/>
      <c r="N892" s="437"/>
      <c r="O892" s="438"/>
      <c r="P892" s="437"/>
      <c r="Q892" s="438"/>
      <c r="R892" s="437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1"/>
      <c r="F893" s="1173"/>
      <c r="G893" s="1"/>
      <c r="H893" s="1173"/>
      <c r="I893" s="438"/>
      <c r="J893" s="437"/>
      <c r="K893" s="438"/>
      <c r="L893" s="437"/>
      <c r="M893" s="438"/>
      <c r="N893" s="437"/>
      <c r="O893" s="438"/>
      <c r="P893" s="437"/>
      <c r="Q893" s="438"/>
      <c r="R893" s="437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1"/>
      <c r="F894" s="1173"/>
      <c r="G894" s="1"/>
      <c r="H894" s="1173"/>
      <c r="I894" s="438"/>
      <c r="J894" s="437"/>
      <c r="K894" s="438"/>
      <c r="L894" s="437"/>
      <c r="M894" s="438"/>
      <c r="N894" s="437"/>
      <c r="O894" s="438"/>
      <c r="P894" s="437"/>
      <c r="Q894" s="438"/>
      <c r="R894" s="437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1"/>
      <c r="F895" s="1173"/>
      <c r="G895" s="1"/>
      <c r="H895" s="1173"/>
      <c r="I895" s="438"/>
      <c r="J895" s="437"/>
      <c r="K895" s="438"/>
      <c r="L895" s="437"/>
      <c r="M895" s="438"/>
      <c r="N895" s="437"/>
      <c r="O895" s="438"/>
      <c r="P895" s="437"/>
      <c r="Q895" s="438"/>
      <c r="R895" s="437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1"/>
      <c r="F896" s="1173"/>
      <c r="G896" s="1"/>
      <c r="H896" s="1173"/>
      <c r="I896" s="438"/>
      <c r="J896" s="437"/>
      <c r="K896" s="438"/>
      <c r="L896" s="437"/>
      <c r="M896" s="438"/>
      <c r="N896" s="437"/>
      <c r="O896" s="438"/>
      <c r="P896" s="437"/>
      <c r="Q896" s="438"/>
      <c r="R896" s="437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1"/>
      <c r="F897" s="1173"/>
      <c r="G897" s="1"/>
      <c r="H897" s="1173"/>
      <c r="I897" s="438"/>
      <c r="J897" s="437"/>
      <c r="K897" s="438"/>
      <c r="L897" s="437"/>
      <c r="M897" s="438"/>
      <c r="N897" s="437"/>
      <c r="O897" s="438"/>
      <c r="P897" s="437"/>
      <c r="Q897" s="438"/>
      <c r="R897" s="437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1"/>
      <c r="F898" s="1173"/>
      <c r="G898" s="1"/>
      <c r="H898" s="1173"/>
      <c r="I898" s="438"/>
      <c r="J898" s="437"/>
      <c r="K898" s="438"/>
      <c r="L898" s="437"/>
      <c r="M898" s="438"/>
      <c r="N898" s="437"/>
      <c r="O898" s="438"/>
      <c r="P898" s="437"/>
      <c r="Q898" s="438"/>
      <c r="R898" s="437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1"/>
      <c r="F899" s="1173"/>
      <c r="G899" s="1"/>
      <c r="H899" s="1173"/>
      <c r="I899" s="438"/>
      <c r="J899" s="437"/>
      <c r="K899" s="438"/>
      <c r="L899" s="437"/>
      <c r="M899" s="438"/>
      <c r="N899" s="437"/>
      <c r="O899" s="438"/>
      <c r="P899" s="437"/>
      <c r="Q899" s="438"/>
      <c r="R899" s="437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1"/>
      <c r="F900" s="1173"/>
      <c r="G900" s="1"/>
      <c r="H900" s="1173"/>
      <c r="I900" s="438"/>
      <c r="J900" s="437"/>
      <c r="K900" s="438"/>
      <c r="L900" s="437"/>
      <c r="M900" s="438"/>
      <c r="N900" s="437"/>
      <c r="O900" s="438"/>
      <c r="P900" s="437"/>
      <c r="Q900" s="438"/>
      <c r="R900" s="437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1"/>
      <c r="F901" s="1173"/>
      <c r="G901" s="1"/>
      <c r="H901" s="1173"/>
      <c r="I901" s="438"/>
      <c r="J901" s="437"/>
      <c r="K901" s="438"/>
      <c r="L901" s="437"/>
      <c r="M901" s="438"/>
      <c r="N901" s="437"/>
      <c r="O901" s="438"/>
      <c r="P901" s="437"/>
      <c r="Q901" s="438"/>
      <c r="R901" s="437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1"/>
      <c r="F902" s="1173"/>
      <c r="G902" s="1"/>
      <c r="H902" s="1173"/>
      <c r="I902" s="438"/>
      <c r="J902" s="437"/>
      <c r="K902" s="438"/>
      <c r="L902" s="437"/>
      <c r="M902" s="438"/>
      <c r="N902" s="437"/>
      <c r="O902" s="438"/>
      <c r="P902" s="437"/>
      <c r="Q902" s="438"/>
      <c r="R902" s="437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1"/>
      <c r="F903" s="1173"/>
      <c r="G903" s="1"/>
      <c r="H903" s="1173"/>
      <c r="I903" s="438"/>
      <c r="J903" s="437"/>
      <c r="K903" s="438"/>
      <c r="L903" s="437"/>
      <c r="M903" s="438"/>
      <c r="N903" s="437"/>
      <c r="O903" s="438"/>
      <c r="P903" s="437"/>
      <c r="Q903" s="438"/>
      <c r="R903" s="437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1"/>
      <c r="F904" s="1173"/>
      <c r="G904" s="1"/>
      <c r="H904" s="1173"/>
      <c r="I904" s="438"/>
      <c r="J904" s="437"/>
      <c r="K904" s="438"/>
      <c r="L904" s="437"/>
      <c r="M904" s="438"/>
      <c r="N904" s="437"/>
      <c r="O904" s="438"/>
      <c r="P904" s="437"/>
      <c r="Q904" s="438"/>
      <c r="R904" s="437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1"/>
      <c r="F905" s="1173"/>
      <c r="G905" s="1"/>
      <c r="H905" s="1173"/>
      <c r="I905" s="438"/>
      <c r="J905" s="437"/>
      <c r="K905" s="438"/>
      <c r="L905" s="437"/>
      <c r="M905" s="438"/>
      <c r="N905" s="437"/>
      <c r="O905" s="438"/>
      <c r="P905" s="437"/>
      <c r="Q905" s="438"/>
      <c r="R905" s="437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1"/>
      <c r="F906" s="1173"/>
      <c r="G906" s="1"/>
      <c r="H906" s="1173"/>
      <c r="I906" s="438"/>
      <c r="J906" s="437"/>
      <c r="K906" s="438"/>
      <c r="L906" s="437"/>
      <c r="M906" s="438"/>
      <c r="N906" s="437"/>
      <c r="O906" s="438"/>
      <c r="P906" s="437"/>
      <c r="Q906" s="438"/>
      <c r="R906" s="437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1"/>
      <c r="F907" s="1173"/>
      <c r="G907" s="1"/>
      <c r="H907" s="1173"/>
      <c r="I907" s="438"/>
      <c r="J907" s="437"/>
      <c r="K907" s="438"/>
      <c r="L907" s="437"/>
      <c r="M907" s="438"/>
      <c r="N907" s="437"/>
      <c r="O907" s="438"/>
      <c r="P907" s="437"/>
      <c r="Q907" s="438"/>
      <c r="R907" s="437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1"/>
      <c r="F908" s="1173"/>
      <c r="G908" s="1"/>
      <c r="H908" s="1173"/>
      <c r="I908" s="438"/>
      <c r="J908" s="437"/>
      <c r="K908" s="438"/>
      <c r="L908" s="437"/>
      <c r="M908" s="438"/>
      <c r="N908" s="437"/>
      <c r="O908" s="438"/>
      <c r="P908" s="437"/>
      <c r="Q908" s="438"/>
      <c r="R908" s="437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1"/>
      <c r="F909" s="1173"/>
      <c r="G909" s="1"/>
      <c r="H909" s="1173"/>
      <c r="I909" s="438"/>
      <c r="J909" s="437"/>
      <c r="K909" s="438"/>
      <c r="L909" s="437"/>
      <c r="M909" s="438"/>
      <c r="N909" s="437"/>
      <c r="O909" s="438"/>
      <c r="P909" s="437"/>
      <c r="Q909" s="438"/>
      <c r="R909" s="437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1"/>
      <c r="F910" s="1173"/>
      <c r="G910" s="1"/>
      <c r="H910" s="1173"/>
      <c r="I910" s="438"/>
      <c r="J910" s="437"/>
      <c r="K910" s="438"/>
      <c r="L910" s="437"/>
      <c r="M910" s="438"/>
      <c r="N910" s="437"/>
      <c r="O910" s="438"/>
      <c r="P910" s="437"/>
      <c r="Q910" s="438"/>
      <c r="R910" s="437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1"/>
      <c r="F911" s="1173"/>
      <c r="G911" s="1"/>
      <c r="H911" s="1173"/>
      <c r="I911" s="438"/>
      <c r="J911" s="437"/>
      <c r="K911" s="438"/>
      <c r="L911" s="437"/>
      <c r="M911" s="438"/>
      <c r="N911" s="437"/>
      <c r="O911" s="438"/>
      <c r="P911" s="437"/>
      <c r="Q911" s="438"/>
      <c r="R911" s="437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1"/>
      <c r="F912" s="1173"/>
      <c r="G912" s="1"/>
      <c r="H912" s="1173"/>
      <c r="I912" s="438"/>
      <c r="J912" s="437"/>
      <c r="K912" s="438"/>
      <c r="L912" s="437"/>
      <c r="M912" s="438"/>
      <c r="N912" s="437"/>
      <c r="O912" s="438"/>
      <c r="P912" s="437"/>
      <c r="Q912" s="438"/>
      <c r="R912" s="437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1"/>
      <c r="F913" s="1173"/>
      <c r="G913" s="1"/>
      <c r="H913" s="1173"/>
      <c r="I913" s="438"/>
      <c r="J913" s="437"/>
      <c r="K913" s="438"/>
      <c r="L913" s="437"/>
      <c r="M913" s="438"/>
      <c r="N913" s="437"/>
      <c r="O913" s="438"/>
      <c r="P913" s="437"/>
      <c r="Q913" s="438"/>
      <c r="R913" s="437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1"/>
      <c r="F914" s="1173"/>
      <c r="G914" s="1"/>
      <c r="H914" s="1173"/>
      <c r="I914" s="438"/>
      <c r="J914" s="437"/>
      <c r="K914" s="438"/>
      <c r="L914" s="437"/>
      <c r="M914" s="438"/>
      <c r="N914" s="437"/>
      <c r="O914" s="438"/>
      <c r="P914" s="437"/>
      <c r="Q914" s="438"/>
      <c r="R914" s="437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1"/>
      <c r="F915" s="1173"/>
      <c r="G915" s="1"/>
      <c r="H915" s="1173"/>
      <c r="I915" s="438"/>
      <c r="J915" s="437"/>
      <c r="K915" s="438"/>
      <c r="L915" s="437"/>
      <c r="M915" s="438"/>
      <c r="N915" s="437"/>
      <c r="O915" s="438"/>
      <c r="P915" s="437"/>
      <c r="Q915" s="438"/>
      <c r="R915" s="437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1"/>
      <c r="F916" s="1173"/>
      <c r="G916" s="1"/>
      <c r="H916" s="1173"/>
      <c r="I916" s="438"/>
      <c r="J916" s="437"/>
      <c r="K916" s="438"/>
      <c r="L916" s="437"/>
      <c r="M916" s="438"/>
      <c r="N916" s="437"/>
      <c r="O916" s="438"/>
      <c r="P916" s="437"/>
      <c r="Q916" s="438"/>
      <c r="R916" s="437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1"/>
      <c r="F917" s="1173"/>
      <c r="G917" s="1"/>
      <c r="H917" s="1173"/>
      <c r="I917" s="438"/>
      <c r="J917" s="437"/>
      <c r="K917" s="438"/>
      <c r="L917" s="437"/>
      <c r="M917" s="438"/>
      <c r="N917" s="437"/>
      <c r="O917" s="438"/>
      <c r="P917" s="437"/>
      <c r="Q917" s="438"/>
      <c r="R917" s="437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1"/>
      <c r="F918" s="1173"/>
      <c r="G918" s="1"/>
      <c r="H918" s="1173"/>
      <c r="I918" s="438"/>
      <c r="J918" s="437"/>
      <c r="K918" s="438"/>
      <c r="L918" s="437"/>
      <c r="M918" s="438"/>
      <c r="N918" s="437"/>
      <c r="O918" s="438"/>
      <c r="P918" s="437"/>
      <c r="Q918" s="438"/>
      <c r="R918" s="437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1"/>
      <c r="F919" s="1173"/>
      <c r="G919" s="1"/>
      <c r="H919" s="1173"/>
      <c r="I919" s="438"/>
      <c r="J919" s="437"/>
      <c r="K919" s="438"/>
      <c r="L919" s="437"/>
      <c r="M919" s="438"/>
      <c r="N919" s="437"/>
      <c r="O919" s="438"/>
      <c r="P919" s="437"/>
      <c r="Q919" s="438"/>
      <c r="R919" s="437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1"/>
      <c r="F920" s="1173"/>
      <c r="G920" s="1"/>
      <c r="H920" s="1173"/>
      <c r="I920" s="438"/>
      <c r="J920" s="437"/>
      <c r="K920" s="438"/>
      <c r="L920" s="437"/>
      <c r="M920" s="438"/>
      <c r="N920" s="437"/>
      <c r="O920" s="438"/>
      <c r="P920" s="437"/>
      <c r="Q920" s="438"/>
      <c r="R920" s="437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1"/>
      <c r="F921" s="1173"/>
      <c r="G921" s="1"/>
      <c r="H921" s="1173"/>
      <c r="I921" s="438"/>
      <c r="J921" s="437"/>
      <c r="K921" s="438"/>
      <c r="L921" s="437"/>
      <c r="M921" s="438"/>
      <c r="N921" s="437"/>
      <c r="O921" s="438"/>
      <c r="P921" s="437"/>
      <c r="Q921" s="438"/>
      <c r="R921" s="437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1"/>
      <c r="F922" s="1173"/>
      <c r="G922" s="1"/>
      <c r="H922" s="1173"/>
      <c r="I922" s="438"/>
      <c r="J922" s="437"/>
      <c r="K922" s="438"/>
      <c r="L922" s="437"/>
      <c r="M922" s="438"/>
      <c r="N922" s="437"/>
      <c r="O922" s="438"/>
      <c r="P922" s="437"/>
      <c r="Q922" s="438"/>
      <c r="R922" s="437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1"/>
      <c r="F923" s="1173"/>
      <c r="G923" s="1"/>
      <c r="H923" s="1173"/>
      <c r="I923" s="438"/>
      <c r="J923" s="437"/>
      <c r="K923" s="438"/>
      <c r="L923" s="437"/>
      <c r="M923" s="438"/>
      <c r="N923" s="437"/>
      <c r="O923" s="438"/>
      <c r="P923" s="437"/>
      <c r="Q923" s="438"/>
      <c r="R923" s="437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1"/>
      <c r="F924" s="1173"/>
      <c r="G924" s="1"/>
      <c r="H924" s="1173"/>
      <c r="I924" s="438"/>
      <c r="J924" s="437"/>
      <c r="K924" s="438"/>
      <c r="L924" s="437"/>
      <c r="M924" s="438"/>
      <c r="N924" s="437"/>
      <c r="O924" s="438"/>
      <c r="P924" s="437"/>
      <c r="Q924" s="438"/>
      <c r="R924" s="437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1"/>
      <c r="F925" s="1173"/>
      <c r="G925" s="1"/>
      <c r="H925" s="1173"/>
      <c r="I925" s="438"/>
      <c r="J925" s="437"/>
      <c r="K925" s="438"/>
      <c r="L925" s="437"/>
      <c r="M925" s="438"/>
      <c r="N925" s="437"/>
      <c r="O925" s="438"/>
      <c r="P925" s="437"/>
      <c r="Q925" s="438"/>
      <c r="R925" s="437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1"/>
      <c r="F926" s="1173"/>
      <c r="G926" s="1"/>
      <c r="H926" s="1173"/>
      <c r="I926" s="438"/>
      <c r="J926" s="437"/>
      <c r="K926" s="438"/>
      <c r="L926" s="437"/>
      <c r="M926" s="438"/>
      <c r="N926" s="437"/>
      <c r="O926" s="438"/>
      <c r="P926" s="437"/>
      <c r="Q926" s="438"/>
      <c r="R926" s="437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1"/>
      <c r="F927" s="1173"/>
      <c r="G927" s="1"/>
      <c r="H927" s="1173"/>
      <c r="I927" s="438"/>
      <c r="J927" s="437"/>
      <c r="K927" s="438"/>
      <c r="L927" s="437"/>
      <c r="M927" s="438"/>
      <c r="N927" s="437"/>
      <c r="O927" s="438"/>
      <c r="P927" s="437"/>
      <c r="Q927" s="438"/>
      <c r="R927" s="437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1"/>
      <c r="F928" s="1173"/>
      <c r="G928" s="1"/>
      <c r="H928" s="1173"/>
      <c r="I928" s="438"/>
      <c r="J928" s="437"/>
      <c r="K928" s="438"/>
      <c r="L928" s="437"/>
      <c r="M928" s="438"/>
      <c r="N928" s="437"/>
      <c r="O928" s="438"/>
      <c r="P928" s="437"/>
      <c r="Q928" s="438"/>
      <c r="R928" s="437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1"/>
      <c r="F929" s="1173"/>
      <c r="G929" s="1"/>
      <c r="H929" s="1173"/>
      <c r="I929" s="438"/>
      <c r="J929" s="437"/>
      <c r="K929" s="438"/>
      <c r="L929" s="437"/>
      <c r="M929" s="438"/>
      <c r="N929" s="437"/>
      <c r="O929" s="438"/>
      <c r="P929" s="437"/>
      <c r="Q929" s="438"/>
      <c r="R929" s="437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1"/>
      <c r="F930" s="1173"/>
      <c r="G930" s="1"/>
      <c r="H930" s="1173"/>
      <c r="I930" s="438"/>
      <c r="J930" s="437"/>
      <c r="K930" s="438"/>
      <c r="L930" s="437"/>
      <c r="M930" s="438"/>
      <c r="N930" s="437"/>
      <c r="O930" s="438"/>
      <c r="P930" s="437"/>
      <c r="Q930" s="438"/>
      <c r="R930" s="437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1"/>
      <c r="F931" s="1173"/>
      <c r="G931" s="1"/>
      <c r="H931" s="1173"/>
      <c r="I931" s="438"/>
      <c r="J931" s="437"/>
      <c r="K931" s="438"/>
      <c r="L931" s="437"/>
      <c r="M931" s="438"/>
      <c r="N931" s="437"/>
      <c r="O931" s="438"/>
      <c r="P931" s="437"/>
      <c r="Q931" s="438"/>
      <c r="R931" s="437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1"/>
      <c r="F932" s="1173"/>
      <c r="G932" s="1"/>
      <c r="H932" s="1173"/>
      <c r="I932" s="438"/>
      <c r="J932" s="437"/>
      <c r="K932" s="438"/>
      <c r="L932" s="437"/>
      <c r="M932" s="438"/>
      <c r="N932" s="437"/>
      <c r="O932" s="438"/>
      <c r="P932" s="437"/>
      <c r="Q932" s="438"/>
      <c r="R932" s="437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1"/>
      <c r="F933" s="1173"/>
      <c r="G933" s="1"/>
      <c r="H933" s="1173"/>
      <c r="I933" s="438"/>
      <c r="J933" s="437"/>
      <c r="K933" s="438"/>
      <c r="L933" s="437"/>
      <c r="M933" s="438"/>
      <c r="N933" s="437"/>
      <c r="O933" s="438"/>
      <c r="P933" s="437"/>
      <c r="Q933" s="438"/>
      <c r="R933" s="437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1"/>
      <c r="F934" s="1173"/>
      <c r="G934" s="1"/>
      <c r="H934" s="1173"/>
      <c r="I934" s="438"/>
      <c r="J934" s="437"/>
      <c r="K934" s="438"/>
      <c r="L934" s="437"/>
      <c r="M934" s="438"/>
      <c r="N934" s="437"/>
      <c r="O934" s="438"/>
      <c r="P934" s="437"/>
      <c r="Q934" s="438"/>
      <c r="R934" s="437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1"/>
      <c r="F935" s="1173"/>
      <c r="G935" s="1"/>
      <c r="H935" s="1173"/>
      <c r="I935" s="438"/>
      <c r="J935" s="437"/>
      <c r="K935" s="438"/>
      <c r="L935" s="437"/>
      <c r="M935" s="438"/>
      <c r="N935" s="437"/>
      <c r="O935" s="438"/>
      <c r="P935" s="437"/>
      <c r="Q935" s="438"/>
      <c r="R935" s="437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1"/>
      <c r="F936" s="1173"/>
      <c r="G936" s="1"/>
      <c r="H936" s="1173"/>
      <c r="I936" s="438"/>
      <c r="J936" s="437"/>
      <c r="K936" s="438"/>
      <c r="L936" s="437"/>
      <c r="M936" s="438"/>
      <c r="N936" s="437"/>
      <c r="O936" s="438"/>
      <c r="P936" s="437"/>
      <c r="Q936" s="438"/>
      <c r="R936" s="437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1"/>
      <c r="F937" s="1173"/>
      <c r="G937" s="1"/>
      <c r="H937" s="1173"/>
      <c r="I937" s="438"/>
      <c r="J937" s="437"/>
      <c r="K937" s="438"/>
      <c r="L937" s="437"/>
      <c r="M937" s="438"/>
      <c r="N937" s="437"/>
      <c r="O937" s="438"/>
      <c r="P937" s="437"/>
      <c r="Q937" s="438"/>
      <c r="R937" s="437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1"/>
      <c r="F938" s="1173"/>
      <c r="G938" s="1"/>
      <c r="H938" s="1173"/>
      <c r="I938" s="438"/>
      <c r="J938" s="437"/>
      <c r="K938" s="438"/>
      <c r="L938" s="437"/>
      <c r="M938" s="438"/>
      <c r="N938" s="437"/>
      <c r="O938" s="438"/>
      <c r="P938" s="437"/>
      <c r="Q938" s="438"/>
      <c r="R938" s="437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1"/>
      <c r="F939" s="1173"/>
      <c r="G939" s="1"/>
      <c r="H939" s="1173"/>
      <c r="I939" s="438"/>
      <c r="J939" s="437"/>
      <c r="K939" s="438"/>
      <c r="L939" s="437"/>
      <c r="M939" s="438"/>
      <c r="N939" s="437"/>
      <c r="O939" s="438"/>
      <c r="P939" s="437"/>
      <c r="Q939" s="438"/>
      <c r="R939" s="437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1"/>
      <c r="F940" s="1173"/>
      <c r="G940" s="1"/>
      <c r="H940" s="1173"/>
      <c r="I940" s="438"/>
      <c r="J940" s="437"/>
      <c r="K940" s="438"/>
      <c r="L940" s="437"/>
      <c r="M940" s="438"/>
      <c r="N940" s="437"/>
      <c r="O940" s="438"/>
      <c r="P940" s="437"/>
      <c r="Q940" s="438"/>
      <c r="R940" s="437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1"/>
      <c r="F941" s="1173"/>
      <c r="G941" s="1"/>
      <c r="H941" s="1173"/>
      <c r="I941" s="438"/>
      <c r="J941" s="437"/>
      <c r="K941" s="438"/>
      <c r="L941" s="437"/>
      <c r="M941" s="438"/>
      <c r="N941" s="437"/>
      <c r="O941" s="438"/>
      <c r="P941" s="437"/>
      <c r="Q941" s="438"/>
      <c r="R941" s="437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1"/>
      <c r="F942" s="1173"/>
      <c r="G942" s="1"/>
      <c r="H942" s="1173"/>
      <c r="I942" s="438"/>
      <c r="J942" s="437"/>
      <c r="K942" s="438"/>
      <c r="L942" s="437"/>
      <c r="M942" s="438"/>
      <c r="N942" s="437"/>
      <c r="O942" s="438"/>
      <c r="P942" s="437"/>
      <c r="Q942" s="438"/>
      <c r="R942" s="437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1"/>
      <c r="F943" s="1173"/>
      <c r="G943" s="1"/>
      <c r="H943" s="1173"/>
      <c r="I943" s="438"/>
      <c r="J943" s="437"/>
      <c r="K943" s="438"/>
      <c r="L943" s="437"/>
      <c r="M943" s="438"/>
      <c r="N943" s="437"/>
      <c r="O943" s="438"/>
      <c r="P943" s="437"/>
      <c r="Q943" s="438"/>
      <c r="R943" s="437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1"/>
      <c r="F944" s="1173"/>
      <c r="G944" s="1"/>
      <c r="H944" s="1173"/>
      <c r="I944" s="438"/>
      <c r="J944" s="437"/>
      <c r="K944" s="438"/>
      <c r="L944" s="437"/>
      <c r="M944" s="438"/>
      <c r="N944" s="437"/>
      <c r="O944" s="438"/>
      <c r="P944" s="437"/>
      <c r="Q944" s="438"/>
      <c r="R944" s="437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1"/>
      <c r="F945" s="1173"/>
      <c r="G945" s="1"/>
      <c r="H945" s="1173"/>
      <c r="I945" s="438"/>
      <c r="J945" s="437"/>
      <c r="K945" s="438"/>
      <c r="L945" s="437"/>
      <c r="M945" s="438"/>
      <c r="N945" s="437"/>
      <c r="O945" s="438"/>
      <c r="P945" s="437"/>
      <c r="Q945" s="438"/>
      <c r="R945" s="437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1"/>
      <c r="F946" s="1173"/>
      <c r="G946" s="1"/>
      <c r="H946" s="1173"/>
      <c r="I946" s="438"/>
      <c r="J946" s="437"/>
      <c r="K946" s="438"/>
      <c r="L946" s="437"/>
      <c r="M946" s="438"/>
      <c r="N946" s="437"/>
      <c r="O946" s="438"/>
      <c r="P946" s="437"/>
      <c r="Q946" s="438"/>
      <c r="R946" s="437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1"/>
      <c r="F947" s="1173"/>
      <c r="G947" s="1"/>
      <c r="H947" s="1173"/>
      <c r="I947" s="438"/>
      <c r="J947" s="437"/>
      <c r="K947" s="438"/>
      <c r="L947" s="437"/>
      <c r="M947" s="438"/>
      <c r="N947" s="437"/>
      <c r="O947" s="438"/>
      <c r="P947" s="437"/>
      <c r="Q947" s="438"/>
      <c r="R947" s="437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1"/>
      <c r="F948" s="1173"/>
      <c r="G948" s="1"/>
      <c r="H948" s="1173"/>
      <c r="I948" s="438"/>
      <c r="J948" s="437"/>
      <c r="K948" s="438"/>
      <c r="L948" s="437"/>
      <c r="M948" s="438"/>
      <c r="N948" s="437"/>
      <c r="O948" s="438"/>
      <c r="P948" s="437"/>
      <c r="Q948" s="438"/>
      <c r="R948" s="437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1"/>
      <c r="F949" s="1173"/>
      <c r="G949" s="1"/>
      <c r="H949" s="1173"/>
      <c r="I949" s="438"/>
      <c r="J949" s="437"/>
      <c r="K949" s="438"/>
      <c r="L949" s="437"/>
      <c r="M949" s="438"/>
      <c r="N949" s="437"/>
      <c r="O949" s="438"/>
      <c r="P949" s="437"/>
      <c r="Q949" s="438"/>
      <c r="R949" s="437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1"/>
      <c r="F950" s="1173"/>
      <c r="G950" s="1"/>
      <c r="H950" s="1173"/>
      <c r="I950" s="438"/>
      <c r="J950" s="437"/>
      <c r="K950" s="438"/>
      <c r="L950" s="437"/>
      <c r="M950" s="438"/>
      <c r="N950" s="437"/>
      <c r="O950" s="438"/>
      <c r="P950" s="437"/>
      <c r="Q950" s="438"/>
      <c r="R950" s="437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1"/>
      <c r="F951" s="1173"/>
      <c r="G951" s="1"/>
      <c r="H951" s="1173"/>
      <c r="I951" s="438"/>
      <c r="J951" s="437"/>
      <c r="K951" s="438"/>
      <c r="L951" s="437"/>
      <c r="M951" s="438"/>
      <c r="N951" s="437"/>
      <c r="O951" s="438"/>
      <c r="P951" s="437"/>
      <c r="Q951" s="438"/>
      <c r="R951" s="437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1"/>
      <c r="F952" s="1173"/>
      <c r="G952" s="1"/>
      <c r="H952" s="1173"/>
      <c r="I952" s="438"/>
      <c r="J952" s="437"/>
      <c r="K952" s="438"/>
      <c r="L952" s="437"/>
      <c r="M952" s="438"/>
      <c r="N952" s="437"/>
      <c r="O952" s="438"/>
      <c r="P952" s="437"/>
      <c r="Q952" s="438"/>
      <c r="R952" s="437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1"/>
      <c r="F953" s="1173"/>
      <c r="G953" s="1"/>
      <c r="H953" s="1173"/>
      <c r="I953" s="438"/>
      <c r="J953" s="437"/>
      <c r="K953" s="438"/>
      <c r="L953" s="437"/>
      <c r="M953" s="438"/>
      <c r="N953" s="437"/>
      <c r="O953" s="438"/>
      <c r="P953" s="437"/>
      <c r="Q953" s="438"/>
      <c r="R953" s="437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1"/>
      <c r="F954" s="1173"/>
      <c r="G954" s="1"/>
      <c r="H954" s="1173"/>
      <c r="I954" s="438"/>
      <c r="J954" s="437"/>
      <c r="K954" s="438"/>
      <c r="L954" s="437"/>
      <c r="M954" s="438"/>
      <c r="N954" s="437"/>
      <c r="O954" s="438"/>
      <c r="P954" s="437"/>
      <c r="Q954" s="438"/>
      <c r="R954" s="437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1"/>
      <c r="F955" s="1173"/>
      <c r="G955" s="1"/>
      <c r="H955" s="1173"/>
      <c r="I955" s="438"/>
      <c r="J955" s="437"/>
      <c r="K955" s="438"/>
      <c r="L955" s="437"/>
      <c r="M955" s="438"/>
      <c r="N955" s="437"/>
      <c r="O955" s="438"/>
      <c r="P955" s="437"/>
      <c r="Q955" s="438"/>
      <c r="R955" s="437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1"/>
      <c r="F956" s="1173"/>
      <c r="G956" s="1"/>
      <c r="H956" s="1173"/>
      <c r="I956" s="438"/>
      <c r="J956" s="437"/>
      <c r="K956" s="438"/>
      <c r="L956" s="437"/>
      <c r="M956" s="438"/>
      <c r="N956" s="437"/>
      <c r="O956" s="438"/>
      <c r="P956" s="437"/>
      <c r="Q956" s="438"/>
      <c r="R956" s="437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1"/>
      <c r="F957" s="1173"/>
      <c r="G957" s="1"/>
      <c r="H957" s="1173"/>
      <c r="I957" s="438"/>
      <c r="J957" s="437"/>
      <c r="K957" s="438"/>
      <c r="L957" s="437"/>
      <c r="M957" s="438"/>
      <c r="N957" s="437"/>
      <c r="O957" s="438"/>
      <c r="P957" s="437"/>
      <c r="Q957" s="438"/>
      <c r="R957" s="437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1"/>
      <c r="F958" s="1173"/>
      <c r="G958" s="1"/>
      <c r="H958" s="1173"/>
      <c r="I958" s="438"/>
      <c r="J958" s="437"/>
      <c r="K958" s="438"/>
      <c r="L958" s="437"/>
      <c r="M958" s="438"/>
      <c r="N958" s="437"/>
      <c r="O958" s="438"/>
      <c r="P958" s="437"/>
      <c r="Q958" s="438"/>
      <c r="R958" s="437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1"/>
      <c r="F959" s="1173"/>
      <c r="G959" s="1"/>
      <c r="H959" s="1173"/>
      <c r="I959" s="438"/>
      <c r="J959" s="437"/>
      <c r="K959" s="438"/>
      <c r="L959" s="437"/>
      <c r="M959" s="438"/>
      <c r="N959" s="437"/>
      <c r="O959" s="438"/>
      <c r="P959" s="437"/>
      <c r="Q959" s="438"/>
      <c r="R959" s="437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1"/>
      <c r="F960" s="1173"/>
      <c r="G960" s="1"/>
      <c r="H960" s="1173"/>
      <c r="I960" s="438"/>
      <c r="J960" s="437"/>
      <c r="K960" s="438"/>
      <c r="L960" s="437"/>
      <c r="M960" s="438"/>
      <c r="N960" s="437"/>
      <c r="O960" s="438"/>
      <c r="P960" s="437"/>
      <c r="Q960" s="438"/>
      <c r="R960" s="437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1"/>
      <c r="F961" s="1173"/>
      <c r="G961" s="1"/>
      <c r="H961" s="1173"/>
      <c r="I961" s="438"/>
      <c r="J961" s="437"/>
      <c r="K961" s="438"/>
      <c r="L961" s="437"/>
      <c r="M961" s="438"/>
      <c r="N961" s="437"/>
      <c r="O961" s="438"/>
      <c r="P961" s="437"/>
      <c r="Q961" s="438"/>
      <c r="R961" s="437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1"/>
      <c r="F962" s="1173"/>
      <c r="G962" s="1"/>
      <c r="H962" s="1173"/>
      <c r="I962" s="438"/>
      <c r="J962" s="437"/>
      <c r="K962" s="438"/>
      <c r="L962" s="437"/>
      <c r="M962" s="438"/>
      <c r="N962" s="437"/>
      <c r="O962" s="438"/>
      <c r="P962" s="437"/>
      <c r="Q962" s="438"/>
      <c r="R962" s="437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1"/>
      <c r="F963" s="1173"/>
      <c r="G963" s="1"/>
      <c r="H963" s="1173"/>
      <c r="I963" s="438"/>
      <c r="J963" s="437"/>
      <c r="K963" s="438"/>
      <c r="L963" s="437"/>
      <c r="M963" s="438"/>
      <c r="N963" s="437"/>
      <c r="O963" s="438"/>
      <c r="P963" s="437"/>
      <c r="Q963" s="438"/>
      <c r="R963" s="437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1"/>
      <c r="F964" s="1173"/>
      <c r="G964" s="1"/>
      <c r="H964" s="1173"/>
      <c r="I964" s="438"/>
      <c r="J964" s="437"/>
      <c r="K964" s="438"/>
      <c r="L964" s="437"/>
      <c r="M964" s="438"/>
      <c r="N964" s="437"/>
      <c r="O964" s="438"/>
      <c r="P964" s="437"/>
      <c r="Q964" s="438"/>
      <c r="R964" s="437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1"/>
      <c r="F965" s="1173"/>
      <c r="G965" s="1"/>
      <c r="H965" s="1173"/>
      <c r="I965" s="438"/>
      <c r="J965" s="437"/>
      <c r="K965" s="438"/>
      <c r="L965" s="437"/>
      <c r="M965" s="438"/>
      <c r="N965" s="437"/>
      <c r="O965" s="438"/>
      <c r="P965" s="437"/>
      <c r="Q965" s="438"/>
      <c r="R965" s="437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1"/>
      <c r="F966" s="1173"/>
      <c r="G966" s="1"/>
      <c r="H966" s="1173"/>
      <c r="I966" s="438"/>
      <c r="J966" s="437"/>
      <c r="K966" s="438"/>
      <c r="L966" s="437"/>
      <c r="M966" s="438"/>
      <c r="N966" s="437"/>
      <c r="O966" s="438"/>
      <c r="P966" s="437"/>
      <c r="Q966" s="438"/>
      <c r="R966" s="437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1"/>
      <c r="F967" s="1173"/>
      <c r="G967" s="1"/>
      <c r="H967" s="1173"/>
      <c r="I967" s="438"/>
      <c r="J967" s="437"/>
      <c r="K967" s="438"/>
      <c r="L967" s="437"/>
      <c r="M967" s="438"/>
      <c r="N967" s="437"/>
      <c r="O967" s="438"/>
      <c r="P967" s="437"/>
      <c r="Q967" s="438"/>
      <c r="R967" s="437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1"/>
      <c r="F968" s="1173"/>
      <c r="G968" s="1"/>
      <c r="H968" s="1173"/>
      <c r="I968" s="438"/>
      <c r="J968" s="437"/>
      <c r="K968" s="438"/>
      <c r="L968" s="437"/>
      <c r="M968" s="438"/>
      <c r="N968" s="437"/>
      <c r="O968" s="438"/>
      <c r="P968" s="437"/>
      <c r="Q968" s="438"/>
      <c r="R968" s="437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1"/>
      <c r="F969" s="1173"/>
      <c r="G969" s="1"/>
      <c r="H969" s="1173"/>
      <c r="I969" s="438"/>
      <c r="J969" s="437"/>
      <c r="K969" s="438"/>
      <c r="L969" s="437"/>
      <c r="M969" s="438"/>
      <c r="N969" s="437"/>
      <c r="O969" s="438"/>
      <c r="P969" s="437"/>
      <c r="Q969" s="438"/>
      <c r="R969" s="437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1"/>
      <c r="F970" s="1173"/>
      <c r="G970" s="1"/>
      <c r="H970" s="1173"/>
      <c r="I970" s="438"/>
      <c r="J970" s="437"/>
      <c r="K970" s="438"/>
      <c r="L970" s="437"/>
      <c r="M970" s="438"/>
      <c r="N970" s="437"/>
      <c r="O970" s="438"/>
      <c r="P970" s="437"/>
      <c r="Q970" s="438"/>
      <c r="R970" s="437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1"/>
      <c r="F971" s="1173"/>
      <c r="G971" s="1"/>
      <c r="H971" s="1173"/>
      <c r="I971" s="438"/>
      <c r="J971" s="437"/>
      <c r="K971" s="438"/>
      <c r="L971" s="437"/>
      <c r="M971" s="438"/>
      <c r="N971" s="437"/>
      <c r="O971" s="438"/>
      <c r="P971" s="437"/>
      <c r="Q971" s="438"/>
      <c r="R971" s="437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1"/>
      <c r="F972" s="1173"/>
      <c r="G972" s="1"/>
      <c r="H972" s="1173"/>
      <c r="I972" s="438"/>
      <c r="J972" s="437"/>
      <c r="K972" s="438"/>
      <c r="L972" s="437"/>
      <c r="M972" s="438"/>
      <c r="N972" s="437"/>
      <c r="O972" s="438"/>
      <c r="P972" s="437"/>
      <c r="Q972" s="438"/>
      <c r="R972" s="437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1"/>
      <c r="F973" s="1173"/>
      <c r="G973" s="1"/>
      <c r="H973" s="1173"/>
      <c r="I973" s="438"/>
      <c r="J973" s="437"/>
      <c r="K973" s="438"/>
      <c r="L973" s="437"/>
      <c r="M973" s="438"/>
      <c r="N973" s="437"/>
      <c r="O973" s="438"/>
      <c r="P973" s="437"/>
      <c r="Q973" s="438"/>
      <c r="R973" s="437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1"/>
      <c r="F974" s="1173"/>
      <c r="G974" s="1"/>
      <c r="H974" s="1173"/>
      <c r="I974" s="438"/>
      <c r="J974" s="437"/>
      <c r="K974" s="438"/>
      <c r="L974" s="437"/>
      <c r="M974" s="438"/>
      <c r="N974" s="437"/>
      <c r="O974" s="438"/>
      <c r="P974" s="437"/>
      <c r="Q974" s="438"/>
      <c r="R974" s="437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1"/>
      <c r="F975" s="1173"/>
      <c r="G975" s="1"/>
      <c r="H975" s="1173"/>
      <c r="I975" s="438"/>
      <c r="J975" s="437"/>
      <c r="K975" s="438"/>
      <c r="L975" s="437"/>
      <c r="M975" s="438"/>
      <c r="N975" s="437"/>
      <c r="O975" s="438"/>
      <c r="P975" s="437"/>
      <c r="Q975" s="438"/>
      <c r="R975" s="437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1"/>
      <c r="F976" s="1173"/>
      <c r="G976" s="1"/>
      <c r="H976" s="1173"/>
      <c r="I976" s="438"/>
      <c r="J976" s="437"/>
      <c r="K976" s="438"/>
      <c r="L976" s="437"/>
      <c r="M976" s="438"/>
      <c r="N976" s="437"/>
      <c r="O976" s="438"/>
      <c r="P976" s="437"/>
      <c r="Q976" s="438"/>
      <c r="R976" s="437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1"/>
      <c r="F977" s="1173"/>
      <c r="G977" s="1"/>
      <c r="H977" s="1173"/>
      <c r="I977" s="438"/>
      <c r="J977" s="437"/>
      <c r="K977" s="438"/>
      <c r="L977" s="437"/>
      <c r="M977" s="438"/>
      <c r="N977" s="437"/>
      <c r="O977" s="438"/>
      <c r="P977" s="437"/>
      <c r="Q977" s="438"/>
      <c r="R977" s="437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1"/>
      <c r="F978" s="1173"/>
      <c r="G978" s="1"/>
      <c r="H978" s="1173"/>
      <c r="I978" s="438"/>
      <c r="J978" s="437"/>
      <c r="K978" s="438"/>
      <c r="L978" s="437"/>
      <c r="M978" s="438"/>
      <c r="N978" s="437"/>
      <c r="O978" s="438"/>
      <c r="P978" s="437"/>
      <c r="Q978" s="438"/>
      <c r="R978" s="437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1"/>
      <c r="F979" s="1173"/>
      <c r="G979" s="1"/>
      <c r="H979" s="1173"/>
      <c r="I979" s="438"/>
      <c r="J979" s="437"/>
      <c r="K979" s="438"/>
      <c r="L979" s="437"/>
      <c r="M979" s="438"/>
      <c r="N979" s="437"/>
      <c r="O979" s="438"/>
      <c r="P979" s="437"/>
      <c r="Q979" s="438"/>
      <c r="R979" s="437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1"/>
      <c r="F980" s="1173"/>
      <c r="G980" s="1"/>
      <c r="H980" s="1173"/>
      <c r="I980" s="438"/>
      <c r="J980" s="437"/>
      <c r="K980" s="438"/>
      <c r="L980" s="437"/>
      <c r="M980" s="438"/>
      <c r="N980" s="437"/>
      <c r="O980" s="438"/>
      <c r="P980" s="437"/>
      <c r="Q980" s="438"/>
      <c r="R980" s="437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1"/>
      <c r="F981" s="1173"/>
      <c r="G981" s="1"/>
      <c r="H981" s="1173"/>
      <c r="I981" s="438"/>
      <c r="J981" s="437"/>
      <c r="K981" s="438"/>
      <c r="L981" s="437"/>
      <c r="M981" s="438"/>
      <c r="N981" s="437"/>
      <c r="O981" s="438"/>
      <c r="P981" s="437"/>
      <c r="Q981" s="438"/>
      <c r="R981" s="437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1"/>
      <c r="F982" s="1173"/>
      <c r="G982" s="1"/>
      <c r="H982" s="1173"/>
      <c r="I982" s="438"/>
      <c r="J982" s="437"/>
      <c r="K982" s="438"/>
      <c r="L982" s="437"/>
      <c r="M982" s="438"/>
      <c r="N982" s="437"/>
      <c r="O982" s="438"/>
      <c r="P982" s="437"/>
      <c r="Q982" s="438"/>
      <c r="R982" s="437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1"/>
      <c r="F983" s="1173"/>
      <c r="G983" s="1"/>
      <c r="H983" s="1173"/>
      <c r="I983" s="438"/>
      <c r="J983" s="437"/>
      <c r="K983" s="438"/>
      <c r="L983" s="437"/>
      <c r="M983" s="438"/>
      <c r="N983" s="437"/>
      <c r="O983" s="438"/>
      <c r="P983" s="437"/>
      <c r="Q983" s="438"/>
      <c r="R983" s="437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1"/>
      <c r="F984" s="1173"/>
      <c r="G984" s="1"/>
      <c r="H984" s="1173"/>
      <c r="I984" s="438"/>
      <c r="J984" s="437"/>
      <c r="K984" s="438"/>
      <c r="L984" s="437"/>
      <c r="M984" s="438"/>
      <c r="N984" s="437"/>
      <c r="O984" s="438"/>
      <c r="P984" s="437"/>
      <c r="Q984" s="438"/>
      <c r="R984" s="437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1"/>
      <c r="F985" s="1173"/>
      <c r="G985" s="1"/>
      <c r="H985" s="1173"/>
      <c r="I985" s="438"/>
      <c r="J985" s="437"/>
      <c r="K985" s="438"/>
      <c r="L985" s="437"/>
      <c r="M985" s="438"/>
      <c r="N985" s="437"/>
      <c r="O985" s="438"/>
      <c r="P985" s="437"/>
      <c r="Q985" s="438"/>
      <c r="R985" s="437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1"/>
      <c r="F986" s="1173"/>
      <c r="G986" s="1"/>
      <c r="H986" s="1173"/>
      <c r="I986" s="438"/>
      <c r="J986" s="437"/>
      <c r="K986" s="438"/>
      <c r="L986" s="437"/>
      <c r="M986" s="438"/>
      <c r="N986" s="437"/>
      <c r="O986" s="438"/>
      <c r="P986" s="437"/>
      <c r="Q986" s="438"/>
      <c r="R986" s="437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1"/>
      <c r="F987" s="1173"/>
      <c r="G987" s="1"/>
      <c r="H987" s="1173"/>
      <c r="I987" s="438"/>
      <c r="J987" s="437"/>
      <c r="K987" s="438"/>
      <c r="L987" s="437"/>
      <c r="M987" s="438"/>
      <c r="N987" s="437"/>
      <c r="O987" s="438"/>
      <c r="P987" s="437"/>
      <c r="Q987" s="438"/>
      <c r="R987" s="437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1"/>
      <c r="F988" s="1173"/>
      <c r="G988" s="1"/>
      <c r="H988" s="1173"/>
      <c r="I988" s="438"/>
      <c r="J988" s="437"/>
      <c r="K988" s="438"/>
      <c r="L988" s="437"/>
      <c r="M988" s="438"/>
      <c r="N988" s="437"/>
      <c r="O988" s="438"/>
      <c r="P988" s="437"/>
      <c r="Q988" s="438"/>
      <c r="R988" s="437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1"/>
      <c r="F989" s="1173"/>
      <c r="G989" s="1"/>
      <c r="H989" s="1173"/>
      <c r="I989" s="438"/>
      <c r="J989" s="437"/>
      <c r="K989" s="438"/>
      <c r="L989" s="437"/>
      <c r="M989" s="438"/>
      <c r="N989" s="437"/>
      <c r="O989" s="438"/>
      <c r="P989" s="437"/>
      <c r="Q989" s="438"/>
      <c r="R989" s="437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1"/>
      <c r="F990" s="1173"/>
      <c r="G990" s="1"/>
      <c r="H990" s="1173"/>
      <c r="I990" s="438"/>
      <c r="J990" s="437"/>
      <c r="K990" s="438"/>
      <c r="L990" s="437"/>
      <c r="M990" s="438"/>
      <c r="N990" s="437"/>
      <c r="O990" s="438"/>
      <c r="P990" s="437"/>
      <c r="Q990" s="438"/>
      <c r="R990" s="437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1"/>
      <c r="F991" s="1173"/>
      <c r="G991" s="1"/>
      <c r="H991" s="1173"/>
      <c r="I991" s="438"/>
      <c r="J991" s="437"/>
      <c r="K991" s="438"/>
      <c r="L991" s="437"/>
      <c r="M991" s="438"/>
      <c r="N991" s="437"/>
      <c r="O991" s="438"/>
      <c r="P991" s="437"/>
      <c r="Q991" s="438"/>
      <c r="R991" s="437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1"/>
      <c r="F992" s="1173"/>
      <c r="G992" s="1"/>
      <c r="H992" s="1173"/>
      <c r="I992" s="438"/>
      <c r="J992" s="437"/>
      <c r="K992" s="438"/>
      <c r="L992" s="437"/>
      <c r="M992" s="438"/>
      <c r="N992" s="437"/>
      <c r="O992" s="438"/>
      <c r="P992" s="437"/>
      <c r="Q992" s="438"/>
      <c r="R992" s="437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1"/>
      <c r="F993" s="1173"/>
      <c r="G993" s="1"/>
      <c r="H993" s="1173"/>
      <c r="I993" s="438"/>
      <c r="J993" s="437"/>
      <c r="K993" s="438"/>
      <c r="L993" s="437"/>
      <c r="M993" s="438"/>
      <c r="N993" s="437"/>
      <c r="O993" s="438"/>
      <c r="P993" s="437"/>
      <c r="Q993" s="438"/>
      <c r="R993" s="437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1"/>
      <c r="D994" s="1"/>
      <c r="E994" s="1"/>
      <c r="F994" s="1173"/>
      <c r="G994" s="1"/>
      <c r="H994" s="1173"/>
      <c r="I994" s="438"/>
      <c r="J994" s="437"/>
      <c r="K994" s="438"/>
      <c r="L994" s="437"/>
      <c r="M994" s="438"/>
      <c r="N994" s="437"/>
      <c r="O994" s="438"/>
      <c r="P994" s="437"/>
      <c r="Q994" s="438"/>
      <c r="R994" s="437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1"/>
      <c r="D995" s="1"/>
      <c r="E995" s="1"/>
      <c r="F995" s="1173"/>
      <c r="G995" s="1"/>
      <c r="H995" s="1173"/>
      <c r="I995" s="438"/>
      <c r="J995" s="437"/>
      <c r="K995" s="438"/>
      <c r="L995" s="437"/>
      <c r="M995" s="438"/>
      <c r="N995" s="437"/>
      <c r="O995" s="438"/>
      <c r="P995" s="437"/>
      <c r="Q995" s="438"/>
      <c r="R995" s="437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1"/>
      <c r="D996" s="1"/>
      <c r="E996" s="1"/>
      <c r="F996" s="1173"/>
      <c r="G996" s="1"/>
      <c r="H996" s="1173"/>
      <c r="I996" s="438"/>
      <c r="J996" s="437"/>
      <c r="K996" s="438"/>
      <c r="L996" s="437"/>
      <c r="M996" s="438"/>
      <c r="N996" s="437"/>
      <c r="O996" s="438"/>
      <c r="P996" s="437"/>
      <c r="Q996" s="438"/>
      <c r="R996" s="437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1"/>
      <c r="D997" s="1"/>
      <c r="E997" s="1"/>
      <c r="F997" s="1173"/>
      <c r="G997" s="1"/>
      <c r="H997" s="1173"/>
      <c r="I997" s="438"/>
      <c r="J997" s="437"/>
      <c r="K997" s="438"/>
      <c r="L997" s="437"/>
      <c r="M997" s="438"/>
      <c r="N997" s="437"/>
      <c r="O997" s="438"/>
      <c r="P997" s="437"/>
      <c r="Q997" s="438"/>
      <c r="R997" s="437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1"/>
      <c r="D998" s="1"/>
      <c r="E998" s="1"/>
      <c r="F998" s="1173"/>
      <c r="G998" s="1"/>
      <c r="H998" s="1173"/>
      <c r="I998" s="438"/>
      <c r="J998" s="437"/>
      <c r="K998" s="438"/>
      <c r="L998" s="437"/>
      <c r="M998" s="438"/>
      <c r="N998" s="437"/>
      <c r="O998" s="438"/>
      <c r="P998" s="437"/>
      <c r="Q998" s="438"/>
      <c r="R998" s="437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C999" s="1"/>
      <c r="D999" s="1"/>
      <c r="E999" s="1"/>
      <c r="F999" s="1173"/>
      <c r="G999" s="1"/>
      <c r="H999" s="1173"/>
      <c r="I999" s="438"/>
      <c r="J999" s="437"/>
      <c r="K999" s="438"/>
      <c r="L999" s="437"/>
      <c r="M999" s="438"/>
      <c r="N999" s="437"/>
      <c r="O999" s="438"/>
      <c r="P999" s="437"/>
      <c r="Q999" s="438"/>
      <c r="R999" s="437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C1000" s="1"/>
      <c r="D1000" s="1"/>
      <c r="E1000" s="1"/>
      <c r="F1000" s="1173"/>
      <c r="G1000" s="1"/>
      <c r="H1000" s="1173"/>
      <c r="I1000" s="438"/>
      <c r="J1000" s="437"/>
      <c r="K1000" s="438"/>
      <c r="L1000" s="437"/>
      <c r="M1000" s="438"/>
      <c r="N1000" s="437"/>
      <c r="O1000" s="438"/>
      <c r="P1000" s="437"/>
      <c r="Q1000" s="438"/>
      <c r="R1000" s="437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P2:Q2"/>
    <mergeCell ref="I4:Q4"/>
    <mergeCell ref="P50:R50"/>
    <mergeCell ref="I52:Q52"/>
  </mergeCells>
  <printOptions horizontalCentered="1"/>
  <pageMargins bottom="0.75" footer="0.0" header="0.0" left="0.25" right="0.25" top="0.75"/>
  <pageSetup orientation="landscape" pageOrder="overThenDown"/>
  <headerFooter>
    <oddFooter/>
  </headerFooter>
  <rowBreaks count="1" manualBreakCount="1">
    <brk id="48" man="1"/>
  </rowBreak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3">
    <pageSetUpPr/>
  </sheetPr>
  <sheetViews>
    <sheetView workbookViewId="0">
      <pane xSplit="4.0" ySplit="5.0" topLeftCell="E6" activePane="bottomRight" state="frozen"/>
      <selection activeCell="E1" sqref="E1" pane="topRight"/>
      <selection activeCell="A6" sqref="A6" pane="bottomLeft"/>
      <selection activeCell="E6" sqref="E6" pane="bottomRight"/>
    </sheetView>
  </sheetViews>
  <sheetFormatPr customHeight="1" defaultColWidth="12.63" defaultRowHeight="15.0" outlineLevelCol="1"/>
  <cols>
    <col customWidth="1" min="1" max="1" width="3.75"/>
    <col customWidth="1" min="2" max="2" width="29.25"/>
    <col customWidth="1" min="3" max="3" width="2.25"/>
    <col customWidth="1" min="4" max="4" width="5.63"/>
    <col customWidth="1" min="5" max="5" width="1.63"/>
    <col customWidth="1" min="6" max="6" width="12.13"/>
    <col customWidth="1" min="7" max="7" width="2.75"/>
    <col customWidth="1" min="8" max="8" width="12.13"/>
    <col customWidth="1" min="9" max="9" width="2.75"/>
    <col customWidth="1" min="10" max="10" width="12.13"/>
    <col customWidth="1" min="11" max="11" width="2.75"/>
    <col customWidth="1" min="12" max="12" width="12.13"/>
    <col customWidth="1" min="13" max="13" width="2.75"/>
    <col customWidth="1" min="14" max="14" width="12.13"/>
    <col customWidth="1" min="15" max="15" width="2.75"/>
    <col customWidth="1" min="16" max="16" width="12.13"/>
    <col customWidth="1" min="17" max="17" width="2.75"/>
    <col customWidth="1" min="18" max="18" width="12.13"/>
    <col customWidth="1" min="19" max="26" width="9.0"/>
  </cols>
  <sheetData>
    <row r="1" ht="54.75" customHeight="1">
      <c r="A1" s="1"/>
      <c r="B1" s="8" t="str">
        <f>'A Cover'!G$8</f>
        <v>Example University</v>
      </c>
      <c r="C1" s="3"/>
      <c r="D1" s="1"/>
      <c r="E1" s="1"/>
      <c r="F1" s="1"/>
      <c r="G1" s="4"/>
      <c r="H1" s="4"/>
      <c r="I1" s="4"/>
      <c r="J1" s="4"/>
      <c r="K1" s="4"/>
      <c r="L1" s="4"/>
      <c r="M1" s="4"/>
      <c r="N1" s="4"/>
      <c r="O1" s="4"/>
      <c r="P1" s="436"/>
      <c r="Q1" s="438"/>
      <c r="R1" s="940"/>
      <c r="S1" s="1"/>
      <c r="T1" s="1"/>
      <c r="U1" s="1"/>
      <c r="V1" s="1"/>
      <c r="W1" s="1"/>
      <c r="X1" s="1"/>
      <c r="Y1" s="1"/>
      <c r="Z1" s="1"/>
    </row>
    <row r="2" ht="18.0" customHeight="1">
      <c r="A2" s="1"/>
      <c r="B2" s="364" t="s">
        <v>769</v>
      </c>
      <c r="C2" s="1"/>
      <c r="D2" s="1"/>
      <c r="E2" s="1"/>
      <c r="F2" s="29" t="s">
        <v>0</v>
      </c>
      <c r="G2" s="34" t="s">
        <v>9</v>
      </c>
      <c r="H2" s="1"/>
      <c r="I2" s="1"/>
      <c r="J2" s="85"/>
      <c r="K2" s="1"/>
      <c r="L2" s="85"/>
      <c r="M2" s="1"/>
      <c r="N2" s="1"/>
      <c r="O2" s="1"/>
      <c r="P2" s="1"/>
      <c r="Q2" s="1076">
        <f>'A Cover'!G$12</f>
        <v>46307</v>
      </c>
      <c r="R2" s="21"/>
      <c r="S2" s="1"/>
      <c r="T2" s="1"/>
      <c r="U2" s="1"/>
      <c r="V2" s="1"/>
      <c r="W2" s="1"/>
      <c r="X2" s="1"/>
      <c r="Y2" s="1"/>
      <c r="Z2" s="1"/>
    </row>
    <row r="3" ht="10.5" customHeight="1">
      <c r="A3" s="1"/>
      <c r="B3" s="1"/>
      <c r="C3" s="1"/>
      <c r="D3" s="1"/>
      <c r="E3" s="1"/>
      <c r="F3" s="1"/>
      <c r="G3" s="49"/>
      <c r="H3" s="8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0" customHeight="1">
      <c r="A4" s="1"/>
      <c r="B4" s="1"/>
      <c r="C4" s="1"/>
      <c r="D4" s="1"/>
      <c r="E4" s="1"/>
      <c r="F4" s="23" t="s">
        <v>6</v>
      </c>
      <c r="G4" s="25"/>
      <c r="H4" s="23" t="str">
        <f>IF('J Proj CY'!F$151&gt;0,"Projected","Budgeted")</f>
        <v>Projected</v>
      </c>
      <c r="I4" s="28"/>
      <c r="J4" s="1275" t="s">
        <v>771</v>
      </c>
      <c r="K4" s="35"/>
      <c r="L4" s="35"/>
      <c r="M4" s="35"/>
      <c r="N4" s="35"/>
      <c r="O4" s="35"/>
      <c r="P4" s="35"/>
      <c r="Q4" s="35"/>
      <c r="R4" s="21"/>
      <c r="S4" s="1"/>
      <c r="T4" s="1"/>
      <c r="U4" s="1"/>
      <c r="V4" s="1"/>
      <c r="W4" s="1"/>
      <c r="X4" s="1"/>
      <c r="Y4" s="1"/>
      <c r="Z4" s="1"/>
    </row>
    <row r="5" ht="14.25" customHeight="1">
      <c r="A5" s="1"/>
      <c r="B5" s="1"/>
      <c r="C5" s="1"/>
      <c r="D5" s="1"/>
      <c r="E5" s="1"/>
      <c r="F5" s="553" t="str">
        <f>'F Population'!N$6</f>
        <v>2025 - 26</v>
      </c>
      <c r="G5" s="39"/>
      <c r="H5" s="553" t="str">
        <f>'F Population'!P$6</f>
        <v>2026 - 27</v>
      </c>
      <c r="I5" s="39"/>
      <c r="J5" s="553" t="str">
        <f>'F Population'!U$6</f>
        <v>2027 - 28</v>
      </c>
      <c r="K5" s="39"/>
      <c r="L5" s="553" t="str">
        <f>'F Population'!W$6</f>
        <v>2028 - 29</v>
      </c>
      <c r="M5" s="39"/>
      <c r="N5" s="553" t="str">
        <f>'F Population'!Y$6</f>
        <v>2029 - 30</v>
      </c>
      <c r="O5" s="39"/>
      <c r="P5" s="553" t="str">
        <f>'F Population'!AA$6</f>
        <v>2030 - 31</v>
      </c>
      <c r="Q5" s="554"/>
      <c r="R5" s="553" t="str">
        <f>'F Population'!AC$6</f>
        <v>2031 - 32</v>
      </c>
      <c r="S5" s="1"/>
      <c r="T5" s="1"/>
      <c r="U5" s="1"/>
      <c r="V5" s="1"/>
      <c r="W5" s="1"/>
      <c r="X5" s="1"/>
      <c r="Y5" s="1"/>
      <c r="Z5" s="1"/>
    </row>
    <row r="6" ht="18.0" customHeight="1">
      <c r="A6" s="1"/>
      <c r="B6" s="1071" t="s">
        <v>13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8.0" customHeight="1">
      <c r="A7" s="1"/>
      <c r="B7" s="1" t="s">
        <v>25</v>
      </c>
      <c r="C7" s="1"/>
      <c r="D7" s="1"/>
      <c r="E7" s="1"/>
      <c r="F7" s="85">
        <f>'D PY Audit'!H8</f>
        <v>6514000</v>
      </c>
      <c r="G7" s="85"/>
      <c r="H7" s="85">
        <f>'P Fcast 5yr'!G67</f>
        <v>22280024.49</v>
      </c>
      <c r="I7" s="85"/>
      <c r="J7" s="85">
        <f>H7+'P Fcast 5yr'!I65</f>
        <v>30918180.52</v>
      </c>
      <c r="K7" s="85"/>
      <c r="L7" s="85">
        <f>J7+'P Fcast 5yr'!K65</f>
        <v>43898407.05</v>
      </c>
      <c r="M7" s="85"/>
      <c r="N7" s="85">
        <f>L7+'P Fcast 5yr'!M65</f>
        <v>58452577.5</v>
      </c>
      <c r="O7" s="85"/>
      <c r="P7" s="85">
        <f>N7+'P Fcast 5yr'!O65</f>
        <v>74025225.71</v>
      </c>
      <c r="Q7" s="85"/>
      <c r="R7" s="85">
        <f>P7+'P Fcast 5yr'!Q65</f>
        <v>78797444.66</v>
      </c>
      <c r="S7" s="1"/>
      <c r="T7" s="1"/>
      <c r="U7" s="1"/>
      <c r="V7" s="1"/>
      <c r="W7" s="1"/>
      <c r="X7" s="1"/>
      <c r="Y7" s="1"/>
      <c r="Z7" s="1"/>
    </row>
    <row r="8" ht="4.5" customHeight="1">
      <c r="A8" s="1"/>
      <c r="B8" s="1"/>
      <c r="C8" s="1"/>
      <c r="D8" s="1"/>
      <c r="E8" s="1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1"/>
      <c r="T8" s="1"/>
      <c r="U8" s="1"/>
      <c r="V8" s="1"/>
      <c r="W8" s="1"/>
      <c r="X8" s="1"/>
      <c r="Y8" s="1"/>
      <c r="Z8" s="1"/>
    </row>
    <row r="9" ht="14.25" customHeight="1">
      <c r="A9" s="1"/>
      <c r="B9" s="1" t="s">
        <v>30</v>
      </c>
      <c r="C9" s="1"/>
      <c r="D9" s="1"/>
      <c r="E9" s="1"/>
      <c r="F9" s="85">
        <f>'D PY Audit'!H10</f>
        <v>4882000</v>
      </c>
      <c r="G9" s="85"/>
      <c r="H9" s="85">
        <f>IF('J Proj CY'!F$151&gt;1,('J Proj CY'!H20+'J Proj CY'!H22)/('E Budg CY'!N$20+'E Budg CY'!N$22),('E Budg CY'!H$20+'E Budg CY'!H$22)/('E Budg CY'!N$20+'E Budg CY'!N$22))*F9+'M Non student'!F19-'D PY Audit'!M40</f>
        <v>5600550.991</v>
      </c>
      <c r="I9" s="85"/>
      <c r="J9" s="85">
        <f>H9*('P Fcast 5yr'!I$15+'P Fcast 5yr'!I$16)/('E Budg CY'!H$20+'E Budg CY'!H$22)+'M Non student'!H19-'M Non student'!F19</f>
        <v>5948800.715</v>
      </c>
      <c r="K9" s="85"/>
      <c r="L9" s="85">
        <f>J9*('P Fcast 5yr'!K$15+'P Fcast 5yr'!K$16)/('P Fcast 5yr'!I$15+'P Fcast 5yr'!I$16)+'M Non student'!J19-'M Non student'!H19</f>
        <v>6014922.791</v>
      </c>
      <c r="M9" s="85"/>
      <c r="N9" s="85">
        <f>L9*('P Fcast 5yr'!M$15+'P Fcast 5yr'!M$16)/('P Fcast 5yr'!K$15+'P Fcast 5yr'!K$16)+'M Non student'!L19-'M Non student'!J19</f>
        <v>6254868.18</v>
      </c>
      <c r="O9" s="85"/>
      <c r="P9" s="85">
        <f>N9*('P Fcast 5yr'!O$15+'P Fcast 5yr'!O$16)/('P Fcast 5yr'!M$15+'P Fcast 5yr'!M$16)+'M Non student'!N19-'M Non student'!L19</f>
        <v>6357179.282</v>
      </c>
      <c r="Q9" s="85"/>
      <c r="R9" s="85">
        <f>P9*('P Fcast 5yr'!Q$15+'P Fcast 5yr'!Q$16)/('P Fcast 5yr'!O$15+'P Fcast 5yr'!O$16)+'M Non student'!P19-'M Non student'!N19</f>
        <v>6449752.425</v>
      </c>
      <c r="S9" s="1"/>
      <c r="T9" s="1"/>
      <c r="U9" s="1"/>
      <c r="V9" s="1"/>
      <c r="W9" s="1"/>
      <c r="X9" s="1"/>
      <c r="Y9" s="1"/>
      <c r="Z9" s="1"/>
    </row>
    <row r="10" ht="4.5" customHeight="1">
      <c r="A10" s="1"/>
      <c r="B10" s="1"/>
      <c r="C10" s="1"/>
      <c r="D10" s="1"/>
      <c r="E10" s="1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1"/>
      <c r="T10" s="1"/>
      <c r="U10" s="1"/>
      <c r="V10" s="1"/>
      <c r="W10" s="1"/>
      <c r="X10" s="1"/>
      <c r="Y10" s="1"/>
      <c r="Z10" s="1"/>
    </row>
    <row r="11" ht="15.0" customHeight="1">
      <c r="A11" s="1"/>
      <c r="B11" s="1" t="s">
        <v>36</v>
      </c>
      <c r="C11" s="1"/>
      <c r="D11" s="1"/>
      <c r="E11" s="1"/>
      <c r="F11" s="85">
        <f>'D PY Audit'!H12</f>
        <v>8866899</v>
      </c>
      <c r="G11" s="85"/>
      <c r="H11" s="85">
        <f>'M Non student'!F58</f>
        <v>9066899</v>
      </c>
      <c r="I11" s="85"/>
      <c r="J11" s="85">
        <f>'M Non student'!H58</f>
        <v>8766899</v>
      </c>
      <c r="K11" s="85"/>
      <c r="L11" s="85">
        <f>'M Non student'!J58</f>
        <v>7416899</v>
      </c>
      <c r="M11" s="85"/>
      <c r="N11" s="85">
        <f>'M Non student'!L58</f>
        <v>4966899</v>
      </c>
      <c r="O11" s="85"/>
      <c r="P11" s="85">
        <f>'M Non student'!N58</f>
        <v>1066899</v>
      </c>
      <c r="Q11" s="85"/>
      <c r="R11" s="85">
        <f>'M Non student'!P58</f>
        <v>600000</v>
      </c>
      <c r="S11" s="1"/>
      <c r="T11" s="1"/>
      <c r="U11" s="1"/>
      <c r="V11" s="1"/>
      <c r="W11" s="1"/>
      <c r="X11" s="1"/>
      <c r="Y11" s="1"/>
      <c r="Z11" s="1"/>
    </row>
    <row r="12" ht="4.5" customHeight="1">
      <c r="A12" s="1"/>
      <c r="B12" s="1"/>
      <c r="C12" s="1"/>
      <c r="D12" s="1"/>
      <c r="E12" s="1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1"/>
      <c r="T12" s="1"/>
      <c r="U12" s="1"/>
      <c r="V12" s="1"/>
      <c r="W12" s="1"/>
      <c r="X12" s="1"/>
      <c r="Y12" s="1"/>
      <c r="Z12" s="1"/>
    </row>
    <row r="13" ht="14.25" customHeight="1">
      <c r="A13" s="1"/>
      <c r="B13" s="1" t="s">
        <v>41</v>
      </c>
      <c r="C13" s="1"/>
      <c r="D13" s="1"/>
      <c r="E13" s="1"/>
      <c r="F13" s="85">
        <f>'D PY Audit'!H14</f>
        <v>91599695</v>
      </c>
      <c r="G13" s="85"/>
      <c r="H13" s="85">
        <f>'M Non student'!F159</f>
        <v>101008804.4</v>
      </c>
      <c r="I13" s="85"/>
      <c r="J13" s="85">
        <f>'M Non student'!H159</f>
        <v>111105579</v>
      </c>
      <c r="K13" s="85"/>
      <c r="L13" s="85">
        <f>'M Non student'!J159</f>
        <v>121178788.4</v>
      </c>
      <c r="M13" s="85"/>
      <c r="N13" s="85">
        <f>'M Non student'!L159</f>
        <v>130225480.7</v>
      </c>
      <c r="O13" s="85"/>
      <c r="P13" s="85">
        <f>'M Non student'!N159</f>
        <v>139417014.6</v>
      </c>
      <c r="Q13" s="85"/>
      <c r="R13" s="85">
        <f>'M Non student'!P159</f>
        <v>148393341.2</v>
      </c>
      <c r="S13" s="1"/>
      <c r="T13" s="1"/>
      <c r="U13" s="1"/>
      <c r="V13" s="1"/>
      <c r="W13" s="1"/>
      <c r="X13" s="1"/>
      <c r="Y13" s="1"/>
      <c r="Z13" s="1"/>
    </row>
    <row r="14" ht="4.5" customHeight="1">
      <c r="A14" s="1"/>
      <c r="B14" s="1"/>
      <c r="C14" s="1"/>
      <c r="D14" s="1"/>
      <c r="E14" s="1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1"/>
      <c r="T14" s="1"/>
      <c r="U14" s="1"/>
      <c r="V14" s="1"/>
      <c r="W14" s="1"/>
      <c r="X14" s="1"/>
      <c r="Y14" s="1"/>
      <c r="Z14" s="1"/>
    </row>
    <row r="15" ht="14.25" customHeight="1">
      <c r="A15" s="1"/>
      <c r="B15" s="1" t="s">
        <v>792</v>
      </c>
      <c r="C15" s="1"/>
      <c r="D15" s="1"/>
      <c r="E15" s="1"/>
      <c r="F15" s="85">
        <f>'D PY Audit'!H16</f>
        <v>104402945</v>
      </c>
      <c r="G15" s="85"/>
      <c r="H15" s="85">
        <f>F15+'L Capital'!L48-'L Capital'!L58-'P Fcast 5yr'!G33</f>
        <v>107893309.2</v>
      </c>
      <c r="I15" s="85"/>
      <c r="J15" s="85">
        <f>H15+'L Capital'!P48-'L Capital'!P192-'L Capital'!P58</f>
        <v>107175858.4</v>
      </c>
      <c r="K15" s="85"/>
      <c r="L15" s="85">
        <f>J15+'L Capital'!T48-'L Capital'!T192-'L Capital'!T58</f>
        <v>102020542.4</v>
      </c>
      <c r="M15" s="85"/>
      <c r="N15" s="85">
        <f>L15+'L Capital'!X48-'L Capital'!X192-'L Capital'!X58</f>
        <v>96031029.65</v>
      </c>
      <c r="O15" s="85"/>
      <c r="P15" s="85">
        <f>N15+'L Capital'!AB48-'L Capital'!AB192-'L Capital'!AB58</f>
        <v>90069486.22</v>
      </c>
      <c r="Q15" s="85"/>
      <c r="R15" s="85">
        <f>P15+'L Capital'!AF48-'L Capital'!AF192-'L Capital'!AF58</f>
        <v>84133352.75</v>
      </c>
      <c r="S15" s="1"/>
      <c r="T15" s="1"/>
      <c r="U15" s="1"/>
      <c r="V15" s="1"/>
      <c r="W15" s="1"/>
      <c r="X15" s="1"/>
      <c r="Y15" s="1"/>
      <c r="Z15" s="1"/>
    </row>
    <row r="16" ht="4.5" customHeight="1">
      <c r="A16" s="1"/>
      <c r="B16" s="1"/>
      <c r="C16" s="1"/>
      <c r="D16" s="1"/>
      <c r="E16" s="1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1"/>
      <c r="T16" s="1"/>
      <c r="U16" s="1"/>
      <c r="V16" s="1"/>
      <c r="W16" s="1"/>
      <c r="X16" s="1"/>
      <c r="Y16" s="1"/>
      <c r="Z16" s="1"/>
    </row>
    <row r="17" ht="14.25" customHeight="1">
      <c r="A17" s="1"/>
      <c r="B17" s="1" t="s">
        <v>49</v>
      </c>
      <c r="C17" s="1"/>
      <c r="D17" s="1"/>
      <c r="E17" s="1"/>
      <c r="F17" s="85" t="str">
        <f>'D PY Audit'!H18</f>
        <v/>
      </c>
      <c r="G17" s="1"/>
      <c r="H17" s="85">
        <f>H20-SUM(H7:H15)</f>
        <v>0</v>
      </c>
      <c r="I17" s="1"/>
      <c r="J17" s="85">
        <f>J20-SUM(J7:J15)</f>
        <v>0</v>
      </c>
      <c r="K17" s="1"/>
      <c r="L17" s="85">
        <f>L20-SUM(L7:L15)</f>
        <v>0</v>
      </c>
      <c r="M17" s="1"/>
      <c r="N17" s="85">
        <f>N20-SUM(N7:N15)</f>
        <v>0</v>
      </c>
      <c r="O17" s="1"/>
      <c r="P17" s="85">
        <f>P20-SUM(P7:P15)</f>
        <v>0</v>
      </c>
      <c r="Q17" s="1"/>
      <c r="R17" s="85">
        <f>R20-SUM(R7:R15)</f>
        <v>0</v>
      </c>
      <c r="S17" s="1"/>
      <c r="T17" s="1"/>
      <c r="U17" s="1"/>
      <c r="V17" s="1"/>
      <c r="W17" s="1"/>
      <c r="X17" s="1"/>
      <c r="Y17" s="1"/>
      <c r="Z17" s="1"/>
    </row>
    <row r="18" ht="4.5" customHeight="1">
      <c r="A18" s="1"/>
      <c r="B18" s="1"/>
      <c r="C18" s="1"/>
      <c r="D18" s="1"/>
      <c r="E18" s="1"/>
      <c r="F18" s="405"/>
      <c r="G18" s="1"/>
      <c r="H18" s="405"/>
      <c r="I18" s="1"/>
      <c r="J18" s="405"/>
      <c r="K18" s="1"/>
      <c r="L18" s="405"/>
      <c r="M18" s="1"/>
      <c r="N18" s="405"/>
      <c r="O18" s="1"/>
      <c r="P18" s="405"/>
      <c r="Q18" s="1"/>
      <c r="R18" s="405"/>
      <c r="S18" s="1"/>
      <c r="T18" s="1"/>
      <c r="U18" s="1"/>
      <c r="V18" s="1"/>
      <c r="W18" s="1"/>
      <c r="X18" s="1"/>
      <c r="Y18" s="1"/>
      <c r="Z18" s="1"/>
    </row>
    <row r="19" ht="4.5" customHeight="1">
      <c r="A19" s="1"/>
      <c r="B19" s="1"/>
      <c r="C19" s="1"/>
      <c r="D19" s="1"/>
      <c r="E19" s="1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1"/>
      <c r="T19" s="1"/>
      <c r="U19" s="1"/>
      <c r="V19" s="1"/>
      <c r="W19" s="1"/>
      <c r="X19" s="1"/>
      <c r="Y19" s="1"/>
      <c r="Z19" s="1"/>
    </row>
    <row r="20" ht="14.25" customHeight="1">
      <c r="A20" s="1"/>
      <c r="B20" s="1" t="s">
        <v>800</v>
      </c>
      <c r="C20" s="1"/>
      <c r="D20" s="1"/>
      <c r="E20" s="1"/>
      <c r="F20" s="85">
        <f>SUM(F7:F19)</f>
        <v>216265539</v>
      </c>
      <c r="G20" s="85"/>
      <c r="H20" s="85">
        <f>H41</f>
        <v>245849588.1</v>
      </c>
      <c r="I20" s="85"/>
      <c r="J20" s="85">
        <f>J41</f>
        <v>263915317.7</v>
      </c>
      <c r="K20" s="85"/>
      <c r="L20" s="85">
        <f>L41</f>
        <v>280529559.7</v>
      </c>
      <c r="M20" s="85"/>
      <c r="N20" s="85">
        <f>N41</f>
        <v>295930855</v>
      </c>
      <c r="O20" s="85"/>
      <c r="P20" s="85">
        <f>P41</f>
        <v>310935804.9</v>
      </c>
      <c r="Q20" s="85"/>
      <c r="R20" s="85">
        <f>R41</f>
        <v>318373891.1</v>
      </c>
      <c r="S20" s="1"/>
      <c r="T20" s="1"/>
      <c r="U20" s="1"/>
      <c r="V20" s="1"/>
      <c r="W20" s="1"/>
      <c r="X20" s="1"/>
      <c r="Y20" s="1"/>
      <c r="Z20" s="1"/>
    </row>
    <row r="21" ht="6.0" customHeight="1">
      <c r="A21" s="1"/>
      <c r="B21" s="1"/>
      <c r="C21" s="1"/>
      <c r="D21" s="1"/>
      <c r="E21" s="1"/>
      <c r="F21" s="135"/>
      <c r="G21" s="85"/>
      <c r="H21" s="135"/>
      <c r="I21" s="85"/>
      <c r="J21" s="135"/>
      <c r="K21" s="85"/>
      <c r="L21" s="135"/>
      <c r="M21" s="85"/>
      <c r="N21" s="135"/>
      <c r="O21" s="85"/>
      <c r="P21" s="135"/>
      <c r="Q21" s="85"/>
      <c r="R21" s="135"/>
      <c r="S21" s="1"/>
      <c r="T21" s="1"/>
      <c r="U21" s="1"/>
      <c r="V21" s="1"/>
      <c r="W21" s="1"/>
      <c r="X21" s="1"/>
      <c r="Y21" s="1"/>
      <c r="Z21" s="1"/>
    </row>
    <row r="22" ht="18.0" customHeight="1">
      <c r="A22" s="1"/>
      <c r="B22" s="1071" t="s">
        <v>56</v>
      </c>
      <c r="C22" s="1"/>
      <c r="D22" s="1"/>
      <c r="E22" s="1"/>
      <c r="F22" s="1"/>
      <c r="G22" s="1"/>
      <c r="H22" s="1" t="str">
        <f>IF((H20-H41)&lt;1,"",H20-H41)</f>
        <v/>
      </c>
      <c r="I22" s="1" t="str">
        <f>IF(H22&lt;&gt;"","&lt;-IMBALANCE!","")</f>
        <v/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5.25" customHeight="1">
      <c r="A23" s="1"/>
      <c r="B23" s="1"/>
      <c r="C23" s="1"/>
      <c r="D23" s="1"/>
      <c r="E23" s="1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1" t="s">
        <v>806</v>
      </c>
      <c r="C24" s="1"/>
      <c r="D24" s="1"/>
      <c r="E24" s="1"/>
      <c r="F24" s="85">
        <f>'D PY Audit'!H24</f>
        <v>12450000</v>
      </c>
      <c r="G24" s="85"/>
      <c r="H24" s="85">
        <f>('P Fcast 5yr'!G32/'P Fcast 5yr'!E32*F24)+'M Non student'!F31-'M Non student'!D31</f>
        <v>12884987.68</v>
      </c>
      <c r="I24" s="85"/>
      <c r="J24" s="85">
        <f>('P Fcast 5yr'!I32/'P Fcast 5yr'!G32*H24)+'M Non student'!H31-'M Non student'!F31</f>
        <v>13701375.15</v>
      </c>
      <c r="K24" s="85"/>
      <c r="L24" s="85">
        <f>('P Fcast 5yr'!K32/'P Fcast 5yr'!I32*J24)+'M Non student'!J31-'M Non student'!H31</f>
        <v>13969235.1</v>
      </c>
      <c r="M24" s="85"/>
      <c r="N24" s="85">
        <f>('P Fcast 5yr'!M32/'P Fcast 5yr'!K32*L24)+'M Non student'!L31-'M Non student'!J31</f>
        <v>14448248.59</v>
      </c>
      <c r="O24" s="85"/>
      <c r="P24" s="85">
        <f>('P Fcast 5yr'!O32/'P Fcast 5yr'!M32*N24)+'M Non student'!N31-'M Non student'!L31</f>
        <v>14857705.74</v>
      </c>
      <c r="Q24" s="85"/>
      <c r="R24" s="85">
        <f>('P Fcast 5yr'!Q32/'P Fcast 5yr'!O32*P24)+'M Non student'!P31-'M Non student'!N31</f>
        <v>15292744.94</v>
      </c>
      <c r="S24" s="1"/>
      <c r="T24" s="1"/>
      <c r="U24" s="1"/>
      <c r="V24" s="1"/>
      <c r="W24" s="1"/>
      <c r="X24" s="1"/>
      <c r="Y24" s="1"/>
      <c r="Z24" s="1"/>
    </row>
    <row r="25" ht="4.5" customHeight="1">
      <c r="A25" s="1"/>
      <c r="B25" s="1"/>
      <c r="C25" s="1"/>
      <c r="D25" s="1"/>
      <c r="E25" s="1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1" t="s">
        <v>808</v>
      </c>
      <c r="C26" s="1"/>
      <c r="D26" s="1"/>
      <c r="E26" s="1"/>
      <c r="F26" s="85">
        <f>'L Capital'!J170</f>
        <v>1000000</v>
      </c>
      <c r="G26" s="85"/>
      <c r="H26" s="85">
        <f>'L Capital'!L170</f>
        <v>2000000</v>
      </c>
      <c r="I26" s="85"/>
      <c r="J26" s="85" t="str">
        <f>'L Capital'!P170</f>
        <v/>
      </c>
      <c r="K26" s="85"/>
      <c r="L26" s="85" t="str">
        <f>'L Capital'!T170</f>
        <v/>
      </c>
      <c r="M26" s="85"/>
      <c r="N26" s="85" t="str">
        <f>'L Capital'!X170</f>
        <v/>
      </c>
      <c r="O26" s="85"/>
      <c r="P26" s="85" t="str">
        <f>'L Capital'!AB170</f>
        <v/>
      </c>
      <c r="Q26" s="85"/>
      <c r="R26" s="85" t="str">
        <f>'L Capital'!AF170</f>
        <v/>
      </c>
      <c r="S26" s="1"/>
      <c r="T26" s="1"/>
      <c r="U26" s="1"/>
      <c r="V26" s="1"/>
      <c r="W26" s="1"/>
      <c r="X26" s="1"/>
      <c r="Y26" s="1"/>
      <c r="Z26" s="1"/>
    </row>
    <row r="27" ht="5.25" customHeight="1">
      <c r="A27" s="1"/>
      <c r="B27" s="1"/>
      <c r="C27" s="1"/>
      <c r="D27" s="1"/>
      <c r="E27" s="1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1"/>
      <c r="T27" s="1"/>
      <c r="U27" s="1"/>
      <c r="V27" s="1"/>
      <c r="W27" s="1"/>
      <c r="X27" s="1"/>
      <c r="Y27" s="1"/>
      <c r="Z27" s="1"/>
    </row>
    <row r="28" ht="15.0" customHeight="1">
      <c r="A28" s="1"/>
      <c r="B28" s="1" t="s">
        <v>810</v>
      </c>
      <c r="C28" s="1"/>
      <c r="D28" s="1"/>
      <c r="E28" s="1"/>
      <c r="F28" s="85">
        <f>'D PY Audit'!H28</f>
        <v>26783294</v>
      </c>
      <c r="G28" s="85"/>
      <c r="H28" s="85">
        <f>'L Capital'!L168</f>
        <v>32978858.82</v>
      </c>
      <c r="I28" s="85"/>
      <c r="J28" s="85">
        <f>'L Capital'!P168</f>
        <v>32124125.16</v>
      </c>
      <c r="K28" s="85"/>
      <c r="L28" s="85">
        <f>'L Capital'!T168</f>
        <v>31239413.82</v>
      </c>
      <c r="M28" s="85"/>
      <c r="N28" s="85">
        <f>'L Capital'!X168</f>
        <v>30314206.24</v>
      </c>
      <c r="O28" s="85"/>
      <c r="P28" s="85">
        <f>'L Capital'!AB168</f>
        <v>29356950.17</v>
      </c>
      <c r="Q28" s="85"/>
      <c r="R28" s="85">
        <f>'L Capital'!AF168</f>
        <v>27744057.45</v>
      </c>
      <c r="S28" s="1"/>
      <c r="T28" s="1"/>
      <c r="U28" s="1"/>
      <c r="V28" s="1"/>
      <c r="W28" s="1"/>
      <c r="X28" s="1"/>
      <c r="Y28" s="1"/>
      <c r="Z28" s="1"/>
    </row>
    <row r="29" ht="6.0" customHeight="1">
      <c r="A29" s="1"/>
      <c r="B29" s="1"/>
      <c r="C29" s="1"/>
      <c r="D29" s="1"/>
      <c r="E29" s="1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1" t="s">
        <v>68</v>
      </c>
      <c r="C30" s="1"/>
      <c r="D30" s="1"/>
      <c r="E30" s="1"/>
      <c r="F30" s="85">
        <f>'D PY Audit'!H30</f>
        <v>3061386</v>
      </c>
      <c r="G30" s="1"/>
      <c r="H30" s="85">
        <f>F30</f>
        <v>3061386</v>
      </c>
      <c r="I30" s="1"/>
      <c r="J30" s="85">
        <f>H30</f>
        <v>3061386</v>
      </c>
      <c r="K30" s="1"/>
      <c r="L30" s="85">
        <f>J30</f>
        <v>3061386</v>
      </c>
      <c r="M30" s="1"/>
      <c r="N30" s="85">
        <f>L30</f>
        <v>3061386</v>
      </c>
      <c r="O30" s="1"/>
      <c r="P30" s="85">
        <f>N30</f>
        <v>3061386</v>
      </c>
      <c r="Q30" s="1"/>
      <c r="R30" s="85">
        <f>P30</f>
        <v>3061386</v>
      </c>
      <c r="S30" s="1"/>
      <c r="T30" s="1"/>
      <c r="U30" s="1"/>
      <c r="V30" s="1"/>
      <c r="W30" s="1"/>
      <c r="X30" s="1"/>
      <c r="Y30" s="1"/>
      <c r="Z30" s="1"/>
    </row>
    <row r="31" ht="9.0" customHeight="1">
      <c r="A31" s="1"/>
      <c r="B31" s="1"/>
      <c r="C31" s="1"/>
      <c r="D31" s="1"/>
      <c r="E31" s="1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1"/>
      <c r="T31" s="1"/>
      <c r="U31" s="1"/>
      <c r="V31" s="1"/>
      <c r="W31" s="1"/>
      <c r="X31" s="1"/>
      <c r="Y31" s="1"/>
      <c r="Z31" s="1"/>
    </row>
    <row r="32" ht="18.0" customHeight="1">
      <c r="A32" s="1"/>
      <c r="B32" s="1071" t="s">
        <v>71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4.5" customHeight="1">
      <c r="A33" s="1"/>
      <c r="B33" s="1"/>
      <c r="C33" s="1"/>
      <c r="D33" s="1"/>
      <c r="E33" s="1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"/>
      <c r="B34" s="1" t="s">
        <v>74</v>
      </c>
      <c r="C34" s="1"/>
      <c r="D34" s="1"/>
      <c r="E34" s="1"/>
      <c r="F34" s="85">
        <f>'D PY Audit'!H34</f>
        <v>49918971</v>
      </c>
      <c r="G34" s="85"/>
      <c r="H34" s="85">
        <f>IF('J Proj CY'!F$151&gt;1,'J Proj CY'!H92,'J Proj CY'!N92)+F34</f>
        <v>58923130.21</v>
      </c>
      <c r="I34" s="85"/>
      <c r="J34" s="85">
        <f>H34+'P Fcast 5yr'!I41</f>
        <v>67130431.37</v>
      </c>
      <c r="K34" s="85"/>
      <c r="L34" s="85">
        <f>J34+'P Fcast 5yr'!K41</f>
        <v>71888315.38</v>
      </c>
      <c r="M34" s="85"/>
      <c r="N34" s="85">
        <f>L34+'P Fcast 5yr'!M41</f>
        <v>75289112.5</v>
      </c>
      <c r="O34" s="85"/>
      <c r="P34" s="85">
        <f>N34+'P Fcast 5yr'!O41</f>
        <v>78187327.3</v>
      </c>
      <c r="Q34" s="85"/>
      <c r="R34" s="85">
        <f>P34+'P Fcast 5yr'!Q41</f>
        <v>80389940.45</v>
      </c>
      <c r="S34" s="1"/>
      <c r="T34" s="1"/>
      <c r="U34" s="1"/>
      <c r="V34" s="1"/>
      <c r="W34" s="1"/>
      <c r="X34" s="1"/>
      <c r="Y34" s="1"/>
      <c r="Z34" s="1"/>
    </row>
    <row r="35" ht="4.5" customHeight="1">
      <c r="A35" s="1"/>
      <c r="B35" s="1"/>
      <c r="C35" s="1"/>
      <c r="D35" s="1"/>
      <c r="E35" s="1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1"/>
      <c r="T35" s="1"/>
      <c r="U35" s="1"/>
      <c r="V35" s="1"/>
      <c r="W35" s="1"/>
      <c r="X35" s="1"/>
      <c r="Y35" s="1"/>
      <c r="Z35" s="1"/>
    </row>
    <row r="36" ht="14.25" customHeight="1">
      <c r="A36" s="1"/>
      <c r="B36" s="1" t="s">
        <v>818</v>
      </c>
      <c r="C36" s="1"/>
      <c r="D36" s="1"/>
      <c r="E36" s="1"/>
      <c r="F36" s="85">
        <f>'D PY Audit'!H36</f>
        <v>62079551</v>
      </c>
      <c r="G36" s="85"/>
      <c r="H36" s="85">
        <f>F36+'M Non student'!F139</f>
        <v>67028888.4</v>
      </c>
      <c r="I36" s="85"/>
      <c r="J36" s="85">
        <f>H36+'M Non student'!H139</f>
        <v>70925663</v>
      </c>
      <c r="K36" s="85"/>
      <c r="L36" s="85">
        <f>J36+'M Non student'!J139</f>
        <v>76398872.42</v>
      </c>
      <c r="M36" s="85"/>
      <c r="N36" s="85">
        <f>L36+'M Non student'!L139</f>
        <v>81645564.67</v>
      </c>
      <c r="O36" s="85"/>
      <c r="P36" s="85">
        <f>N36+'M Non student'!N139</f>
        <v>87237098.64</v>
      </c>
      <c r="Q36" s="85"/>
      <c r="R36" s="85">
        <f>P36+'M Non student'!P139</f>
        <v>90650425.22</v>
      </c>
      <c r="S36" s="1"/>
      <c r="T36" s="1"/>
      <c r="U36" s="1"/>
      <c r="V36" s="1"/>
      <c r="W36" s="1"/>
      <c r="X36" s="1"/>
      <c r="Y36" s="1"/>
      <c r="Z36" s="1"/>
    </row>
    <row r="37" ht="4.5" customHeight="1">
      <c r="A37" s="1"/>
      <c r="B37" s="1"/>
      <c r="C37" s="1"/>
      <c r="D37" s="1"/>
      <c r="E37" s="1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1"/>
      <c r="T37" s="1"/>
      <c r="U37" s="1"/>
      <c r="V37" s="1"/>
      <c r="W37" s="1"/>
      <c r="X37" s="1"/>
      <c r="Y37" s="1"/>
      <c r="Z37" s="1"/>
    </row>
    <row r="38" ht="14.25" customHeight="1">
      <c r="A38" s="1"/>
      <c r="B38" s="1" t="s">
        <v>80</v>
      </c>
      <c r="C38" s="1"/>
      <c r="D38" s="1"/>
      <c r="E38" s="1"/>
      <c r="F38" s="85">
        <f>'D PY Audit'!H38</f>
        <v>60972337</v>
      </c>
      <c r="G38" s="85"/>
      <c r="H38" s="85">
        <f>F38+'M Non student'!F74+'M Non student'!H76</f>
        <v>68972337</v>
      </c>
      <c r="I38" s="85"/>
      <c r="J38" s="85">
        <f>H38+'M Non student'!H74+'M Non student'!J76</f>
        <v>76972337</v>
      </c>
      <c r="K38" s="85"/>
      <c r="L38" s="85">
        <f>J38+'M Non student'!J74+'M Non student'!L76</f>
        <v>83972337</v>
      </c>
      <c r="M38" s="85"/>
      <c r="N38" s="85">
        <f>L38+'M Non student'!L74+'M Non student'!N76</f>
        <v>91172337</v>
      </c>
      <c r="O38" s="85"/>
      <c r="P38" s="85">
        <f>N38+'M Non student'!N74+'M Non student'!P76</f>
        <v>98235337</v>
      </c>
      <c r="Q38" s="85"/>
      <c r="R38" s="85">
        <f>P38+'M Non student'!P74+'M Non student'!R76</f>
        <v>101235337</v>
      </c>
      <c r="S38" s="1"/>
      <c r="T38" s="1"/>
      <c r="U38" s="1"/>
      <c r="V38" s="1"/>
      <c r="W38" s="1"/>
      <c r="X38" s="1"/>
      <c r="Y38" s="1"/>
      <c r="Z38" s="1"/>
    </row>
    <row r="39" ht="4.5" customHeight="1">
      <c r="A39" s="1"/>
      <c r="B39" s="1"/>
      <c r="C39" s="1"/>
      <c r="D39" s="1"/>
      <c r="E39" s="1"/>
      <c r="F39" s="405"/>
      <c r="G39" s="85"/>
      <c r="H39" s="405"/>
      <c r="I39" s="85"/>
      <c r="J39" s="405"/>
      <c r="K39" s="85"/>
      <c r="L39" s="405"/>
      <c r="M39" s="85"/>
      <c r="N39" s="405"/>
      <c r="O39" s="85"/>
      <c r="P39" s="405"/>
      <c r="Q39" s="85"/>
      <c r="R39" s="405"/>
      <c r="S39" s="1"/>
      <c r="T39" s="1"/>
      <c r="U39" s="1"/>
      <c r="V39" s="1"/>
      <c r="W39" s="1"/>
      <c r="X39" s="1"/>
      <c r="Y39" s="1"/>
      <c r="Z39" s="1"/>
    </row>
    <row r="40" ht="4.5" customHeight="1">
      <c r="A40" s="1"/>
      <c r="B40" s="1"/>
      <c r="C40" s="1"/>
      <c r="D40" s="1"/>
      <c r="E40" s="1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1"/>
      <c r="T40" s="1"/>
      <c r="U40" s="1"/>
      <c r="V40" s="1"/>
      <c r="W40" s="1"/>
      <c r="X40" s="1"/>
      <c r="Y40" s="1"/>
      <c r="Z40" s="1"/>
    </row>
    <row r="41" ht="14.25" customHeight="1">
      <c r="A41" s="1"/>
      <c r="B41" s="1" t="s">
        <v>82</v>
      </c>
      <c r="C41" s="1"/>
      <c r="D41" s="1"/>
      <c r="E41" s="1"/>
      <c r="F41" s="85">
        <f>SUM(F24:F38)</f>
        <v>216265539</v>
      </c>
      <c r="G41" s="85"/>
      <c r="H41" s="85">
        <f>SUM(H24:H38)</f>
        <v>245849588.1</v>
      </c>
      <c r="I41" s="85"/>
      <c r="J41" s="85">
        <f>SUM(J24:J38)</f>
        <v>263915317.7</v>
      </c>
      <c r="K41" s="85"/>
      <c r="L41" s="85">
        <f>SUM(L24:L38)</f>
        <v>280529559.7</v>
      </c>
      <c r="M41" s="85"/>
      <c r="N41" s="85">
        <f>SUM(N24:N38)</f>
        <v>295930855</v>
      </c>
      <c r="O41" s="85"/>
      <c r="P41" s="85">
        <f>SUM(P24:P38)</f>
        <v>310935804.9</v>
      </c>
      <c r="Q41" s="85"/>
      <c r="R41" s="85">
        <f>SUM(R24:R38)</f>
        <v>318373891.1</v>
      </c>
      <c r="S41" s="1"/>
      <c r="T41" s="1"/>
      <c r="U41" s="1"/>
      <c r="V41" s="1"/>
      <c r="W41" s="1"/>
      <c r="X41" s="1"/>
      <c r="Y41" s="1"/>
      <c r="Z41" s="1"/>
    </row>
    <row r="42" ht="4.5" customHeight="1">
      <c r="A42" s="1"/>
      <c r="B42" s="1"/>
      <c r="C42" s="1"/>
      <c r="D42" s="1"/>
      <c r="E42" s="1"/>
      <c r="F42" s="135"/>
      <c r="G42" s="85"/>
      <c r="H42" s="135"/>
      <c r="I42" s="85"/>
      <c r="J42" s="135"/>
      <c r="K42" s="85"/>
      <c r="L42" s="135"/>
      <c r="M42" s="85"/>
      <c r="N42" s="135"/>
      <c r="O42" s="85"/>
      <c r="P42" s="135"/>
      <c r="Q42" s="85"/>
      <c r="R42" s="135"/>
      <c r="S42" s="1"/>
      <c r="T42" s="1"/>
      <c r="U42" s="1"/>
      <c r="V42" s="1"/>
      <c r="W42" s="1"/>
      <c r="X42" s="1"/>
      <c r="Y42" s="1"/>
      <c r="Z42" s="1"/>
    </row>
    <row r="43" ht="4.5" customHeight="1">
      <c r="A43" s="1"/>
      <c r="B43" s="1"/>
      <c r="C43" s="1"/>
      <c r="D43" s="1"/>
      <c r="E43" s="1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51" t="s">
        <v>824</v>
      </c>
      <c r="C44" s="1"/>
      <c r="D44" s="1"/>
      <c r="E44" s="1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1"/>
      <c r="T44" s="1"/>
      <c r="U44" s="1"/>
      <c r="V44" s="1"/>
      <c r="W44" s="1"/>
      <c r="X44" s="1"/>
      <c r="Y44" s="1"/>
      <c r="Z44" s="1"/>
    </row>
    <row r="45" ht="4.5" customHeight="1">
      <c r="A45" s="1"/>
      <c r="B45" s="151"/>
      <c r="C45" s="1"/>
      <c r="D45" s="1"/>
      <c r="E45" s="1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1"/>
      <c r="T45" s="1"/>
      <c r="U45" s="1"/>
      <c r="V45" s="1"/>
      <c r="W45" s="1"/>
      <c r="X45" s="1"/>
      <c r="Y45" s="1"/>
      <c r="Z45" s="1"/>
    </row>
    <row r="46" ht="15.0" customHeight="1">
      <c r="A46" s="1"/>
      <c r="B46" s="25" t="s">
        <v>95</v>
      </c>
      <c r="C46" s="1"/>
      <c r="D46" s="1"/>
      <c r="E46" s="1"/>
      <c r="F46" s="1103">
        <f>'D PY Audit'!H50</f>
        <v>7912470</v>
      </c>
      <c r="G46" s="85"/>
      <c r="H46" s="1103">
        <f>F46+'M Non student'!F129-'L Capital'!L281</f>
        <v>8577698</v>
      </c>
      <c r="I46" s="85"/>
      <c r="J46" s="1103">
        <f>H46+'M Non student'!H129-'L Capital'!P281</f>
        <v>10777698</v>
      </c>
      <c r="K46" s="85"/>
      <c r="L46" s="1103">
        <f>J46+'M Non student'!J129-'L Capital'!T281</f>
        <v>14777698</v>
      </c>
      <c r="M46" s="85"/>
      <c r="N46" s="1103">
        <f>L46+'M Non student'!L129-'L Capital'!X281</f>
        <v>17777698</v>
      </c>
      <c r="O46" s="85"/>
      <c r="P46" s="1103">
        <f>N46+'M Non student'!N129-'L Capital'!AB281</f>
        <v>21277698</v>
      </c>
      <c r="Q46" s="85"/>
      <c r="R46" s="1103">
        <f>P46+'M Non student'!P129-'L Capital'!AF281</f>
        <v>22277698</v>
      </c>
      <c r="S46" s="1"/>
      <c r="T46" s="1"/>
      <c r="U46" s="1"/>
      <c r="V46" s="1"/>
      <c r="W46" s="1"/>
      <c r="X46" s="1"/>
      <c r="Y46" s="1"/>
      <c r="Z46" s="1"/>
    </row>
    <row r="47" ht="5.25" customHeight="1">
      <c r="A47" s="1"/>
      <c r="B47" s="1"/>
      <c r="C47" s="1"/>
      <c r="D47" s="1"/>
      <c r="E47" s="1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1"/>
      <c r="T47" s="1"/>
      <c r="U47" s="1"/>
      <c r="V47" s="1"/>
      <c r="W47" s="1"/>
      <c r="X47" s="1"/>
      <c r="Y47" s="1"/>
      <c r="Z47" s="1"/>
    </row>
    <row r="48" ht="15.0" customHeight="1">
      <c r="A48" s="1"/>
      <c r="B48" s="25" t="s">
        <v>98</v>
      </c>
      <c r="C48" s="1"/>
      <c r="D48" s="1"/>
      <c r="E48" s="1"/>
      <c r="F48" s="1103">
        <f>'D PY Audit'!H52</f>
        <v>30928000</v>
      </c>
      <c r="G48" s="1"/>
      <c r="H48" s="1103">
        <f>F48+'M Non student'!F133</f>
        <v>36471240.22</v>
      </c>
      <c r="I48" s="1"/>
      <c r="J48" s="1103">
        <f>H48+'M Non student'!H133</f>
        <v>42771768.48</v>
      </c>
      <c r="K48" s="1"/>
      <c r="L48" s="1103">
        <f>J48+'M Non student'!J133</f>
        <v>49678103.22</v>
      </c>
      <c r="M48" s="1"/>
      <c r="N48" s="1103">
        <f>L48+'M Non student'!L133</f>
        <v>57158830.53</v>
      </c>
      <c r="O48" s="1"/>
      <c r="P48" s="1103">
        <f>N48+'M Non student'!N133</f>
        <v>65188359.37</v>
      </c>
      <c r="Q48" s="1"/>
      <c r="R48" s="1103">
        <f>P48+'M Non student'!P133</f>
        <v>73765270.25</v>
      </c>
      <c r="S48" s="1"/>
      <c r="T48" s="1"/>
      <c r="U48" s="1"/>
      <c r="V48" s="1"/>
      <c r="W48" s="1"/>
      <c r="X48" s="1"/>
      <c r="Y48" s="1"/>
      <c r="Z48" s="1"/>
    </row>
    <row r="49" ht="4.5" customHeight="1">
      <c r="A49" s="1"/>
      <c r="B49" s="25"/>
      <c r="C49" s="1"/>
      <c r="D49" s="1"/>
      <c r="E49" s="1"/>
      <c r="F49" s="1162"/>
      <c r="G49" s="85"/>
      <c r="H49" s="1162"/>
      <c r="I49" s="400"/>
      <c r="J49" s="1162"/>
      <c r="K49" s="400"/>
      <c r="L49" s="1162"/>
      <c r="M49" s="400"/>
      <c r="N49" s="1162"/>
      <c r="O49" s="400"/>
      <c r="P49" s="1162"/>
      <c r="Q49" s="400"/>
      <c r="R49" s="1162"/>
      <c r="S49" s="1"/>
      <c r="T49" s="1"/>
      <c r="U49" s="1"/>
      <c r="V49" s="1"/>
      <c r="W49" s="1"/>
      <c r="X49" s="1"/>
      <c r="Y49" s="1"/>
      <c r="Z49" s="1"/>
    </row>
    <row r="50" ht="15.0" customHeight="1">
      <c r="A50" s="1"/>
      <c r="B50" s="25" t="s">
        <v>101</v>
      </c>
      <c r="C50" s="1"/>
      <c r="D50" s="1"/>
      <c r="E50" s="1"/>
      <c r="F50" s="1162">
        <f>'D PY Audit'!H54</f>
        <v>22173081</v>
      </c>
      <c r="G50" s="85"/>
      <c r="H50" s="1162">
        <f>F50+'M Non student'!F121</f>
        <v>24548081</v>
      </c>
      <c r="I50" s="400"/>
      <c r="J50" s="1162">
        <f>H50+'M Non student'!H121</f>
        <v>24148081</v>
      </c>
      <c r="K50" s="400"/>
      <c r="L50" s="1162">
        <f>J50+'M Non student'!J121</f>
        <v>23548081</v>
      </c>
      <c r="M50" s="400"/>
      <c r="N50" s="1162">
        <f>L50+'M Non student'!L121</f>
        <v>23748081</v>
      </c>
      <c r="O50" s="400"/>
      <c r="P50" s="1162">
        <f>N50+'M Non student'!N121</f>
        <v>23848081</v>
      </c>
      <c r="Q50" s="400"/>
      <c r="R50" s="1162">
        <f>P50+'M Non student'!P121</f>
        <v>24348081</v>
      </c>
      <c r="S50" s="1"/>
      <c r="T50" s="1"/>
      <c r="U50" s="1"/>
      <c r="V50" s="1"/>
      <c r="W50" s="1"/>
      <c r="X50" s="1"/>
      <c r="Y50" s="1"/>
      <c r="Z50" s="1"/>
    </row>
    <row r="51" ht="4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0" customHeight="1">
      <c r="A52" s="1"/>
      <c r="B52" s="151" t="s">
        <v>835</v>
      </c>
      <c r="C52" s="1"/>
      <c r="D52" s="1"/>
      <c r="E52" s="1"/>
      <c r="F52" s="160">
        <f>SUM(F46:F50)</f>
        <v>61013551</v>
      </c>
      <c r="G52" s="155"/>
      <c r="H52" s="160">
        <f>SUM(H46:H50)</f>
        <v>69597019.22</v>
      </c>
      <c r="I52" s="160"/>
      <c r="J52" s="160">
        <f>SUM(J46:J50)</f>
        <v>77697547.48</v>
      </c>
      <c r="K52" s="160"/>
      <c r="L52" s="160">
        <f>SUM(L46:L50)</f>
        <v>88003882.22</v>
      </c>
      <c r="M52" s="160"/>
      <c r="N52" s="160">
        <f>SUM(N46:N50)</f>
        <v>98684609.53</v>
      </c>
      <c r="O52" s="160"/>
      <c r="P52" s="160">
        <f>SUM(P46:P50)</f>
        <v>110314138.4</v>
      </c>
      <c r="Q52" s="160"/>
      <c r="R52" s="160">
        <f>SUM(R46:R50)</f>
        <v>120391049.2</v>
      </c>
      <c r="S52" s="1"/>
      <c r="T52" s="1"/>
      <c r="U52" s="1"/>
      <c r="V52" s="1"/>
      <c r="W52" s="1"/>
      <c r="X52" s="1"/>
      <c r="Y52" s="1"/>
      <c r="Z52" s="1"/>
    </row>
    <row r="53" ht="9.0" customHeight="1">
      <c r="A53" s="1"/>
      <c r="B53" s="151"/>
      <c r="C53" s="1"/>
      <c r="D53" s="1"/>
      <c r="E53" s="1"/>
      <c r="F53" s="160"/>
      <c r="G53" s="155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"/>
      <c r="T53" s="1"/>
      <c r="U53" s="1"/>
      <c r="V53" s="1"/>
      <c r="W53" s="1"/>
      <c r="X53" s="1"/>
      <c r="Y53" s="1"/>
      <c r="Z53" s="1"/>
    </row>
    <row r="54" ht="30.0" customHeight="1">
      <c r="A54" s="225"/>
      <c r="B54" s="1379" t="s">
        <v>204</v>
      </c>
      <c r="C54" s="1380"/>
      <c r="D54" s="1380"/>
      <c r="E54" s="1380"/>
      <c r="F54" s="1381">
        <f>+F118</f>
        <v>2.795372572</v>
      </c>
      <c r="G54" s="1383"/>
      <c r="H54" s="1381">
        <f>+H118</f>
        <v>5.079361127</v>
      </c>
      <c r="I54" s="1383"/>
      <c r="J54" s="1381">
        <f>+J118</f>
        <v>5.407506588</v>
      </c>
      <c r="K54" s="1383"/>
      <c r="L54" s="1381">
        <f>+L118</f>
        <v>5.771966311</v>
      </c>
      <c r="M54" s="1383"/>
      <c r="N54" s="1381">
        <f>+N118</f>
        <v>6.037741784</v>
      </c>
      <c r="O54" s="1383"/>
      <c r="P54" s="1381">
        <f>+P118</f>
        <v>6.518601804</v>
      </c>
      <c r="Q54" s="1383"/>
      <c r="R54" s="1381">
        <f>+R118</f>
        <v>6.724968177</v>
      </c>
      <c r="S54" s="225"/>
      <c r="T54" s="225"/>
      <c r="U54" s="225"/>
      <c r="V54" s="225"/>
      <c r="W54" s="225"/>
      <c r="X54" s="225"/>
      <c r="Y54" s="225"/>
      <c r="Z54" s="225"/>
    </row>
    <row r="55" ht="8.25" customHeight="1">
      <c r="A55" s="1"/>
      <c r="B55" s="1384"/>
      <c r="C55" s="1384"/>
      <c r="D55" s="1384"/>
      <c r="E55" s="1384"/>
      <c r="F55" s="1385"/>
      <c r="G55" s="1385"/>
      <c r="H55" s="1385"/>
      <c r="I55" s="1385"/>
      <c r="J55" s="1385"/>
      <c r="K55" s="1385"/>
      <c r="L55" s="1385"/>
      <c r="M55" s="1385"/>
      <c r="N55" s="1385"/>
      <c r="O55" s="1385"/>
      <c r="P55" s="1385"/>
      <c r="Q55" s="1385"/>
      <c r="R55" s="1385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386" t="s">
        <v>838</v>
      </c>
      <c r="C56" s="1387"/>
      <c r="D56" s="1387"/>
      <c r="E56" s="1387"/>
      <c r="F56" s="1388">
        <f>'S DOE ratios'!G43</f>
        <v>2.8</v>
      </c>
      <c r="G56" s="1389"/>
      <c r="H56" s="1388">
        <f>'S DOE ratios'!I43</f>
        <v>3</v>
      </c>
      <c r="I56" s="1389"/>
      <c r="J56" s="1388">
        <f>'S DOE ratios'!K43</f>
        <v>3</v>
      </c>
      <c r="K56" s="1389"/>
      <c r="L56" s="1388">
        <f>'S DOE ratios'!M43</f>
        <v>3</v>
      </c>
      <c r="M56" s="1389"/>
      <c r="N56" s="1388">
        <f>'S DOE ratios'!O43</f>
        <v>3</v>
      </c>
      <c r="O56" s="1389"/>
      <c r="P56" s="1388">
        <f>'S DOE ratios'!Q43</f>
        <v>3</v>
      </c>
      <c r="Q56" s="1389"/>
      <c r="R56" s="1388">
        <f>'S DOE ratios'!S43</f>
        <v>2.9</v>
      </c>
      <c r="S56" s="1"/>
      <c r="T56" s="1"/>
      <c r="U56" s="1"/>
      <c r="V56" s="1"/>
      <c r="W56" s="1"/>
      <c r="X56" s="1"/>
      <c r="Y56" s="1"/>
      <c r="Z56" s="1"/>
    </row>
    <row r="57" ht="9.0" customHeight="1">
      <c r="A57" s="1"/>
      <c r="B57" s="1390"/>
      <c r="C57" s="1384"/>
      <c r="D57" s="1384"/>
      <c r="E57" s="1384"/>
      <c r="F57" s="1391"/>
      <c r="G57" s="1392"/>
      <c r="H57" s="1391"/>
      <c r="I57" s="1391"/>
      <c r="J57" s="1391"/>
      <c r="K57" s="1391"/>
      <c r="L57" s="1391"/>
      <c r="M57" s="1391"/>
      <c r="N57" s="1391"/>
      <c r="O57" s="1391"/>
      <c r="P57" s="1391"/>
      <c r="Q57" s="1391"/>
      <c r="R57" s="139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393" t="s">
        <v>839</v>
      </c>
      <c r="C58" s="1394"/>
      <c r="D58" s="1394"/>
      <c r="E58" s="1394"/>
      <c r="F58" s="1396">
        <f>IF((F28+'L Capital'!L158)&gt;0,('P Fcast 5yr'!E41+'P Fcast 5yr'!E33+'P Fcast 5yr'!E29)/('L Capital'!L158+'P Fcast 5yr'!E29),0)</f>
        <v>4.371518226</v>
      </c>
      <c r="G58" s="1397"/>
      <c r="H58" s="1396">
        <f>IF((H28+'L Capital'!P158)&gt;0,('P Fcast 5yr'!G41+'P Fcast 5yr'!G33+'P Fcast 5yr'!G29)/('L Capital'!P158+'P Fcast 5yr'!G29),0)</f>
        <v>7.867346233</v>
      </c>
      <c r="I58" s="1397"/>
      <c r="J58" s="1396">
        <f>IF((J28+'L Capital'!T158)&gt;0,('P Fcast 5yr'!I41+'P Fcast 5yr'!I33+'P Fcast 5yr'!I29)/('L Capital'!T158+'P Fcast 5yr'!I29),0)</f>
        <v>7.113715228</v>
      </c>
      <c r="K58" s="1397"/>
      <c r="L58" s="1396">
        <f>IF((L28+'L Capital'!X158)&gt;0,('P Fcast 5yr'!K41+'P Fcast 5yr'!K33+'P Fcast 5yr'!K29)/('L Capital'!X158+'P Fcast 5yr'!K29),0)</f>
        <v>5.673460782</v>
      </c>
      <c r="M58" s="1397"/>
      <c r="N58" s="1396">
        <f>IF((N28+'L Capital'!AB158)&gt;0,('P Fcast 5yr'!M41+'P Fcast 5yr'!M33+'P Fcast 5yr'!M29)/('L Capital'!AB158+'P Fcast 5yr'!M29),0)</f>
        <v>5.110684064</v>
      </c>
      <c r="O58" s="1397"/>
      <c r="P58" s="1396">
        <f>IF((P28+'L Capital'!AF158)&gt;0,('P Fcast 5yr'!O41+'P Fcast 5yr'!O33+'P Fcast 5yr'!O29)/('L Capital'!AF158+'P Fcast 5yr'!O29),0)</f>
        <v>3.866664107</v>
      </c>
      <c r="Q58" s="1397"/>
      <c r="R58" s="1396">
        <f>IF((R28+'L Capital'!AF158)&gt;0,('P Fcast 5yr'!Q41+'P Fcast 5yr'!Q33+'P Fcast 5yr'!Q29)/('L Capital'!AF158+'P Fcast 5yr'!Q29),0)</f>
        <v>3.676034347</v>
      </c>
      <c r="S58" s="1"/>
      <c r="T58" s="1"/>
      <c r="U58" s="1"/>
      <c r="V58" s="1"/>
      <c r="W58" s="1"/>
      <c r="X58" s="1"/>
      <c r="Y58" s="1"/>
      <c r="Z58" s="1"/>
    </row>
    <row r="59" ht="15.0" customHeight="1">
      <c r="A59" s="1"/>
      <c r="B59" s="1398" t="s">
        <v>841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27.0" customHeight="1">
      <c r="A60" s="1"/>
      <c r="B60" s="8" t="str">
        <f>'A Cover'!G$8</f>
        <v>Example University</v>
      </c>
      <c r="C60" s="1"/>
      <c r="D60" s="1"/>
      <c r="E60" s="1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1"/>
      <c r="T60" s="1"/>
      <c r="U60" s="1"/>
      <c r="V60" s="1"/>
      <c r="W60" s="1"/>
      <c r="X60" s="1"/>
      <c r="Y60" s="1"/>
      <c r="Z60" s="1"/>
    </row>
    <row r="61" ht="27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076">
        <f>'A Cover'!G$12</f>
        <v>46307</v>
      </c>
      <c r="R61" s="21"/>
      <c r="S61" s="1"/>
      <c r="T61" s="1"/>
      <c r="U61" s="1"/>
      <c r="V61" s="1"/>
      <c r="W61" s="1"/>
      <c r="X61" s="1"/>
      <c r="Y61" s="1"/>
      <c r="Z61" s="1"/>
    </row>
    <row r="62" ht="21.0" customHeight="1">
      <c r="A62" s="1"/>
      <c r="B62" s="1"/>
      <c r="C62" s="151"/>
      <c r="D62" s="1400" t="s">
        <v>842</v>
      </c>
      <c r="E62" s="1401"/>
      <c r="F62" s="816" t="s">
        <v>6</v>
      </c>
      <c r="G62" s="1"/>
      <c r="H62" s="23" t="str">
        <f>IF('J Proj CY'!F$151&gt;0,"Projected","Budgeted")</f>
        <v>Projected</v>
      </c>
      <c r="I62" s="151"/>
      <c r="J62" s="1402" t="s">
        <v>771</v>
      </c>
      <c r="K62" s="35"/>
      <c r="L62" s="35"/>
      <c r="M62" s="35"/>
      <c r="N62" s="35"/>
      <c r="O62" s="35"/>
      <c r="P62" s="35"/>
      <c r="Q62" s="35"/>
      <c r="R62" s="2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1071" t="s">
        <v>843</v>
      </c>
      <c r="C63" s="1"/>
      <c r="D63" s="1403" t="s">
        <v>844</v>
      </c>
      <c r="E63" s="1401"/>
      <c r="F63" s="553" t="str">
        <f>'F Population'!N$6</f>
        <v>2025 - 26</v>
      </c>
      <c r="G63" s="39"/>
      <c r="H63" s="553" t="str">
        <f>'F Population'!P$6</f>
        <v>2026 - 27</v>
      </c>
      <c r="I63" s="39"/>
      <c r="J63" s="553" t="str">
        <f>'F Population'!U$6</f>
        <v>2027 - 28</v>
      </c>
      <c r="K63" s="39"/>
      <c r="L63" s="553" t="str">
        <f>'F Population'!W$6</f>
        <v>2028 - 29</v>
      </c>
      <c r="M63" s="39"/>
      <c r="N63" s="553" t="str">
        <f>'F Population'!Y$6</f>
        <v>2029 - 30</v>
      </c>
      <c r="O63" s="39"/>
      <c r="P63" s="553" t="str">
        <f>'F Population'!AA$6</f>
        <v>2030 - 31</v>
      </c>
      <c r="Q63" s="554"/>
      <c r="R63" s="553" t="str">
        <f>'F Population'!AC$6</f>
        <v>2031 - 32</v>
      </c>
      <c r="S63" s="1"/>
      <c r="T63" s="1"/>
      <c r="U63" s="1"/>
      <c r="V63" s="1"/>
      <c r="W63" s="1"/>
      <c r="X63" s="1"/>
      <c r="Y63" s="1"/>
      <c r="Z63" s="1"/>
    </row>
    <row r="64" ht="5.25" customHeight="1">
      <c r="A64" s="1"/>
      <c r="B64" s="1"/>
      <c r="C64" s="1"/>
      <c r="D64" s="1401"/>
      <c r="E64" s="1401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"/>
      <c r="B65" s="1315" t="s">
        <v>845</v>
      </c>
      <c r="C65" s="39"/>
      <c r="D65" s="1404"/>
      <c r="E65" s="1404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1211" t="s">
        <v>847</v>
      </c>
      <c r="C66" s="39"/>
      <c r="D66" s="1404"/>
      <c r="E66" s="1404"/>
      <c r="F66" s="1405">
        <f>IF(F28&gt;0,(F7+F13)/F28,0)</f>
        <v>3.663242281</v>
      </c>
      <c r="G66" s="39"/>
      <c r="H66" s="1406">
        <f>IF(H28&gt;0,(H7+H13)/H28,0)</f>
        <v>3.738420107</v>
      </c>
      <c r="I66" s="1000"/>
      <c r="J66" s="1405">
        <f>IF(J28&gt;0,(J7+J13)/J28,0)</f>
        <v>4.421093456</v>
      </c>
      <c r="K66" s="39"/>
      <c r="L66" s="1406">
        <f>IF(L28&gt;0,(L7+L13)/L28,0)</f>
        <v>5.284260339</v>
      </c>
      <c r="M66" s="1000"/>
      <c r="N66" s="1405">
        <f>IF(N28&gt;0,(N7+N13)/N28,0)</f>
        <v>6.224080442</v>
      </c>
      <c r="O66" s="39"/>
      <c r="P66" s="1406">
        <f>IF(P28&gt;0,(P7+P13)/P28,0)</f>
        <v>7.270586322</v>
      </c>
      <c r="Q66" s="1000"/>
      <c r="R66" s="1405">
        <f>IF(R28&gt;0,(R7+R13)/R28,0)</f>
        <v>8.188808947</v>
      </c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39" t="s">
        <v>850</v>
      </c>
      <c r="C67" s="39"/>
      <c r="D67" s="1404"/>
      <c r="E67" s="1404"/>
      <c r="F67" s="1407"/>
      <c r="G67" s="39"/>
      <c r="H67" s="1408"/>
      <c r="I67" s="1000"/>
      <c r="J67" s="1407"/>
      <c r="K67" s="39"/>
      <c r="L67" s="1408"/>
      <c r="M67" s="1000"/>
      <c r="N67" s="1407"/>
      <c r="O67" s="39"/>
      <c r="P67" s="1408"/>
      <c r="Q67" s="1000"/>
      <c r="R67" s="1407"/>
      <c r="S67" s="1"/>
      <c r="T67" s="1"/>
      <c r="U67" s="1"/>
      <c r="V67" s="1"/>
      <c r="W67" s="1"/>
      <c r="X67" s="1"/>
      <c r="Y67" s="1"/>
      <c r="Z67" s="1"/>
    </row>
    <row r="68" ht="4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315"/>
      <c r="B69" s="1315" t="s">
        <v>852</v>
      </c>
      <c r="C69" s="710"/>
      <c r="D69" s="1409">
        <v>0.35</v>
      </c>
      <c r="E69" s="1410"/>
      <c r="F69" s="1411"/>
      <c r="G69" s="1411"/>
      <c r="H69" s="1411"/>
      <c r="I69" s="1411"/>
      <c r="J69" s="1411"/>
      <c r="K69" s="1411"/>
      <c r="L69" s="1411"/>
      <c r="M69" s="1411"/>
      <c r="N69" s="1411"/>
      <c r="O69" s="1411"/>
      <c r="P69" s="1411"/>
      <c r="Q69" s="1411"/>
      <c r="R69" s="1411"/>
      <c r="S69" s="710"/>
      <c r="T69" s="710"/>
      <c r="U69" s="710"/>
      <c r="V69" s="710"/>
      <c r="W69" s="710"/>
      <c r="X69" s="710"/>
      <c r="Y69" s="710"/>
      <c r="Z69" s="710"/>
    </row>
    <row r="70" ht="14.25" customHeight="1">
      <c r="A70" s="1"/>
      <c r="B70" s="1211" t="s">
        <v>854</v>
      </c>
      <c r="C70" s="493"/>
      <c r="D70" s="1409">
        <v>0.55</v>
      </c>
      <c r="E70" s="1401"/>
      <c r="F70" s="1412">
        <f>(F34+F36-F15+F28-F46)/'P Fcast 5yr'!E35</f>
        <v>0.4245222409</v>
      </c>
      <c r="G70" s="1413"/>
      <c r="H70" s="1414">
        <f>(H34+H36-H15+H28-H46)/'P Fcast 5yr'!G35</f>
        <v>0.6572229386</v>
      </c>
      <c r="I70" s="1415"/>
      <c r="J70" s="1412">
        <f>(J34+J36-J15+J28-J46)/'P Fcast 5yr'!I35</f>
        <v>0.7643955511</v>
      </c>
      <c r="K70" s="1415"/>
      <c r="L70" s="1414">
        <f>(L34+L36-L15+L28-L46)/'P Fcast 5yr'!K35</f>
        <v>0.8948588937</v>
      </c>
      <c r="M70" s="1415"/>
      <c r="N70" s="1412">
        <f>(N34+N36-N15+N28-N46)/'P Fcast 5yr'!M35</f>
        <v>1.01667021</v>
      </c>
      <c r="O70" s="1415"/>
      <c r="P70" s="1414">
        <f>(P34+P36-P15+P28-P46)/'P Fcast 5yr'!O35</f>
        <v>1.126620454</v>
      </c>
      <c r="Q70" s="85"/>
      <c r="R70" s="1412">
        <f>(R34+R36-R15+R28-R46)/'P Fcast 5yr'!Q35</f>
        <v>1.215499471</v>
      </c>
      <c r="S70" s="1"/>
      <c r="T70" s="1"/>
      <c r="U70" s="1"/>
      <c r="V70" s="1"/>
      <c r="W70" s="1"/>
      <c r="X70" s="1"/>
      <c r="Y70" s="1"/>
      <c r="Z70" s="1"/>
    </row>
    <row r="71" ht="14.25" customHeight="1">
      <c r="A71" s="1"/>
      <c r="B71" s="39" t="s">
        <v>857</v>
      </c>
      <c r="C71" s="39"/>
      <c r="D71" s="1403">
        <v>0.133</v>
      </c>
      <c r="E71" s="468"/>
      <c r="F71" s="1407"/>
      <c r="G71" s="1416"/>
      <c r="H71" s="1408"/>
      <c r="I71" s="1"/>
      <c r="J71" s="1407"/>
      <c r="K71" s="1416"/>
      <c r="L71" s="1408"/>
      <c r="M71" s="1416"/>
      <c r="N71" s="1407"/>
      <c r="O71" s="1416"/>
      <c r="P71" s="1408"/>
      <c r="Q71" s="1416"/>
      <c r="R71" s="1407"/>
      <c r="S71" s="1"/>
      <c r="T71" s="1"/>
      <c r="U71" s="1"/>
      <c r="V71" s="1"/>
      <c r="W71" s="1"/>
      <c r="X71" s="1"/>
      <c r="Y71" s="1"/>
      <c r="Z71" s="1"/>
    </row>
    <row r="72" ht="5.25" customHeight="1">
      <c r="A72" s="1"/>
      <c r="B72" s="39"/>
      <c r="C72" s="39"/>
      <c r="D72" s="1404"/>
      <c r="E72" s="1404"/>
      <c r="F72" s="85"/>
      <c r="G72" s="1417"/>
      <c r="H72" s="1415"/>
      <c r="I72" s="1419"/>
      <c r="J72" s="1415"/>
      <c r="K72" s="1417"/>
      <c r="L72" s="1415"/>
      <c r="M72" s="1417"/>
      <c r="N72" s="1415"/>
      <c r="O72" s="1417"/>
      <c r="P72" s="1415"/>
      <c r="Q72" s="1417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315"/>
      <c r="B73" s="1315" t="s">
        <v>858</v>
      </c>
      <c r="C73" s="710"/>
      <c r="D73" s="1409">
        <v>0.1</v>
      </c>
      <c r="E73" s="1410"/>
      <c r="F73" s="1411"/>
      <c r="G73" s="1420"/>
      <c r="H73" s="1421"/>
      <c r="I73" s="1422"/>
      <c r="J73" s="1421"/>
      <c r="K73" s="1420"/>
      <c r="L73" s="710"/>
      <c r="M73" s="1420"/>
      <c r="N73" s="1421"/>
      <c r="O73" s="1420"/>
      <c r="P73" s="710"/>
      <c r="Q73" s="1420"/>
      <c r="R73" s="1411"/>
      <c r="S73" s="710"/>
      <c r="T73" s="710"/>
      <c r="U73" s="710"/>
      <c r="V73" s="710"/>
      <c r="W73" s="710"/>
      <c r="X73" s="710"/>
      <c r="Y73" s="710"/>
      <c r="Z73" s="710"/>
    </row>
    <row r="74" ht="14.25" customHeight="1">
      <c r="A74" s="1"/>
      <c r="B74" s="1211" t="s">
        <v>859</v>
      </c>
      <c r="C74" s="493"/>
      <c r="D74" s="1409">
        <v>0.15</v>
      </c>
      <c r="E74" s="1401"/>
      <c r="F74" s="1412">
        <f>'P Fcast 5yr'!E41/'P Fcast 5yr'!E21</f>
        <v>0.01618628053</v>
      </c>
      <c r="G74" s="1423"/>
      <c r="H74" s="1414">
        <f>'P Fcast 5yr'!G41/'P Fcast 5yr'!G21</f>
        <v>0.1267398329</v>
      </c>
      <c r="I74" s="1419"/>
      <c r="J74" s="1412">
        <f>'P Fcast 5yr'!I41/'P Fcast 5yr'!I21</f>
        <v>0.1138773119</v>
      </c>
      <c r="K74" s="1423"/>
      <c r="L74" s="1414">
        <f>'P Fcast 5yr'!K41/'P Fcast 5yr'!K21</f>
        <v>0.06512609621</v>
      </c>
      <c r="M74" s="1423"/>
      <c r="N74" s="1412">
        <f>'P Fcast 5yr'!M41/'P Fcast 5yr'!M21</f>
        <v>0.04526142648</v>
      </c>
      <c r="O74" s="1423"/>
      <c r="P74" s="1414">
        <f>'P Fcast 5yr'!O41/'P Fcast 5yr'!O21</f>
        <v>0.03790732594</v>
      </c>
      <c r="Q74" s="1423"/>
      <c r="R74" s="1412">
        <f>'P Fcast 5yr'!Q41/'P Fcast 5yr'!Q21</f>
        <v>0.02834808307</v>
      </c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39" t="s">
        <v>861</v>
      </c>
      <c r="C75" s="39"/>
      <c r="D75" s="1403">
        <v>0.007</v>
      </c>
      <c r="E75" s="1404"/>
      <c r="F75" s="1407"/>
      <c r="G75" s="1427"/>
      <c r="H75" s="1408"/>
      <c r="I75" s="1"/>
      <c r="J75" s="1407"/>
      <c r="K75" s="1427"/>
      <c r="L75" s="1408"/>
      <c r="M75" s="1427"/>
      <c r="N75" s="1407"/>
      <c r="O75" s="1427"/>
      <c r="P75" s="1408"/>
      <c r="Q75" s="1427"/>
      <c r="R75" s="1407"/>
      <c r="S75" s="1"/>
      <c r="T75" s="1"/>
      <c r="U75" s="1"/>
      <c r="V75" s="1"/>
      <c r="W75" s="1"/>
      <c r="X75" s="1"/>
      <c r="Y75" s="1"/>
      <c r="Z75" s="1"/>
    </row>
    <row r="76" ht="5.25" customHeight="1">
      <c r="A76" s="1"/>
      <c r="B76" s="1"/>
      <c r="C76" s="1"/>
      <c r="D76" s="1404"/>
      <c r="E76" s="1404"/>
      <c r="F76" s="1"/>
      <c r="G76" s="1428"/>
      <c r="H76" s="1"/>
      <c r="I76" s="1419"/>
      <c r="J76" s="1"/>
      <c r="K76" s="1428"/>
      <c r="L76" s="1"/>
      <c r="M76" s="1428"/>
      <c r="N76" s="1"/>
      <c r="O76" s="1428"/>
      <c r="P76" s="1"/>
      <c r="Q76" s="1428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315"/>
      <c r="B77" s="1315" t="s">
        <v>862</v>
      </c>
      <c r="C77" s="710"/>
      <c r="D77" s="1409">
        <v>0.2</v>
      </c>
      <c r="E77" s="1410"/>
      <c r="F77" s="710"/>
      <c r="G77" s="1429"/>
      <c r="H77" s="710"/>
      <c r="I77" s="1422"/>
      <c r="J77" s="710"/>
      <c r="K77" s="1429"/>
      <c r="L77" s="710"/>
      <c r="M77" s="1429"/>
      <c r="N77" s="710"/>
      <c r="O77" s="1429"/>
      <c r="P77" s="710"/>
      <c r="Q77" s="1429"/>
      <c r="R77" s="710"/>
      <c r="S77" s="710"/>
      <c r="T77" s="710"/>
      <c r="U77" s="710"/>
      <c r="V77" s="710"/>
      <c r="W77" s="710"/>
      <c r="X77" s="710"/>
      <c r="Y77" s="710"/>
      <c r="Z77" s="710"/>
    </row>
    <row r="78" ht="14.25" customHeight="1">
      <c r="A78" s="1"/>
      <c r="B78" s="1211" t="s">
        <v>863</v>
      </c>
      <c r="C78" s="493"/>
      <c r="D78" s="1409">
        <v>0.3</v>
      </c>
      <c r="E78" s="1401"/>
      <c r="F78" s="1412">
        <f>'P Fcast 5yr'!E45/(SUM(F34:F38)-'P Fcast 5yr'!E45)</f>
        <v>0.06175783821</v>
      </c>
      <c r="G78" s="1428"/>
      <c r="H78" s="1414">
        <f>(SUM(H34:H38)-SUM(F34:F38))/SUM(F34:F38)</f>
        <v>0.1269202034</v>
      </c>
      <c r="I78" s="1419"/>
      <c r="J78" s="1412">
        <f>(SUM(J34:J38)-SUM(H34:H38))/SUM(H34:H38)</f>
        <v>0.1031378336</v>
      </c>
      <c r="K78" s="1428"/>
      <c r="L78" s="1414">
        <f>(SUM(L34:L38)-SUM(J34:J38))/SUM(J34:J38)</f>
        <v>0.08013402373</v>
      </c>
      <c r="M78" s="1428"/>
      <c r="N78" s="1412">
        <f>(SUM(N34:N38)-SUM(L34:L38))/SUM(L34:L38)</f>
        <v>0.06823181696</v>
      </c>
      <c r="O78" s="1428"/>
      <c r="P78" s="1414">
        <f>(SUM(P34:P38)-SUM(N34:N38))/SUM(N34:N38)</f>
        <v>0.06268564725</v>
      </c>
      <c r="Q78" s="1428"/>
      <c r="R78" s="1412">
        <f>(SUM(R34:R38)-SUM(P34:P38))/SUM(P34:P38)</f>
        <v>0.03267825027</v>
      </c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39" t="s">
        <v>864</v>
      </c>
      <c r="C79" s="39"/>
      <c r="D79" s="1403">
        <v>0.02</v>
      </c>
      <c r="E79" s="1404"/>
      <c r="F79" s="1407"/>
      <c r="G79" s="1427"/>
      <c r="H79" s="1408"/>
      <c r="I79" s="1419"/>
      <c r="J79" s="1407"/>
      <c r="K79" s="1427"/>
      <c r="L79" s="1408"/>
      <c r="M79" s="1427"/>
      <c r="N79" s="1407"/>
      <c r="O79" s="1427"/>
      <c r="P79" s="1408"/>
      <c r="Q79" s="1427"/>
      <c r="R79" s="1407"/>
      <c r="S79" s="1"/>
      <c r="T79" s="1"/>
      <c r="U79" s="1"/>
      <c r="V79" s="1"/>
      <c r="W79" s="1"/>
      <c r="X79" s="1"/>
      <c r="Y79" s="1"/>
      <c r="Z79" s="1"/>
    </row>
    <row r="80" ht="5.25" customHeight="1">
      <c r="A80" s="1"/>
      <c r="B80" s="39"/>
      <c r="C80" s="39"/>
      <c r="D80" s="1404"/>
      <c r="E80" s="1404"/>
      <c r="F80" s="1"/>
      <c r="G80" s="1428"/>
      <c r="H80" s="1"/>
      <c r="I80" s="1419"/>
      <c r="J80" s="1"/>
      <c r="K80" s="1428"/>
      <c r="L80" s="1"/>
      <c r="M80" s="1428"/>
      <c r="N80" s="1"/>
      <c r="O80" s="1428"/>
      <c r="P80" s="1"/>
      <c r="Q80" s="1428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315"/>
      <c r="B81" s="1315" t="s">
        <v>865</v>
      </c>
      <c r="C81" s="710"/>
      <c r="D81" s="1409">
        <v>0.35</v>
      </c>
      <c r="E81" s="1410"/>
      <c r="F81" s="1411"/>
      <c r="G81" s="1420"/>
      <c r="H81" s="1421"/>
      <c r="I81" s="1422"/>
      <c r="J81" s="1421"/>
      <c r="K81" s="1420"/>
      <c r="L81" s="1421"/>
      <c r="M81" s="1420"/>
      <c r="N81" s="1421"/>
      <c r="O81" s="1420"/>
      <c r="P81" s="1421"/>
      <c r="Q81" s="1420"/>
      <c r="R81" s="1411"/>
      <c r="S81" s="710"/>
      <c r="T81" s="710"/>
      <c r="U81" s="710"/>
      <c r="V81" s="710"/>
      <c r="W81" s="710"/>
      <c r="X81" s="710"/>
      <c r="Y81" s="710"/>
      <c r="Z81" s="710"/>
    </row>
    <row r="82" ht="14.25" customHeight="1">
      <c r="A82" s="1"/>
      <c r="B82" s="1211" t="s">
        <v>854</v>
      </c>
      <c r="C82" s="493"/>
      <c r="D82" s="1409">
        <v>0.0</v>
      </c>
      <c r="E82" s="1401"/>
      <c r="F82" s="1412">
        <f>IF(F28&gt;0,(F34+F36-F15+F28-F46)/F28,0)</f>
        <v>0.9881682589</v>
      </c>
      <c r="G82" s="1417"/>
      <c r="H82" s="1414">
        <f>IF(H28&gt;0,(H34+H36-H15+H28-H46)/H28,0)</f>
        <v>1.287487552</v>
      </c>
      <c r="I82" s="1419"/>
      <c r="J82" s="1412">
        <f>IF(J28&gt;0,(J34+J36-J15+J28-J46)/J28,0)</f>
        <v>1.625776977</v>
      </c>
      <c r="K82" s="1417"/>
      <c r="L82" s="1414">
        <f>IF(L28&gt;0,(L34+L36-L15+L28-L46)/L28,0)</f>
        <v>2.007987779</v>
      </c>
      <c r="M82" s="1417"/>
      <c r="N82" s="1412">
        <f>IF(N28&gt;0,(N34+N36-N15+N28-N46)/N28,0)</f>
        <v>2.422631659</v>
      </c>
      <c r="O82" s="1417"/>
      <c r="P82" s="1414">
        <f>IF(P28&gt;0,(P34+P36-P15+P28-P46)/P28,0)</f>
        <v>2.842059254</v>
      </c>
      <c r="Q82" s="1417"/>
      <c r="R82" s="1412">
        <f>IF(R28&gt;0,(R34+R36-R15+R28-R46)/R28,0)</f>
        <v>3.329483171</v>
      </c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39" t="s">
        <v>161</v>
      </c>
      <c r="C83" s="39"/>
      <c r="D83" s="1403">
        <v>0.417</v>
      </c>
      <c r="E83" s="1404"/>
      <c r="F83" s="1407"/>
      <c r="G83" s="1416"/>
      <c r="H83" s="1408"/>
      <c r="I83" s="1419"/>
      <c r="J83" s="1407"/>
      <c r="K83" s="1416"/>
      <c r="L83" s="1408"/>
      <c r="M83" s="1416"/>
      <c r="N83" s="1407"/>
      <c r="O83" s="1416"/>
      <c r="P83" s="1408"/>
      <c r="Q83" s="1416"/>
      <c r="R83" s="1407"/>
      <c r="S83" s="1"/>
      <c r="T83" s="1"/>
      <c r="U83" s="1"/>
      <c r="V83" s="1"/>
      <c r="W83" s="1"/>
      <c r="X83" s="1"/>
      <c r="Y83" s="1"/>
      <c r="Z83" s="1"/>
    </row>
    <row r="84" ht="5.25" customHeight="1">
      <c r="A84" s="1"/>
      <c r="B84" s="39"/>
      <c r="C84" s="39"/>
      <c r="D84" s="1404"/>
      <c r="E84" s="1404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1"/>
      <c r="T84" s="1"/>
      <c r="U84" s="1"/>
      <c r="V84" s="1"/>
      <c r="W84" s="1"/>
      <c r="X84" s="1"/>
      <c r="Y84" s="1"/>
      <c r="Z84" s="1"/>
    </row>
    <row r="85" ht="20.25" customHeight="1">
      <c r="A85" s="1"/>
      <c r="B85" s="1431" t="s">
        <v>866</v>
      </c>
      <c r="C85" s="660"/>
      <c r="D85" s="1"/>
      <c r="E85" s="1"/>
      <c r="F85" s="1"/>
      <c r="G85" s="1416"/>
      <c r="H85" s="1"/>
      <c r="I85" s="1"/>
      <c r="J85" s="1"/>
      <c r="K85" s="1"/>
      <c r="L85" s="1"/>
      <c r="M85" s="1"/>
      <c r="N85" s="1"/>
      <c r="O85" s="1"/>
      <c r="P85" s="1"/>
      <c r="Q85" s="1416"/>
      <c r="R85" s="1"/>
      <c r="S85" s="1"/>
      <c r="T85" s="1"/>
      <c r="U85" s="1"/>
      <c r="V85" s="1"/>
      <c r="W85" s="1"/>
      <c r="X85" s="1"/>
      <c r="Y85" s="1"/>
      <c r="Z85" s="1"/>
    </row>
    <row r="86" ht="4.5" customHeight="1">
      <c r="A86" s="1"/>
      <c r="B86" s="39"/>
      <c r="C86" s="39"/>
      <c r="D86" s="1"/>
      <c r="E86" s="1"/>
      <c r="F86" s="1"/>
      <c r="G86" s="1416"/>
      <c r="H86" s="1"/>
      <c r="I86" s="1"/>
      <c r="J86" s="1"/>
      <c r="K86" s="1"/>
      <c r="L86" s="1"/>
      <c r="M86" s="1"/>
      <c r="N86" s="1"/>
      <c r="O86" s="1"/>
      <c r="P86" s="1"/>
      <c r="Q86" s="1416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432" t="s">
        <v>867</v>
      </c>
      <c r="C87" s="39"/>
      <c r="D87" s="1"/>
      <c r="E87" s="1"/>
      <c r="F87" s="1"/>
      <c r="G87" s="1416"/>
      <c r="H87" s="1"/>
      <c r="I87" s="1"/>
      <c r="J87" s="1"/>
      <c r="K87" s="1"/>
      <c r="L87" s="1"/>
      <c r="M87" s="1"/>
      <c r="N87" s="1"/>
      <c r="O87" s="1"/>
      <c r="P87" s="1"/>
      <c r="Q87" s="1416"/>
      <c r="R87" s="1"/>
      <c r="S87" s="1"/>
      <c r="T87" s="1"/>
      <c r="U87" s="1"/>
      <c r="V87" s="1"/>
      <c r="W87" s="1"/>
      <c r="X87" s="1"/>
      <c r="Y87" s="1"/>
      <c r="Z87" s="1"/>
    </row>
    <row r="88" ht="15.0" customHeight="1">
      <c r="A88" s="1"/>
      <c r="B88" s="1433" t="s">
        <v>868</v>
      </c>
      <c r="C88" s="39"/>
      <c r="D88" s="1"/>
      <c r="E88" s="1"/>
      <c r="F88" s="1"/>
      <c r="G88" s="1416"/>
      <c r="H88" s="1434">
        <v>-0.10886831186416168</v>
      </c>
      <c r="I88" s="1"/>
      <c r="J88" s="1434">
        <v>0.1349573018295771</v>
      </c>
      <c r="K88" s="1"/>
      <c r="L88" s="1434">
        <v>0.09134543009912788</v>
      </c>
      <c r="M88" s="1"/>
      <c r="N88" s="1434">
        <v>0.11573801172527531</v>
      </c>
      <c r="O88" s="1"/>
      <c r="P88" s="1434">
        <v>0.15351492832261315</v>
      </c>
      <c r="Q88" s="1416"/>
      <c r="R88" s="1434">
        <v>0.16260991608389808</v>
      </c>
      <c r="S88" s="1"/>
      <c r="T88" s="1"/>
      <c r="U88" s="1"/>
      <c r="V88" s="1"/>
      <c r="W88" s="1"/>
      <c r="X88" s="1"/>
      <c r="Y88" s="1"/>
      <c r="Z88" s="1"/>
    </row>
    <row r="89" ht="15.0" customHeight="1">
      <c r="A89" s="1"/>
      <c r="B89" s="510" t="s">
        <v>869</v>
      </c>
      <c r="C89" s="39"/>
      <c r="D89" s="1"/>
      <c r="E89" s="1"/>
      <c r="F89" s="1"/>
      <c r="G89" s="1416"/>
      <c r="H89" s="847"/>
      <c r="I89" s="1"/>
      <c r="J89" s="847"/>
      <c r="K89" s="1"/>
      <c r="L89" s="847"/>
      <c r="M89" s="1"/>
      <c r="N89" s="847"/>
      <c r="O89" s="1"/>
      <c r="P89" s="847"/>
      <c r="Q89" s="1416"/>
      <c r="R89" s="847"/>
      <c r="S89" s="1"/>
      <c r="T89" s="1"/>
      <c r="U89" s="1"/>
      <c r="V89" s="1"/>
      <c r="W89" s="1"/>
      <c r="X89" s="1"/>
      <c r="Y89" s="1"/>
      <c r="Z89" s="1"/>
    </row>
    <row r="90" ht="4.5" customHeight="1">
      <c r="A90" s="1"/>
      <c r="B90" s="510"/>
      <c r="C90" s="39"/>
      <c r="D90" s="1"/>
      <c r="E90" s="1"/>
      <c r="F90" s="1"/>
      <c r="G90" s="1416"/>
      <c r="H90" s="1"/>
      <c r="I90" s="1"/>
      <c r="J90" s="1"/>
      <c r="K90" s="1"/>
      <c r="L90" s="1"/>
      <c r="M90" s="1"/>
      <c r="N90" s="1"/>
      <c r="O90" s="1"/>
      <c r="P90" s="1"/>
      <c r="Q90" s="1416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432" t="s">
        <v>870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435"/>
      <c r="B92" s="1433" t="s">
        <v>871</v>
      </c>
      <c r="C92" s="1"/>
      <c r="D92" s="1"/>
      <c r="E92" s="1"/>
      <c r="F92" s="1"/>
      <c r="G92" s="1"/>
      <c r="H92" s="1436">
        <v>-0.25</v>
      </c>
      <c r="I92" s="1"/>
      <c r="J92" s="1436">
        <v>-0.2017537243295638</v>
      </c>
      <c r="K92" s="1"/>
      <c r="L92" s="1436">
        <v>-0.13476085948354338</v>
      </c>
      <c r="M92" s="1"/>
      <c r="N92" s="1436">
        <v>-0.13033562723650347</v>
      </c>
      <c r="O92" s="1"/>
      <c r="P92" s="1436">
        <v>-0.12543570396588302</v>
      </c>
      <c r="Q92" s="1"/>
      <c r="R92" s="1436">
        <v>-0.1088442144538183</v>
      </c>
      <c r="S92" s="1"/>
      <c r="T92" s="1"/>
      <c r="U92" s="1"/>
      <c r="V92" s="1"/>
      <c r="W92" s="1"/>
      <c r="X92" s="1"/>
      <c r="Y92" s="1"/>
      <c r="Z92" s="1"/>
    </row>
    <row r="93" ht="15.0" customHeight="1">
      <c r="A93" s="205"/>
      <c r="B93" s="510" t="s">
        <v>139</v>
      </c>
      <c r="C93" s="1"/>
      <c r="D93" s="1"/>
      <c r="E93" s="1"/>
      <c r="F93" s="1"/>
      <c r="G93" s="1"/>
      <c r="H93" s="847"/>
      <c r="I93" s="1"/>
      <c r="J93" s="847"/>
      <c r="K93" s="1"/>
      <c r="L93" s="847"/>
      <c r="M93" s="1"/>
      <c r="N93" s="847"/>
      <c r="O93" s="1"/>
      <c r="P93" s="847"/>
      <c r="Q93" s="1"/>
      <c r="R93" s="847"/>
      <c r="S93" s="1"/>
      <c r="T93" s="1"/>
      <c r="U93" s="1"/>
      <c r="V93" s="1"/>
      <c r="W93" s="1"/>
      <c r="X93" s="1"/>
      <c r="Y93" s="1"/>
      <c r="Z93" s="1"/>
    </row>
    <row r="94" ht="4.5" customHeight="1">
      <c r="A94" s="1"/>
      <c r="B94" s="510"/>
      <c r="C94" s="39"/>
      <c r="D94" s="1"/>
      <c r="E94" s="1"/>
      <c r="F94" s="1"/>
      <c r="G94" s="1416"/>
      <c r="H94" s="1"/>
      <c r="I94" s="1"/>
      <c r="J94" s="1"/>
      <c r="K94" s="1"/>
      <c r="L94" s="1"/>
      <c r="M94" s="1"/>
      <c r="N94" s="1"/>
      <c r="O94" s="1"/>
      <c r="P94" s="1"/>
      <c r="Q94" s="1416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432" t="s">
        <v>872</v>
      </c>
      <c r="C95" s="39"/>
      <c r="D95" s="1"/>
      <c r="E95" s="1"/>
      <c r="F95" s="1"/>
      <c r="G95" s="1416"/>
      <c r="H95" s="1"/>
      <c r="I95" s="1"/>
      <c r="J95" s="1"/>
      <c r="K95" s="1"/>
      <c r="L95" s="1"/>
      <c r="M95" s="1"/>
      <c r="N95" s="1"/>
      <c r="O95" s="1"/>
      <c r="P95" s="1"/>
      <c r="Q95" s="1416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433" t="s">
        <v>873</v>
      </c>
      <c r="C96" s="39"/>
      <c r="D96" s="1"/>
      <c r="E96" s="1"/>
      <c r="F96" s="1"/>
      <c r="G96" s="1416"/>
      <c r="H96" s="1437">
        <v>-0.25</v>
      </c>
      <c r="I96" s="1"/>
      <c r="J96" s="1437">
        <v>-0.22339735100863903</v>
      </c>
      <c r="K96" s="1"/>
      <c r="L96" s="1437">
        <v>-0.042191513744293724</v>
      </c>
      <c r="M96" s="1"/>
      <c r="N96" s="1437">
        <v>0.10767518578899272</v>
      </c>
      <c r="O96" s="1"/>
      <c r="P96" s="1437">
        <v>0.2386740444953856</v>
      </c>
      <c r="Q96" s="1416"/>
      <c r="R96" s="1437">
        <v>0.25</v>
      </c>
      <c r="S96" s="1"/>
      <c r="T96" s="1"/>
      <c r="U96" s="1"/>
      <c r="V96" s="1"/>
      <c r="W96" s="1"/>
      <c r="X96" s="1"/>
      <c r="Y96" s="1"/>
      <c r="Z96" s="1"/>
    </row>
    <row r="97" ht="15.0" customHeight="1">
      <c r="A97" s="1"/>
      <c r="B97" s="510" t="s">
        <v>139</v>
      </c>
      <c r="C97" s="1"/>
      <c r="D97" s="1"/>
      <c r="E97" s="1"/>
      <c r="F97" s="1"/>
      <c r="G97" s="1"/>
      <c r="H97" s="847"/>
      <c r="I97" s="1"/>
      <c r="J97" s="847"/>
      <c r="K97" s="1"/>
      <c r="L97" s="847"/>
      <c r="M97" s="1"/>
      <c r="N97" s="847"/>
      <c r="O97" s="1"/>
      <c r="P97" s="847"/>
      <c r="Q97" s="1"/>
      <c r="R97" s="847"/>
      <c r="S97" s="1"/>
      <c r="T97" s="1"/>
      <c r="U97" s="1"/>
      <c r="V97" s="1"/>
      <c r="W97" s="1"/>
      <c r="X97" s="1"/>
      <c r="Y97" s="1"/>
      <c r="Z97" s="1"/>
    </row>
    <row r="98" ht="3.75" customHeight="1">
      <c r="A98" s="1"/>
      <c r="B98" s="510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0" customHeight="1">
      <c r="A99" s="1"/>
      <c r="B99" s="1438" t="s">
        <v>874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433" t="s">
        <v>796</v>
      </c>
      <c r="C100" s="1"/>
      <c r="D100" s="1"/>
      <c r="E100" s="1"/>
      <c r="F100" s="1"/>
      <c r="G100" s="1"/>
      <c r="H100" s="1439">
        <v>0.02194576849553301</v>
      </c>
      <c r="I100" s="1"/>
      <c r="J100" s="1439">
        <v>0.1408007050011609</v>
      </c>
      <c r="K100" s="1"/>
      <c r="L100" s="1439">
        <v>-0.011435698081115844</v>
      </c>
      <c r="M100" s="1"/>
      <c r="N100" s="1439">
        <v>-0.007333192219805705</v>
      </c>
      <c r="O100" s="1"/>
      <c r="P100" s="1439">
        <v>0.0037867646052934796</v>
      </c>
      <c r="Q100" s="1"/>
      <c r="R100" s="1439">
        <v>0.025387252883817588</v>
      </c>
      <c r="S100" s="1"/>
      <c r="T100" s="1"/>
      <c r="U100" s="1"/>
      <c r="V100" s="1"/>
      <c r="W100" s="1"/>
      <c r="X100" s="1"/>
      <c r="Y100" s="1"/>
      <c r="Z100" s="1"/>
    </row>
    <row r="101" ht="15.0" customHeight="1">
      <c r="A101" s="1"/>
      <c r="B101" s="510" t="s">
        <v>139</v>
      </c>
      <c r="C101" s="1"/>
      <c r="D101" s="1"/>
      <c r="E101" s="1"/>
      <c r="F101" s="1"/>
      <c r="G101" s="1"/>
      <c r="H101" s="847"/>
      <c r="I101" s="1"/>
      <c r="J101" s="847"/>
      <c r="K101" s="1"/>
      <c r="L101" s="847"/>
      <c r="M101" s="1"/>
      <c r="N101" s="847"/>
      <c r="O101" s="1"/>
      <c r="P101" s="847"/>
      <c r="Q101" s="1"/>
      <c r="R101" s="847"/>
      <c r="S101" s="1"/>
      <c r="T101" s="1"/>
      <c r="U101" s="1"/>
      <c r="V101" s="1"/>
      <c r="W101" s="1"/>
      <c r="X101" s="1"/>
      <c r="Y101" s="1"/>
      <c r="Z101" s="1"/>
    </row>
    <row r="102" ht="20.25" customHeight="1">
      <c r="A102" s="1"/>
      <c r="B102" s="510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440" t="s">
        <v>866</v>
      </c>
      <c r="C103" s="1"/>
      <c r="D103" s="1"/>
      <c r="E103" s="1"/>
      <c r="F103" s="1441" t="s">
        <v>875</v>
      </c>
      <c r="G103" s="1"/>
      <c r="H103" s="1442">
        <f>SUM(H88:H101)</f>
        <v>-0.5869225434</v>
      </c>
      <c r="I103" s="1"/>
      <c r="J103" s="1442">
        <f>SUM(J88:J101)</f>
        <v>-0.1493930685</v>
      </c>
      <c r="K103" s="1"/>
      <c r="L103" s="1442">
        <f>SUM(L88:L101)</f>
        <v>-0.09704264121</v>
      </c>
      <c r="M103" s="1"/>
      <c r="N103" s="1442">
        <f>SUM(N88:N101)</f>
        <v>0.08574437806</v>
      </c>
      <c r="O103" s="1"/>
      <c r="P103" s="1442">
        <f>SUM(P88:P101)</f>
        <v>0.2705400335</v>
      </c>
      <c r="Q103" s="1"/>
      <c r="R103" s="1442">
        <f>SUM(R88:R101)</f>
        <v>0.3291529545</v>
      </c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89"/>
      <c r="B104" s="1443"/>
      <c r="C104" s="1"/>
      <c r="D104" s="1"/>
      <c r="E104" s="1"/>
      <c r="F104" s="1444" t="s">
        <v>876</v>
      </c>
      <c r="G104" s="1"/>
      <c r="H104" s="847"/>
      <c r="I104" s="1"/>
      <c r="J104" s="847"/>
      <c r="K104" s="1"/>
      <c r="L104" s="847"/>
      <c r="M104" s="1"/>
      <c r="N104" s="847"/>
      <c r="O104" s="1"/>
      <c r="P104" s="847"/>
      <c r="Q104" s="1"/>
      <c r="R104" s="847"/>
      <c r="S104" s="1"/>
      <c r="T104" s="1"/>
      <c r="U104" s="1"/>
      <c r="V104" s="1"/>
      <c r="W104" s="1"/>
      <c r="X104" s="1"/>
      <c r="Y104" s="1"/>
      <c r="Z104" s="1"/>
    </row>
    <row r="105" ht="15.0" customHeight="1">
      <c r="A105" s="89"/>
      <c r="B105" s="510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0" customHeight="1">
      <c r="A106" s="178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8.0" customHeight="1">
      <c r="A109" s="1"/>
      <c r="B109" s="510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445" t="s">
        <v>877</v>
      </c>
      <c r="C112" s="1446"/>
      <c r="D112" s="1447"/>
      <c r="E112" s="1446"/>
      <c r="F112" s="1448" t="s">
        <v>878</v>
      </c>
      <c r="G112" s="1448"/>
      <c r="H112" s="1448"/>
      <c r="I112" s="1448"/>
      <c r="J112" s="1448"/>
      <c r="K112" s="1448"/>
      <c r="L112" s="1448"/>
      <c r="M112" s="1448"/>
      <c r="N112" s="1448"/>
      <c r="O112" s="1448"/>
      <c r="P112" s="1448"/>
      <c r="Q112" s="1448"/>
      <c r="R112" s="1448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447"/>
      <c r="C113" s="1446"/>
      <c r="D113" s="1447"/>
      <c r="E113" s="1446"/>
      <c r="F113" s="1447"/>
      <c r="G113" s="1446"/>
      <c r="H113" s="1447"/>
      <c r="I113" s="1446"/>
      <c r="J113" s="1447"/>
      <c r="K113" s="1446"/>
      <c r="L113" s="1447"/>
      <c r="M113" s="1446"/>
      <c r="N113" s="1447"/>
      <c r="O113" s="1447"/>
      <c r="P113" s="1446"/>
      <c r="Q113" s="1447"/>
      <c r="R113" s="1446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449" t="str">
        <f>+B69</f>
        <v> Primary Reserve Ratio:</v>
      </c>
      <c r="C114" s="1446"/>
      <c r="D114" s="1447"/>
      <c r="E114" s="1446"/>
      <c r="F114" s="1447">
        <f>IF(F70/$D71*$D69&lt;3.5,F70/$D71*$D69,3.5)</f>
        <v>1.117163792</v>
      </c>
      <c r="G114" s="1446"/>
      <c r="H114" s="1447">
        <f>IF(H70/$D71*$D69&lt;3.5,H70/$D71*$D69,3.5)</f>
        <v>1.729534049</v>
      </c>
      <c r="I114" s="1446"/>
      <c r="J114" s="1447">
        <f>IF(J70/$D71*$D69&lt;3.5,J70/$D71*$D69,3.5)</f>
        <v>2.01156724</v>
      </c>
      <c r="K114" s="1446"/>
      <c r="L114" s="1447">
        <f>IF(L70/$D71*$D69&lt;3.5,L70/$D71*$D69,3.5)</f>
        <v>2.354891826</v>
      </c>
      <c r="M114" s="1446"/>
      <c r="N114" s="1447">
        <f>IF(N70/$D71*$D69&lt;3.5,N70/$D71*$D69,3.5)</f>
        <v>2.675447921</v>
      </c>
      <c r="O114" s="1447"/>
      <c r="P114" s="1447">
        <f>IF(P70/$D71*$D69&lt;3.5,P70/$D71*$D69,3.5)</f>
        <v>2.964790667</v>
      </c>
      <c r="Q114" s="1447"/>
      <c r="R114" s="1447">
        <f>IF(R70/$D71*$D69&lt;3.5,R70/$D71*$D69,3.5)</f>
        <v>3.19868282</v>
      </c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449" t="str">
        <f>+B73</f>
        <v> Net Income Ratio:</v>
      </c>
      <c r="C115" s="1446"/>
      <c r="D115" s="1447"/>
      <c r="E115" s="1446"/>
      <c r="F115" s="1447">
        <f>IF(F74/$D75*$D73&lt;1, F74/$D75*$D73,1)</f>
        <v>0.231232579</v>
      </c>
      <c r="G115" s="1446"/>
      <c r="H115" s="1447">
        <f>IF(H74/$D75*$D73&lt;1, H74/$D75*$D73,1)</f>
        <v>1</v>
      </c>
      <c r="I115" s="1446"/>
      <c r="J115" s="1447">
        <f>IF(J74/$D75*$D73&lt;1, J74/$D75*$D73,1)</f>
        <v>1</v>
      </c>
      <c r="K115" s="1446"/>
      <c r="L115" s="1447">
        <f>IF(L74/$D75*$D73&lt;1, L74/$D75*$D73,1)</f>
        <v>0.930372803</v>
      </c>
      <c r="M115" s="1446"/>
      <c r="N115" s="1447">
        <f>IF(N74/$D75*$D73&lt;1, N74/$D75*$D73,1)</f>
        <v>0.6465918069</v>
      </c>
      <c r="O115" s="1447"/>
      <c r="P115" s="1447">
        <f>IF(P74/$D75*$D73&lt;1, P74/$D75*$D73,1)</f>
        <v>0.5415332278</v>
      </c>
      <c r="Q115" s="1447"/>
      <c r="R115" s="1447">
        <f>IF(R74/$D75*$D73&lt;1, R74/$D75*$D73,1)</f>
        <v>0.4049726153</v>
      </c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449" t="str">
        <f>+B77</f>
        <v> Return on Net Assets Ratio:</v>
      </c>
      <c r="C116" s="1446"/>
      <c r="D116" s="1447"/>
      <c r="E116" s="1446"/>
      <c r="F116" s="1447">
        <f>IF(F78/$D79*$D77&lt;2,F78/$D79*$D77,2)</f>
        <v>0.6175783821</v>
      </c>
      <c r="G116" s="1446"/>
      <c r="H116" s="1447">
        <f>IF(H78/$D79*$D77&lt;2,H78/$D79*$D77,2)</f>
        <v>1.269202034</v>
      </c>
      <c r="I116" s="1446"/>
      <c r="J116" s="1447">
        <f>IF(J78/$D79*$D77&lt;2,J78/$D79*$D77,2)</f>
        <v>1.031378336</v>
      </c>
      <c r="K116" s="1446"/>
      <c r="L116" s="1447">
        <f>IF(L78/$D79*$D77&lt;2,L78/$D79*$D77,2)</f>
        <v>0.8013402373</v>
      </c>
      <c r="M116" s="1446"/>
      <c r="N116" s="1447">
        <f>IF(N78/$D79*$D77&lt;2,N78/$D79*$D77,2)</f>
        <v>0.6823181696</v>
      </c>
      <c r="O116" s="1447"/>
      <c r="P116" s="1447">
        <f>IF(P78/$D79*$D77&lt;2,P78/$D79*$D77,2)</f>
        <v>0.6268564725</v>
      </c>
      <c r="Q116" s="1447"/>
      <c r="R116" s="1447">
        <f>IF(R78/$D79*$D77&lt;2,R78/$D79*$D77,2)</f>
        <v>0.3267825027</v>
      </c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449" t="str">
        <f>+B81</f>
        <v> Viability Ratio</v>
      </c>
      <c r="C117" s="1446"/>
      <c r="D117" s="1447"/>
      <c r="E117" s="1446"/>
      <c r="F117" s="1450">
        <f>IF(F82/$D83*$D81&lt;3.5,F82/$D83*$D81,3.5)</f>
        <v>0.8293978192</v>
      </c>
      <c r="G117" s="1451"/>
      <c r="H117" s="1450">
        <f>IF(H82/$D83*$D81&lt;3.5,H82/$D83*$D81,3.5)</f>
        <v>1.080625044</v>
      </c>
      <c r="I117" s="1451"/>
      <c r="J117" s="1450">
        <f>IF(J82/$D83*$D81&lt;3.5,J82/$D83*$D81,3.5)</f>
        <v>1.364561012</v>
      </c>
      <c r="K117" s="1451"/>
      <c r="L117" s="1450">
        <f>IF(L82/$D83*$D81&lt;3.5,L82/$D83*$D81,3.5)</f>
        <v>1.685361445</v>
      </c>
      <c r="M117" s="1451"/>
      <c r="N117" s="1450">
        <f>IF(N82/$D83*$D81&lt;3.5,N82/$D83*$D81,3.5)</f>
        <v>2.033383887</v>
      </c>
      <c r="O117" s="1450"/>
      <c r="P117" s="1450">
        <f>IF(P82/$D83*$D81&lt;3.5,P82/$D83*$D81,3.5)</f>
        <v>2.385421436</v>
      </c>
      <c r="Q117" s="1450"/>
      <c r="R117" s="1450">
        <f>IF(R82/$D83*$D81&lt;3.5,R82/$D83*$D81,3.5)</f>
        <v>2.794530239</v>
      </c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447"/>
      <c r="C118" s="1446"/>
      <c r="D118" s="1447"/>
      <c r="E118" s="1446"/>
      <c r="F118" s="1447">
        <f>SUM(F114:F117)</f>
        <v>2.795372572</v>
      </c>
      <c r="G118" s="1446"/>
      <c r="H118" s="1447">
        <f>SUM(H114:H117)</f>
        <v>5.079361127</v>
      </c>
      <c r="I118" s="1446"/>
      <c r="J118" s="1447">
        <f>SUM(J114:J117)</f>
        <v>5.407506588</v>
      </c>
      <c r="K118" s="1446"/>
      <c r="L118" s="1447">
        <f>SUM(L114:L117)</f>
        <v>5.771966311</v>
      </c>
      <c r="M118" s="1446"/>
      <c r="N118" s="1447">
        <f>SUM(N114:N117)</f>
        <v>6.037741784</v>
      </c>
      <c r="O118" s="1447"/>
      <c r="P118" s="1447">
        <f>SUM(P114:P117)</f>
        <v>6.518601804</v>
      </c>
      <c r="Q118" s="1447"/>
      <c r="R118" s="1447">
        <f>SUM(R114:R117)</f>
        <v>6.724968177</v>
      </c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452" t="s">
        <v>879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452" t="s">
        <v>880</v>
      </c>
      <c r="C138" s="1"/>
      <c r="D138" s="1"/>
      <c r="E138" s="1"/>
      <c r="F138" s="1"/>
      <c r="G138" s="1"/>
      <c r="H138" s="85">
        <f>H28-F28</f>
        <v>6195564.816</v>
      </c>
      <c r="I138" s="1"/>
      <c r="J138" s="85">
        <f>J28-H28</f>
        <v>-854733.6545</v>
      </c>
      <c r="K138" s="1"/>
      <c r="L138" s="85">
        <f>L28-J28</f>
        <v>-884711.3421</v>
      </c>
      <c r="M138" s="1"/>
      <c r="N138" s="85">
        <f>N28-L28</f>
        <v>-925207.5793</v>
      </c>
      <c r="O138" s="1"/>
      <c r="P138" s="85">
        <f>P28-N28</f>
        <v>-957256.072</v>
      </c>
      <c r="Q138" s="1"/>
      <c r="R138" s="85">
        <f>R28-P28</f>
        <v>-1612892.717</v>
      </c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453" t="s">
        <v>881</v>
      </c>
      <c r="C139" s="1"/>
      <c r="D139" s="1"/>
      <c r="E139" s="1"/>
      <c r="F139" s="1"/>
      <c r="G139" s="1"/>
      <c r="H139" s="85" t="str">
        <f>'L Capital'!#REF!-'L Capital'!L58</f>
        <v>#ERROR!</v>
      </c>
      <c r="I139" s="1"/>
      <c r="J139" s="85" t="str">
        <f>'L Capital'!#REF!-'L Capital'!P58</f>
        <v>#ERROR!</v>
      </c>
      <c r="K139" s="1"/>
      <c r="L139" s="85" t="str">
        <f>'L Capital'!#REF!-'L Capital'!T58</f>
        <v>#ERROR!</v>
      </c>
      <c r="M139" s="1"/>
      <c r="N139" s="85" t="str">
        <f>'L Capital'!#REF!-'L Capital'!X58</f>
        <v>#ERROR!</v>
      </c>
      <c r="O139" s="1"/>
      <c r="P139" s="85" t="str">
        <f>'L Capital'!#REF!-'L Capital'!AB58</f>
        <v>#ERROR!</v>
      </c>
      <c r="Q139" s="1"/>
      <c r="R139" s="85" t="str">
        <f>'L Capital'!#REF!-'L Capital'!AF58</f>
        <v>#ERROR!</v>
      </c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453" t="s">
        <v>882</v>
      </c>
      <c r="C140" s="1"/>
      <c r="D140" s="1"/>
      <c r="E140" s="1"/>
      <c r="F140" s="1"/>
      <c r="G140" s="1"/>
      <c r="H140" s="85">
        <f>'P Fcast 5yr'!G33</f>
        <v>7039635.775</v>
      </c>
      <c r="I140" s="1"/>
      <c r="J140" s="85">
        <f>'P Fcast 5yr'!I33</f>
        <v>6977450.781</v>
      </c>
      <c r="K140" s="1"/>
      <c r="L140" s="85">
        <f>'P Fcast 5yr'!K33</f>
        <v>7015315.996</v>
      </c>
      <c r="M140" s="1"/>
      <c r="N140" s="85">
        <f>'P Fcast 5yr'!M33</f>
        <v>6989512.796</v>
      </c>
      <c r="O140" s="1"/>
      <c r="P140" s="85">
        <f>'P Fcast 5yr'!O33</f>
        <v>6961543.437</v>
      </c>
      <c r="Q140" s="1"/>
      <c r="R140" s="85">
        <f>'P Fcast 5yr'!Q33</f>
        <v>6936133.466</v>
      </c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1"/>
      <c r="F142" s="1"/>
      <c r="G142" s="1"/>
      <c r="H142" s="85" t="str">
        <f>-H138+H139-H140</f>
        <v>#ERROR!</v>
      </c>
      <c r="I142" s="1"/>
      <c r="J142" s="85" t="str">
        <f>-J138+J139-J140</f>
        <v>#ERROR!</v>
      </c>
      <c r="K142" s="1"/>
      <c r="L142" s="85" t="str">
        <f>-L138+L139-L140</f>
        <v>#ERROR!</v>
      </c>
      <c r="M142" s="1"/>
      <c r="N142" s="85" t="str">
        <f>-N138+N139-N140</f>
        <v>#ERROR!</v>
      </c>
      <c r="O142" s="1"/>
      <c r="P142" s="85" t="str">
        <f>-P138+P139-P140</f>
        <v>#ERROR!</v>
      </c>
      <c r="Q142" s="1"/>
      <c r="R142" s="85" t="str">
        <f>-R138+R139-R140</f>
        <v>#ERROR!</v>
      </c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2">
    <mergeCell ref="F82:F83"/>
    <mergeCell ref="J82:J83"/>
    <mergeCell ref="L82:L83"/>
    <mergeCell ref="N82:N83"/>
    <mergeCell ref="P82:P83"/>
    <mergeCell ref="R82:R83"/>
    <mergeCell ref="B85:C85"/>
    <mergeCell ref="H82:H83"/>
    <mergeCell ref="J88:J89"/>
    <mergeCell ref="L88:L89"/>
    <mergeCell ref="N88:N89"/>
    <mergeCell ref="P88:P89"/>
    <mergeCell ref="R88:R89"/>
    <mergeCell ref="A92:A93"/>
    <mergeCell ref="R92:R93"/>
    <mergeCell ref="P103:P104"/>
    <mergeCell ref="R103:R104"/>
    <mergeCell ref="N92:N93"/>
    <mergeCell ref="P92:P93"/>
    <mergeCell ref="B103:B104"/>
    <mergeCell ref="H103:H104"/>
    <mergeCell ref="J103:J104"/>
    <mergeCell ref="L103:L104"/>
    <mergeCell ref="N103:N104"/>
    <mergeCell ref="P66:P67"/>
    <mergeCell ref="R66:R67"/>
    <mergeCell ref="P70:P71"/>
    <mergeCell ref="R70:R71"/>
    <mergeCell ref="Q2:R2"/>
    <mergeCell ref="J4:R4"/>
    <mergeCell ref="Q61:R61"/>
    <mergeCell ref="J62:R62"/>
    <mergeCell ref="F66:F67"/>
    <mergeCell ref="H66:H67"/>
    <mergeCell ref="J66:J67"/>
    <mergeCell ref="L66:L67"/>
    <mergeCell ref="N66:N67"/>
    <mergeCell ref="F70:F71"/>
    <mergeCell ref="H70:H71"/>
    <mergeCell ref="J70:J71"/>
    <mergeCell ref="L70:L71"/>
    <mergeCell ref="N70:N71"/>
    <mergeCell ref="F74:F75"/>
    <mergeCell ref="H74:H75"/>
    <mergeCell ref="J74:J75"/>
    <mergeCell ref="L74:L75"/>
    <mergeCell ref="N74:N75"/>
    <mergeCell ref="P74:P75"/>
    <mergeCell ref="R74:R75"/>
    <mergeCell ref="F78:F79"/>
    <mergeCell ref="H78:H79"/>
    <mergeCell ref="J78:J79"/>
    <mergeCell ref="L78:L79"/>
    <mergeCell ref="N78:N79"/>
    <mergeCell ref="P78:P79"/>
    <mergeCell ref="R78:R79"/>
    <mergeCell ref="J92:J93"/>
    <mergeCell ref="L92:L93"/>
    <mergeCell ref="J96:J97"/>
    <mergeCell ref="L96:L97"/>
    <mergeCell ref="N96:N97"/>
    <mergeCell ref="P96:P97"/>
    <mergeCell ref="R96:R97"/>
    <mergeCell ref="P100:P101"/>
    <mergeCell ref="R100:R101"/>
    <mergeCell ref="H88:H89"/>
    <mergeCell ref="H92:H93"/>
    <mergeCell ref="H96:H97"/>
    <mergeCell ref="H100:H101"/>
    <mergeCell ref="J100:J101"/>
    <mergeCell ref="L100:L101"/>
    <mergeCell ref="N100:N101"/>
  </mergeCells>
  <printOptions horizontalCentered="1"/>
  <pageMargins bottom="0.75" footer="0.0" header="0.0" left="0.0" right="0.25" top="0.75"/>
  <pageSetup scale="76" orientation="landscape" pageOrder="overThenDown"/>
  <headerFooter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4">
    <pageSetUpPr fitToPage="1"/>
  </sheetPr>
  <sheetViews>
    <sheetView workbookViewId="0"/>
  </sheetViews>
  <sheetFormatPr customHeight="1" defaultColWidth="12.63" defaultRowHeight="15.0" outlineLevelCol="1"/>
  <cols>
    <col customWidth="1" min="1" max="1" width="3.75"/>
    <col customWidth="1" min="2" max="2" width="53.13"/>
    <col customWidth="1" min="3" max="3" width="4.75"/>
    <col customWidth="1" min="4" max="4" width="2.63"/>
    <col customWidth="1" min="5" max="5" width="4.0"/>
    <col customWidth="1" min="6" max="6" width="7.88"/>
    <col customWidth="1" min="7" max="7" width="11.63"/>
    <col customWidth="1" min="8" max="8" width="1.25"/>
    <col customWidth="1" min="9" max="9" width="11.75"/>
    <col customWidth="1" min="10" max="10" width="1.13"/>
    <col customWidth="1" min="11" max="11" width="11.25"/>
    <col customWidth="1" min="12" max="12" width="1.13"/>
    <col customWidth="1" min="13" max="13" width="10.88"/>
    <col customWidth="1" min="14" max="14" width="1.38"/>
    <col customWidth="1" min="15" max="15" width="10.63"/>
    <col customWidth="1" min="16" max="16" width="1.25"/>
    <col customWidth="1" min="17" max="17" width="10.63"/>
    <col customWidth="1" min="18" max="18" width="1.25"/>
    <col customWidth="1" min="19" max="19" width="10.63"/>
    <col customWidth="1" min="20" max="20" width="2.63"/>
    <col customWidth="1" min="21" max="26" width="8.63"/>
  </cols>
  <sheetData>
    <row r="1" ht="79.5" customHeight="1">
      <c r="A1" s="1271"/>
      <c r="B1" s="2" t="str">
        <f>'A Cover'!G8</f>
        <v>Example University</v>
      </c>
      <c r="C1" s="1272"/>
      <c r="D1" s="1272"/>
      <c r="E1" s="1272"/>
      <c r="F1" s="1271"/>
      <c r="G1" s="1271"/>
      <c r="H1" s="1273"/>
      <c r="I1" s="1274"/>
      <c r="J1" s="1274"/>
      <c r="K1" s="1"/>
      <c r="L1" s="1"/>
      <c r="M1" s="1"/>
      <c r="N1" s="1"/>
      <c r="O1" s="1"/>
      <c r="P1" s="1"/>
      <c r="Q1" s="1"/>
      <c r="R1" s="1"/>
      <c r="S1" s="1"/>
      <c r="T1" s="1"/>
      <c r="U1" s="16"/>
      <c r="V1" s="16"/>
    </row>
    <row r="2" ht="15.75" customHeight="1">
      <c r="A2" s="1276"/>
      <c r="B2" s="17" t="s">
        <v>772</v>
      </c>
      <c r="C2" s="1276"/>
      <c r="D2" s="1276"/>
      <c r="E2" s="1276"/>
      <c r="F2" s="1276"/>
      <c r="G2" s="1276"/>
      <c r="H2" s="1277"/>
      <c r="I2" s="1276"/>
      <c r="J2" s="1276"/>
      <c r="K2" s="1276"/>
      <c r="L2" s="1276"/>
      <c r="M2" s="1276"/>
      <c r="N2" s="1276"/>
      <c r="O2" s="1276"/>
      <c r="P2" s="1276"/>
      <c r="Q2" s="19">
        <f>'A Cover'!G12</f>
        <v>46307</v>
      </c>
      <c r="R2" s="35"/>
      <c r="S2" s="21"/>
      <c r="T2" s="5"/>
      <c r="U2" s="16"/>
      <c r="V2" s="16"/>
    </row>
    <row r="3" ht="6.0" customHeight="1">
      <c r="A3" s="1278"/>
      <c r="B3" s="1278"/>
      <c r="C3" s="1278"/>
      <c r="D3" s="1276"/>
      <c r="E3" s="1276"/>
      <c r="F3" s="1276"/>
      <c r="G3" s="1276"/>
      <c r="H3" s="1277"/>
      <c r="I3" s="1276"/>
      <c r="J3" s="1276"/>
      <c r="K3" s="1276"/>
      <c r="L3" s="1276"/>
      <c r="M3" s="1276"/>
      <c r="N3" s="1276"/>
      <c r="O3" s="1276"/>
      <c r="P3" s="1276"/>
      <c r="Q3" s="1276"/>
      <c r="R3" s="1"/>
      <c r="S3" s="1"/>
      <c r="T3" s="1"/>
      <c r="U3" s="16"/>
      <c r="V3" s="16"/>
    </row>
    <row r="4" ht="15.75" customHeight="1">
      <c r="A4" s="1278"/>
      <c r="B4" s="1278"/>
      <c r="C4" s="1279"/>
      <c r="D4" s="1280"/>
      <c r="E4" s="1276"/>
      <c r="F4" s="1276"/>
      <c r="G4" s="1276"/>
      <c r="H4" s="1277"/>
      <c r="I4" s="1274"/>
      <c r="J4" s="1274"/>
      <c r="K4" s="1"/>
      <c r="L4" s="1"/>
      <c r="M4" s="1"/>
      <c r="N4" s="1"/>
      <c r="O4" s="1281" t="s">
        <v>773</v>
      </c>
      <c r="P4" s="1"/>
      <c r="Q4" s="1"/>
      <c r="R4" s="1"/>
      <c r="S4" s="1"/>
      <c r="T4" s="1"/>
      <c r="U4" s="16"/>
      <c r="V4" s="16"/>
    </row>
    <row r="5" ht="15.75" customHeight="1">
      <c r="A5" s="1278"/>
      <c r="B5" s="1278"/>
      <c r="C5" s="1278"/>
      <c r="D5" s="1278"/>
      <c r="E5" s="1282"/>
      <c r="F5" s="1283"/>
      <c r="G5" s="1283"/>
      <c r="H5" s="1284"/>
      <c r="I5" s="1"/>
      <c r="J5" s="1"/>
      <c r="K5" s="1"/>
      <c r="L5" s="1285"/>
      <c r="M5" s="1276"/>
      <c r="N5" s="1286" t="s">
        <v>774</v>
      </c>
      <c r="O5" s="1287"/>
      <c r="P5" s="1"/>
      <c r="Q5" s="1"/>
      <c r="R5" s="1"/>
      <c r="S5" s="1"/>
      <c r="T5" s="1"/>
      <c r="U5" s="16"/>
      <c r="V5" s="16"/>
    </row>
    <row r="6" ht="8.25" customHeight="1">
      <c r="A6" s="1278"/>
      <c r="B6" s="1278"/>
      <c r="C6" s="1278"/>
      <c r="D6" s="1278"/>
      <c r="E6" s="1282"/>
      <c r="F6" s="1283"/>
      <c r="G6" s="1283"/>
      <c r="H6" s="1284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6"/>
      <c r="V6" s="16"/>
    </row>
    <row r="7" ht="6.75" customHeight="1">
      <c r="A7" s="1278"/>
      <c r="B7" s="1278"/>
      <c r="C7" s="1278"/>
      <c r="D7" s="1282"/>
      <c r="E7" s="1278"/>
      <c r="F7" s="1283"/>
      <c r="G7" s="1283"/>
      <c r="H7" s="128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6"/>
      <c r="V7" s="16"/>
    </row>
    <row r="8" ht="15.75" customHeight="1">
      <c r="A8" s="1278"/>
      <c r="B8" s="1278"/>
      <c r="C8" s="1278"/>
      <c r="D8" s="1278"/>
      <c r="E8" s="1278"/>
      <c r="F8" s="1283"/>
      <c r="G8" s="69" t="str">
        <f>'F Population'!N6</f>
        <v>2025 - 26</v>
      </c>
      <c r="H8" s="1288"/>
      <c r="I8" s="69" t="str">
        <f>'F Population'!P6</f>
        <v>2026 - 27</v>
      </c>
      <c r="J8" s="39"/>
      <c r="K8" s="69" t="str">
        <f>'F Population'!U6</f>
        <v>2027 - 28</v>
      </c>
      <c r="L8" s="1288"/>
      <c r="M8" s="69" t="str">
        <f>'F Population'!W6</f>
        <v>2028 - 29</v>
      </c>
      <c r="N8" s="39"/>
      <c r="O8" s="69" t="str">
        <f>'F Population'!Y6</f>
        <v>2029 - 30</v>
      </c>
      <c r="P8" s="39"/>
      <c r="Q8" s="69" t="str">
        <f>'F Population'!AA6</f>
        <v>2030 - 31</v>
      </c>
      <c r="R8" s="1288"/>
      <c r="S8" s="69" t="str">
        <f>'F Population'!AC6</f>
        <v>2031 - 32</v>
      </c>
      <c r="T8" s="1"/>
      <c r="U8" s="16"/>
      <c r="V8" s="16"/>
    </row>
    <row r="9" ht="15.75" customHeight="1">
      <c r="A9" s="238">
        <v>1.0</v>
      </c>
      <c r="B9" s="1289" t="s">
        <v>776</v>
      </c>
      <c r="C9" s="1290"/>
      <c r="D9" s="1290"/>
      <c r="E9" s="1290"/>
      <c r="F9" s="1290"/>
      <c r="G9" s="1290"/>
      <c r="H9" s="1291"/>
      <c r="I9" s="1292"/>
      <c r="J9" s="1292"/>
      <c r="K9" s="446"/>
      <c r="L9" s="446"/>
      <c r="M9" s="446"/>
      <c r="N9" s="446"/>
      <c r="O9" s="446"/>
      <c r="P9" s="446"/>
      <c r="Q9" s="446"/>
      <c r="R9" s="446"/>
      <c r="S9" s="446"/>
      <c r="T9" s="1"/>
      <c r="U9" s="16"/>
      <c r="V9" s="16"/>
    </row>
    <row r="10" ht="15.75" customHeight="1">
      <c r="A10" s="1293"/>
      <c r="B10" s="1294" t="s">
        <v>777</v>
      </c>
      <c r="C10" s="1201"/>
      <c r="D10" s="1201"/>
      <c r="E10" s="1201"/>
      <c r="F10" s="1201"/>
      <c r="G10" s="1142">
        <f>'R Bal sheets'!F34+'R Bal sheets'!F36+'R Bal sheets'!F38</f>
        <v>172970859</v>
      </c>
      <c r="H10" s="1296"/>
      <c r="I10" s="1142">
        <f>'R Bal sheets'!H34+'R Bal sheets'!H36+'R Bal sheets'!H38</f>
        <v>194924355.6</v>
      </c>
      <c r="J10" s="1297"/>
      <c r="K10" s="1142">
        <f>'R Bal sheets'!J34+'R Bal sheets'!J36+'R Bal sheets'!J38</f>
        <v>215028431.4</v>
      </c>
      <c r="L10" s="1155"/>
      <c r="M10" s="1142">
        <f>'R Bal sheets'!L34+'R Bal sheets'!L36+'R Bal sheets'!L38</f>
        <v>232259524.8</v>
      </c>
      <c r="N10" s="1155"/>
      <c r="O10" s="1142">
        <f>'R Bal sheets'!N34+'R Bal sheets'!N36+'R Bal sheets'!N38</f>
        <v>248107014.2</v>
      </c>
      <c r="P10" s="1155"/>
      <c r="Q10" s="1142">
        <f>'R Bal sheets'!P34+'R Bal sheets'!P36+'R Bal sheets'!P38</f>
        <v>263659762.9</v>
      </c>
      <c r="R10" s="1155"/>
      <c r="S10" s="1142">
        <f>'R Bal sheets'!R34+'R Bal sheets'!R36+'R Bal sheets'!R38</f>
        <v>272275702.7</v>
      </c>
      <c r="T10" s="1"/>
      <c r="U10" s="16"/>
      <c r="V10" s="16"/>
    </row>
    <row r="11" ht="15.75" customHeight="1">
      <c r="A11" s="1293"/>
      <c r="B11" s="1201" t="s">
        <v>778</v>
      </c>
      <c r="C11" s="1201"/>
      <c r="D11" s="1201"/>
      <c r="E11" s="1201"/>
      <c r="F11" s="1201"/>
      <c r="G11" s="1142">
        <f>-'R Bal sheets'!F38</f>
        <v>-60972337</v>
      </c>
      <c r="H11" s="1296"/>
      <c r="I11" s="1142">
        <f>-'R Bal sheets'!H38</f>
        <v>-68972337</v>
      </c>
      <c r="J11" s="1297"/>
      <c r="K11" s="1142">
        <f>-'R Bal sheets'!J38</f>
        <v>-76972337</v>
      </c>
      <c r="L11" s="1155"/>
      <c r="M11" s="1142">
        <f>-'R Bal sheets'!L38</f>
        <v>-83972337</v>
      </c>
      <c r="N11" s="1155"/>
      <c r="O11" s="1142">
        <f>-'R Bal sheets'!N38</f>
        <v>-91172337</v>
      </c>
      <c r="P11" s="1155"/>
      <c r="Q11" s="1142">
        <f>-'R Bal sheets'!P38</f>
        <v>-98235337</v>
      </c>
      <c r="R11" s="1155"/>
      <c r="S11" s="1142">
        <f>-'R Bal sheets'!R38</f>
        <v>-101235337</v>
      </c>
      <c r="T11" s="1"/>
      <c r="U11" s="16"/>
      <c r="V11" s="16"/>
    </row>
    <row r="12" ht="15.75" customHeight="1">
      <c r="A12" s="1293"/>
      <c r="B12" s="1298" t="s">
        <v>779</v>
      </c>
      <c r="C12" s="1201"/>
      <c r="D12" s="1201"/>
      <c r="E12" s="1201"/>
      <c r="F12" s="1299" t="s">
        <v>780</v>
      </c>
      <c r="G12" s="1300"/>
      <c r="H12" s="1301"/>
      <c r="I12" s="1300"/>
      <c r="J12" s="1301"/>
      <c r="K12" s="1300"/>
      <c r="L12" s="1301"/>
      <c r="M12" s="1300"/>
      <c r="N12" s="1301"/>
      <c r="O12" s="1300"/>
      <c r="P12" s="1301"/>
      <c r="Q12" s="1300"/>
      <c r="R12" s="1301"/>
      <c r="S12" s="1300"/>
      <c r="T12" s="1301" t="str">
        <f t="shared" ref="T12:T14" si="1">IF(S12&gt;0,"&lt; !","")</f>
        <v/>
      </c>
      <c r="U12" s="16"/>
      <c r="V12" s="16"/>
    </row>
    <row r="13" ht="15.75" customHeight="1">
      <c r="A13" s="1293"/>
      <c r="B13" s="1298" t="s">
        <v>781</v>
      </c>
      <c r="C13" s="1201"/>
      <c r="D13" s="1201"/>
      <c r="E13" s="1201"/>
      <c r="F13" s="1299" t="s">
        <v>780</v>
      </c>
      <c r="G13" s="1300"/>
      <c r="H13" s="1301"/>
      <c r="I13" s="1300"/>
      <c r="J13" s="1301"/>
      <c r="K13" s="1300"/>
      <c r="L13" s="1301"/>
      <c r="M13" s="1300"/>
      <c r="N13" s="1301"/>
      <c r="O13" s="1300"/>
      <c r="P13" s="1301"/>
      <c r="Q13" s="1300"/>
      <c r="R13" s="1301"/>
      <c r="S13" s="1300"/>
      <c r="T13" s="1301" t="str">
        <f t="shared" si="1"/>
        <v/>
      </c>
      <c r="U13" s="16"/>
      <c r="V13" s="16"/>
    </row>
    <row r="14" ht="15.75" customHeight="1">
      <c r="A14" s="1293"/>
      <c r="B14" s="1298" t="s">
        <v>782</v>
      </c>
      <c r="C14" s="1302" t="str">
        <f>IF('M Non student'!D58&gt;0,"PLEDGES?","")</f>
        <v>PLEDGES?</v>
      </c>
      <c r="D14" s="1201"/>
      <c r="E14" s="1201"/>
      <c r="F14" s="1299" t="s">
        <v>780</v>
      </c>
      <c r="G14" s="1300"/>
      <c r="H14" s="1301"/>
      <c r="I14" s="1300"/>
      <c r="J14" s="1301"/>
      <c r="K14" s="1300"/>
      <c r="L14" s="1301"/>
      <c r="M14" s="1300"/>
      <c r="N14" s="1301"/>
      <c r="O14" s="1300"/>
      <c r="P14" s="1301"/>
      <c r="Q14" s="1300"/>
      <c r="R14" s="1301"/>
      <c r="S14" s="1300"/>
      <c r="T14" s="1301" t="str">
        <f t="shared" si="1"/>
        <v/>
      </c>
      <c r="U14" s="16"/>
      <c r="V14" s="16"/>
    </row>
    <row r="15" ht="15.75" customHeight="1">
      <c r="A15" s="1293"/>
      <c r="B15" s="1294" t="s">
        <v>783</v>
      </c>
      <c r="C15" s="1201"/>
      <c r="D15" s="1201"/>
      <c r="E15" s="1201"/>
      <c r="F15" s="1201"/>
      <c r="G15" s="1142">
        <f>-'R Bal sheets'!F15</f>
        <v>-104402945</v>
      </c>
      <c r="H15" s="1201"/>
      <c r="I15" s="1142">
        <f>-'R Bal sheets'!H15</f>
        <v>-107893309.2</v>
      </c>
      <c r="J15" s="1201"/>
      <c r="K15" s="1142">
        <f>-'R Bal sheets'!J15</f>
        <v>-107175858.4</v>
      </c>
      <c r="L15" s="1201"/>
      <c r="M15" s="1142">
        <f>-'R Bal sheets'!L15</f>
        <v>-102020542.4</v>
      </c>
      <c r="N15" s="1201"/>
      <c r="O15" s="1142">
        <f>-'R Bal sheets'!N15</f>
        <v>-96031029.65</v>
      </c>
      <c r="P15" s="1201"/>
      <c r="Q15" s="1142">
        <f>-'R Bal sheets'!P15</f>
        <v>-90069486.22</v>
      </c>
      <c r="R15" s="1201"/>
      <c r="S15" s="1142">
        <f>-'R Bal sheets'!R15</f>
        <v>-84133352.75</v>
      </c>
      <c r="T15" s="1201"/>
      <c r="U15" s="16"/>
      <c r="V15" s="16"/>
    </row>
    <row r="16" ht="15.75" customHeight="1">
      <c r="A16" s="1293"/>
      <c r="B16" s="1298" t="s">
        <v>785</v>
      </c>
      <c r="C16" s="1201"/>
      <c r="D16" s="1201"/>
      <c r="E16" s="1201"/>
      <c r="F16" s="1299" t="s">
        <v>786</v>
      </c>
      <c r="G16" s="1300"/>
      <c r="H16" s="1301"/>
      <c r="I16" s="1300"/>
      <c r="J16" s="1301"/>
      <c r="K16" s="1300"/>
      <c r="L16" s="1301"/>
      <c r="M16" s="1300"/>
      <c r="N16" s="1301"/>
      <c r="O16" s="1300"/>
      <c r="P16" s="1301"/>
      <c r="Q16" s="1300"/>
      <c r="R16" s="1301"/>
      <c r="S16" s="1300"/>
      <c r="T16" s="1301" t="str">
        <f>IF(S16&lt;0,"&lt; !","")</f>
        <v/>
      </c>
      <c r="U16" s="16"/>
      <c r="V16" s="16"/>
    </row>
    <row r="17" ht="15.75" customHeight="1">
      <c r="A17" s="1293"/>
      <c r="B17" s="1298" t="s">
        <v>787</v>
      </c>
      <c r="C17" s="1201"/>
      <c r="D17" s="1201"/>
      <c r="E17" s="1201"/>
      <c r="F17" s="1299" t="s">
        <v>780</v>
      </c>
      <c r="G17" s="1300"/>
      <c r="H17" s="1301" t="str">
        <f>IF(G17&gt;0,"&lt; !","")</f>
        <v/>
      </c>
      <c r="I17" s="1300"/>
      <c r="J17" s="1301" t="str">
        <f>IF(I17&gt;0,"&lt; !","")</f>
        <v/>
      </c>
      <c r="K17" s="1300"/>
      <c r="L17" s="1301" t="str">
        <f>IF(K17&gt;0,"&lt; !","")</f>
        <v/>
      </c>
      <c r="M17" s="1300"/>
      <c r="N17" s="1301" t="str">
        <f>IF(M17&gt;0,"&lt; !","")</f>
        <v/>
      </c>
      <c r="O17" s="1300"/>
      <c r="P17" s="1301" t="str">
        <f>IF(O17&gt;0,"&lt; !","")</f>
        <v/>
      </c>
      <c r="Q17" s="1300"/>
      <c r="R17" s="1301" t="str">
        <f>IF(Q17&gt;0,"&lt; !","")</f>
        <v/>
      </c>
      <c r="S17" s="1300"/>
      <c r="T17" s="1301" t="str">
        <f>IF(S17&gt;0,"&lt; !","")</f>
        <v/>
      </c>
      <c r="U17" s="16"/>
      <c r="V17" s="16"/>
    </row>
    <row r="18" ht="15.75" customHeight="1">
      <c r="A18" s="1293"/>
      <c r="B18" s="1294" t="s">
        <v>788</v>
      </c>
      <c r="C18" s="1201"/>
      <c r="D18" s="1201"/>
      <c r="E18" s="1201"/>
      <c r="F18" s="1201"/>
      <c r="G18" s="1142">
        <f>'R Bal sheets'!F28</f>
        <v>26783294</v>
      </c>
      <c r="H18" s="1296"/>
      <c r="I18" s="1142">
        <f>'R Bal sheets'!H28</f>
        <v>32978858.82</v>
      </c>
      <c r="J18" s="1297"/>
      <c r="K18" s="1142">
        <f>'R Bal sheets'!J28</f>
        <v>32124125.16</v>
      </c>
      <c r="L18" s="1155"/>
      <c r="M18" s="1142">
        <f>'R Bal sheets'!L28</f>
        <v>31239413.82</v>
      </c>
      <c r="N18" s="1155"/>
      <c r="O18" s="1142">
        <f>'R Bal sheets'!N28</f>
        <v>30314206.24</v>
      </c>
      <c r="P18" s="1155"/>
      <c r="Q18" s="1142">
        <f>'R Bal sheets'!P28</f>
        <v>29356950.17</v>
      </c>
      <c r="R18" s="1155"/>
      <c r="S18" s="1142">
        <f>'R Bal sheets'!R28</f>
        <v>27744057.45</v>
      </c>
      <c r="T18" s="1"/>
      <c r="U18" s="16"/>
      <c r="V18" s="16"/>
    </row>
    <row r="19" ht="15.75" customHeight="1">
      <c r="A19" s="1293"/>
      <c r="B19" s="1304" t="s">
        <v>790</v>
      </c>
      <c r="C19" s="1304"/>
      <c r="D19" s="1304"/>
      <c r="E19" s="1304"/>
      <c r="F19" s="1304"/>
      <c r="G19" s="1305">
        <f>G80</f>
        <v>34378871</v>
      </c>
      <c r="H19" s="1306"/>
      <c r="I19" s="1305">
        <f>I80</f>
        <v>51037568.21</v>
      </c>
      <c r="J19" s="1292"/>
      <c r="K19" s="1305">
        <f>K80</f>
        <v>63004361.09</v>
      </c>
      <c r="L19" s="446"/>
      <c r="M19" s="1305">
        <f>M80</f>
        <v>77506059.16</v>
      </c>
      <c r="N19" s="446"/>
      <c r="O19" s="1305">
        <f>O80</f>
        <v>91217853.76</v>
      </c>
      <c r="P19" s="446"/>
      <c r="Q19" s="1305">
        <f>Q80</f>
        <v>104711889.9</v>
      </c>
      <c r="R19" s="446"/>
      <c r="S19" s="1305">
        <f>S80</f>
        <v>114651070.4</v>
      </c>
      <c r="T19" s="1"/>
      <c r="U19" s="16"/>
      <c r="V19" s="16"/>
    </row>
    <row r="20" ht="20.25" customHeight="1">
      <c r="A20" s="1293"/>
      <c r="B20" s="1307" t="s">
        <v>793</v>
      </c>
      <c r="C20" s="1201"/>
      <c r="D20" s="1201"/>
      <c r="E20" s="1304"/>
      <c r="F20" s="1304"/>
      <c r="G20" s="1308">
        <f>'E Budg CY'!N83</f>
        <v>62343968</v>
      </c>
      <c r="H20" s="1309"/>
      <c r="I20" s="1310">
        <f>IF('J Proj CY'!F151&lt;&gt;0,'J Proj CY'!H83,'J Proj CY'!N83)</f>
        <v>64604973</v>
      </c>
      <c r="J20" s="1311"/>
      <c r="K20" s="1308">
        <f>'P Fcast 5yr'!I35</f>
        <v>68324132.72</v>
      </c>
      <c r="L20" s="1311"/>
      <c r="M20" s="1308">
        <f>'P Fcast 5yr'!K35</f>
        <v>70098606.17</v>
      </c>
      <c r="N20" s="62"/>
      <c r="O20" s="1308">
        <f>'P Fcast 5yr'!M35</f>
        <v>72235967.03</v>
      </c>
      <c r="P20" s="62"/>
      <c r="Q20" s="1308">
        <f>'P Fcast 5yr'!O35</f>
        <v>74057054.11</v>
      </c>
      <c r="R20" s="62"/>
      <c r="S20" s="1308">
        <f>'P Fcast 5yr'!Q35</f>
        <v>75996225.86</v>
      </c>
      <c r="T20" s="1"/>
      <c r="U20" s="16"/>
      <c r="V20" s="16"/>
    </row>
    <row r="21" ht="16.5" customHeight="1">
      <c r="A21" s="238"/>
      <c r="B21" s="444"/>
      <c r="C21" s="444"/>
      <c r="D21" s="444"/>
      <c r="E21" s="444"/>
      <c r="F21" s="1312" t="s">
        <v>795</v>
      </c>
      <c r="G21" s="1313">
        <f>ROUND(G19/G20,2)</f>
        <v>0.55</v>
      </c>
      <c r="H21" s="1314"/>
      <c r="I21" s="1313">
        <f>ROUND(I19/I20,2)</f>
        <v>0.79</v>
      </c>
      <c r="J21" s="1316"/>
      <c r="K21" s="1313">
        <f>ROUND(K19/K20,2)</f>
        <v>0.92</v>
      </c>
      <c r="L21" s="1"/>
      <c r="M21" s="1313">
        <f>ROUND(M19/M20,2)</f>
        <v>1.11</v>
      </c>
      <c r="N21" s="1"/>
      <c r="O21" s="1313">
        <f>ROUND(O19/O20,2)</f>
        <v>1.26</v>
      </c>
      <c r="P21" s="1"/>
      <c r="Q21" s="1313">
        <f>ROUND(Q19/Q20,2)</f>
        <v>1.41</v>
      </c>
      <c r="R21" s="1"/>
      <c r="S21" s="1313">
        <f>ROUND(S19/S20,2)</f>
        <v>1.51</v>
      </c>
      <c r="T21" s="1"/>
      <c r="U21" s="16"/>
      <c r="V21" s="16"/>
    </row>
    <row r="22" ht="15.75" customHeight="1">
      <c r="A22" s="238">
        <v>2.0</v>
      </c>
      <c r="B22" s="1289" t="s">
        <v>797</v>
      </c>
      <c r="C22" s="1290"/>
      <c r="D22" s="1290"/>
      <c r="E22" s="1290"/>
      <c r="F22" s="1290"/>
      <c r="G22" s="1317" t="str">
        <f>IF(G21&lt;0.3,IF(G21&gt;-0.1,"","MIN is (0.10)"),"MAX is 0.30")</f>
        <v>MAX is 0.30</v>
      </c>
      <c r="H22" s="1291"/>
      <c r="I22" s="1317" t="str">
        <f>IF(I21&lt;0.3,IF(I21&gt;-0.1,"","MIN is (0.10)"),"MAX is 0.30")</f>
        <v>MAX is 0.30</v>
      </c>
      <c r="J22" s="1292"/>
      <c r="K22" s="1317" t="str">
        <f>IF(K21&lt;0.3,IF(K21&gt;-0.1,"","MIN is (0.10)"),"MAX is 0.30")</f>
        <v>MAX is 0.30</v>
      </c>
      <c r="L22" s="446"/>
      <c r="M22" s="1317" t="str">
        <f>IF(M21&lt;0.3,IF(M21&gt;-0.1,"","MIN is (0.10)"),"MAX is 0.30")</f>
        <v>MAX is 0.30</v>
      </c>
      <c r="N22" s="446"/>
      <c r="O22" s="1317" t="str">
        <f>IF(O21&lt;0.3,IF(O21&gt;-0.1,"","MIN is (0.10)"),"MAX is 0.30")</f>
        <v>MAX is 0.30</v>
      </c>
      <c r="P22" s="446"/>
      <c r="Q22" s="1317" t="str">
        <f>IF(Q21&lt;0.3,IF(Q21&gt;-0.1,"","MIN is (0.10)"),"MAX is 0.30")</f>
        <v>MAX is 0.30</v>
      </c>
      <c r="R22" s="446"/>
      <c r="S22" s="1317" t="str">
        <f>IF(S21&lt;0.3,IF(S21&gt;-0.1,"","MIN is (0.10)"),"MAX is 0.30")</f>
        <v>MAX is 0.30</v>
      </c>
      <c r="T22" s="1"/>
      <c r="U22" s="16"/>
      <c r="V22" s="16"/>
    </row>
    <row r="23" ht="18.75" customHeight="1">
      <c r="A23" s="1293"/>
      <c r="B23" s="1318" t="s">
        <v>799</v>
      </c>
      <c r="C23" s="1201"/>
      <c r="D23" s="1201"/>
      <c r="E23" s="1201"/>
      <c r="F23" s="1201"/>
      <c r="G23" s="1319">
        <f>'R Bal sheets'!F34+'R Bal sheets'!F36+'R Bal sheets'!F38</f>
        <v>172970859</v>
      </c>
      <c r="H23" s="1320"/>
      <c r="I23" s="1319">
        <f>'R Bal sheets'!H34+'R Bal sheets'!H36+'R Bal sheets'!H38</f>
        <v>194924355.6</v>
      </c>
      <c r="J23" s="1321"/>
      <c r="K23" s="1319">
        <f>'R Bal sheets'!J34+'R Bal sheets'!J36+'R Bal sheets'!J38</f>
        <v>215028431.4</v>
      </c>
      <c r="L23" s="1155"/>
      <c r="M23" s="1319">
        <f>'R Bal sheets'!L34+'R Bal sheets'!L36+'R Bal sheets'!L38</f>
        <v>232259524.8</v>
      </c>
      <c r="N23" s="1155"/>
      <c r="O23" s="1319">
        <f>'R Bal sheets'!N34+'R Bal sheets'!N36+'R Bal sheets'!N38</f>
        <v>248107014.2</v>
      </c>
      <c r="P23" s="1155"/>
      <c r="Q23" s="1319">
        <f>'R Bal sheets'!P34+'R Bal sheets'!P36+'R Bal sheets'!P38</f>
        <v>263659762.9</v>
      </c>
      <c r="R23" s="1155"/>
      <c r="S23" s="1319">
        <f>'R Bal sheets'!R34+'R Bal sheets'!R36+'R Bal sheets'!R38</f>
        <v>272275702.7</v>
      </c>
      <c r="T23" s="1"/>
      <c r="U23" s="16"/>
      <c r="V23" s="16"/>
    </row>
    <row r="24" ht="15.75" customHeight="1">
      <c r="A24" s="1293"/>
      <c r="B24" s="1294" t="s">
        <v>802</v>
      </c>
      <c r="C24" s="1201"/>
      <c r="D24" s="1201"/>
      <c r="E24" s="1201"/>
      <c r="F24" s="1201"/>
      <c r="G24" s="1142" t="str">
        <f t="shared" ref="G24:G25" si="2">G13</f>
        <v/>
      </c>
      <c r="H24" s="1296"/>
      <c r="I24" s="1142" t="str">
        <f t="shared" ref="I24:I25" si="3">I13</f>
        <v/>
      </c>
      <c r="J24" s="1297"/>
      <c r="K24" s="1142" t="str">
        <f t="shared" ref="K24:K25" si="4">K13</f>
        <v/>
      </c>
      <c r="L24" s="1155"/>
      <c r="M24" s="1142" t="str">
        <f t="shared" ref="M24:M25" si="5">M13</f>
        <v/>
      </c>
      <c r="N24" s="1155"/>
      <c r="O24" s="1142" t="str">
        <f t="shared" ref="O24:O25" si="6">O13</f>
        <v/>
      </c>
      <c r="P24" s="1155"/>
      <c r="Q24" s="1142" t="str">
        <f t="shared" ref="Q24:Q25" si="7">Q13</f>
        <v/>
      </c>
      <c r="R24" s="1155"/>
      <c r="S24" s="1142" t="str">
        <f t="shared" ref="S24:S25" si="8">S13</f>
        <v/>
      </c>
      <c r="T24" s="1"/>
      <c r="U24" s="16"/>
      <c r="V24" s="16"/>
    </row>
    <row r="25" ht="15.75" customHeight="1">
      <c r="A25" s="1293"/>
      <c r="B25" s="1294" t="s">
        <v>803</v>
      </c>
      <c r="C25" s="1201"/>
      <c r="D25" s="1201"/>
      <c r="E25" s="1201"/>
      <c r="F25" s="1201"/>
      <c r="G25" s="1142" t="str">
        <f t="shared" si="2"/>
        <v/>
      </c>
      <c r="H25" s="1296"/>
      <c r="I25" s="1142" t="str">
        <f t="shared" si="3"/>
        <v/>
      </c>
      <c r="J25" s="1297"/>
      <c r="K25" s="1142" t="str">
        <f t="shared" si="4"/>
        <v/>
      </c>
      <c r="L25" s="1155"/>
      <c r="M25" s="1142" t="str">
        <f t="shared" si="5"/>
        <v/>
      </c>
      <c r="N25" s="1155"/>
      <c r="O25" s="1142" t="str">
        <f t="shared" si="6"/>
        <v/>
      </c>
      <c r="P25" s="1155"/>
      <c r="Q25" s="1142" t="str">
        <f t="shared" si="7"/>
        <v/>
      </c>
      <c r="R25" s="1155"/>
      <c r="S25" s="1142" t="str">
        <f t="shared" si="8"/>
        <v/>
      </c>
      <c r="T25" s="1"/>
      <c r="U25" s="16"/>
      <c r="V25" s="16"/>
    </row>
    <row r="26" ht="15.75" customHeight="1">
      <c r="A26" s="1293"/>
      <c r="B26" s="1201" t="s">
        <v>805</v>
      </c>
      <c r="C26" s="1201"/>
      <c r="D26" s="1201"/>
      <c r="E26" s="1304"/>
      <c r="F26" s="1304"/>
      <c r="G26" s="1325">
        <f>G23+G24+G25</f>
        <v>172970859</v>
      </c>
      <c r="H26" s="1326"/>
      <c r="I26" s="1325">
        <f>I23+I24+I25</f>
        <v>194924355.6</v>
      </c>
      <c r="J26" s="1327"/>
      <c r="K26" s="1325">
        <f>K23+K24+K25</f>
        <v>215028431.4</v>
      </c>
      <c r="L26" s="446"/>
      <c r="M26" s="1325">
        <f>M23+M24+M25</f>
        <v>232259524.8</v>
      </c>
      <c r="N26" s="446"/>
      <c r="O26" s="1325">
        <f>O23+O24+O25</f>
        <v>248107014.2</v>
      </c>
      <c r="P26" s="446"/>
      <c r="Q26" s="1325">
        <f>Q23+Q24+Q25</f>
        <v>263659762.9</v>
      </c>
      <c r="R26" s="446"/>
      <c r="S26" s="1325">
        <f>S23+S24+S25</f>
        <v>272275702.7</v>
      </c>
      <c r="T26" s="1"/>
      <c r="U26" s="16"/>
      <c r="V26" s="16"/>
    </row>
    <row r="27" ht="15.75" customHeight="1">
      <c r="A27" s="1293"/>
      <c r="B27" s="1294" t="s">
        <v>807</v>
      </c>
      <c r="C27" s="1201"/>
      <c r="D27" s="1201"/>
      <c r="E27" s="1304"/>
      <c r="F27" s="1304"/>
      <c r="G27" s="1142">
        <f>'R Bal sheets'!F20</f>
        <v>216265539</v>
      </c>
      <c r="H27" s="1296"/>
      <c r="I27" s="1142">
        <f>'R Bal sheets'!H20</f>
        <v>245849588.1</v>
      </c>
      <c r="J27" s="1297"/>
      <c r="K27" s="1142">
        <f>'R Bal sheets'!J20</f>
        <v>263915317.7</v>
      </c>
      <c r="L27" s="1155"/>
      <c r="M27" s="1142">
        <f>'R Bal sheets'!L20</f>
        <v>280529559.7</v>
      </c>
      <c r="N27" s="1155"/>
      <c r="O27" s="1142">
        <f>'R Bal sheets'!N20</f>
        <v>295930855</v>
      </c>
      <c r="P27" s="1155"/>
      <c r="Q27" s="1142">
        <f>'R Bal sheets'!P20</f>
        <v>310935804.9</v>
      </c>
      <c r="R27" s="1155"/>
      <c r="S27" s="1142">
        <f>'R Bal sheets'!R20</f>
        <v>318373891.1</v>
      </c>
      <c r="T27" s="1"/>
      <c r="U27" s="16"/>
      <c r="V27" s="16"/>
    </row>
    <row r="28" ht="15.75" customHeight="1">
      <c r="A28" s="1293"/>
      <c r="B28" s="1294" t="s">
        <v>802</v>
      </c>
      <c r="C28" s="1201"/>
      <c r="D28" s="1201"/>
      <c r="E28" s="1304"/>
      <c r="F28" s="1304"/>
      <c r="G28" s="1142" t="str">
        <f t="shared" ref="G28:G29" si="9">G13</f>
        <v/>
      </c>
      <c r="H28" s="1330"/>
      <c r="I28" s="1142" t="str">
        <f t="shared" ref="I28:I29" si="10">I13</f>
        <v/>
      </c>
      <c r="J28" s="1297"/>
      <c r="K28" s="1142" t="str">
        <f t="shared" ref="K28:K29" si="11">K13</f>
        <v/>
      </c>
      <c r="L28" s="1155"/>
      <c r="M28" s="1142" t="str">
        <f t="shared" ref="M28:M29" si="12">M13</f>
        <v/>
      </c>
      <c r="N28" s="1155"/>
      <c r="O28" s="1142" t="str">
        <f t="shared" ref="O28:O29" si="13">O13</f>
        <v/>
      </c>
      <c r="P28" s="1155"/>
      <c r="Q28" s="1142" t="str">
        <f t="shared" ref="Q28:Q29" si="14">Q13</f>
        <v/>
      </c>
      <c r="R28" s="1155"/>
      <c r="S28" s="1142" t="str">
        <f t="shared" ref="S28:S29" si="15">S13</f>
        <v/>
      </c>
      <c r="T28" s="1"/>
      <c r="U28" s="16"/>
      <c r="V28" s="16"/>
    </row>
    <row r="29" ht="15.75" customHeight="1">
      <c r="A29" s="1293"/>
      <c r="B29" s="1294" t="s">
        <v>803</v>
      </c>
      <c r="C29" s="1201"/>
      <c r="D29" s="1201"/>
      <c r="E29" s="1304"/>
      <c r="F29" s="1304"/>
      <c r="G29" s="1142" t="str">
        <f t="shared" si="9"/>
        <v/>
      </c>
      <c r="H29" s="1330"/>
      <c r="I29" s="1142" t="str">
        <f t="shared" si="10"/>
        <v/>
      </c>
      <c r="J29" s="1297"/>
      <c r="K29" s="1142" t="str">
        <f t="shared" si="11"/>
        <v/>
      </c>
      <c r="L29" s="1155"/>
      <c r="M29" s="1142" t="str">
        <f t="shared" si="12"/>
        <v/>
      </c>
      <c r="N29" s="1155"/>
      <c r="O29" s="1142" t="str">
        <f t="shared" si="13"/>
        <v/>
      </c>
      <c r="P29" s="1155"/>
      <c r="Q29" s="1142" t="str">
        <f t="shared" si="14"/>
        <v/>
      </c>
      <c r="R29" s="1155"/>
      <c r="S29" s="1142" t="str">
        <f t="shared" si="15"/>
        <v/>
      </c>
      <c r="T29" s="1"/>
      <c r="U29" s="16"/>
      <c r="V29" s="16"/>
    </row>
    <row r="30" ht="19.5" customHeight="1">
      <c r="A30" s="1332"/>
      <c r="B30" s="1307" t="s">
        <v>809</v>
      </c>
      <c r="C30" s="1307"/>
      <c r="D30" s="1307"/>
      <c r="E30" s="1333"/>
      <c r="F30" s="1333"/>
      <c r="G30" s="1334">
        <f>G27+G28+G29</f>
        <v>216265539</v>
      </c>
      <c r="H30" s="1335"/>
      <c r="I30" s="1334">
        <f>I27+I28+I29</f>
        <v>245849588.1</v>
      </c>
      <c r="J30" s="1336"/>
      <c r="K30" s="1334">
        <f>K27+K28+K29</f>
        <v>263915317.7</v>
      </c>
      <c r="L30" s="1337"/>
      <c r="M30" s="1334">
        <f>M27+M28+M29</f>
        <v>280529559.7</v>
      </c>
      <c r="N30" s="1337"/>
      <c r="O30" s="1334">
        <f>O27+O28+O29</f>
        <v>295930855</v>
      </c>
      <c r="P30" s="1337"/>
      <c r="Q30" s="1334">
        <f>Q27+Q28+Q29</f>
        <v>310935804.9</v>
      </c>
      <c r="R30" s="1337"/>
      <c r="S30" s="1334">
        <f>S27+S28+S29</f>
        <v>318373891.1</v>
      </c>
      <c r="T30" s="1"/>
      <c r="U30" s="16"/>
      <c r="V30" s="16"/>
    </row>
    <row r="31" ht="16.5" customHeight="1">
      <c r="A31" s="238"/>
      <c r="B31" s="1329"/>
      <c r="C31" s="1329"/>
      <c r="D31" s="1329"/>
      <c r="E31" s="1312"/>
      <c r="F31" s="1312" t="s">
        <v>811</v>
      </c>
      <c r="G31" s="1313">
        <f>ROUND(G26/G30,2)</f>
        <v>0.8</v>
      </c>
      <c r="H31" s="1314"/>
      <c r="I31" s="1313">
        <f>ROUND(I26/I30,2)</f>
        <v>0.79</v>
      </c>
      <c r="J31" s="1316"/>
      <c r="K31" s="1313">
        <f>ROUND(K26/K30,2)</f>
        <v>0.81</v>
      </c>
      <c r="L31" s="1"/>
      <c r="M31" s="1313">
        <f>ROUND(M26/M30,2)</f>
        <v>0.83</v>
      </c>
      <c r="N31" s="1"/>
      <c r="O31" s="1313">
        <f>ROUND(O26/O30,2)</f>
        <v>0.84</v>
      </c>
      <c r="P31" s="1"/>
      <c r="Q31" s="1313">
        <f>ROUND(Q26/Q30,2)</f>
        <v>0.85</v>
      </c>
      <c r="R31" s="1"/>
      <c r="S31" s="1313">
        <f>ROUND(S26/S30,2)</f>
        <v>0.86</v>
      </c>
      <c r="T31" s="1"/>
      <c r="U31" s="16"/>
      <c r="V31" s="16"/>
    </row>
    <row r="32" ht="14.25" customHeight="1">
      <c r="A32" s="238">
        <v>3.0</v>
      </c>
      <c r="B32" s="1289" t="s">
        <v>813</v>
      </c>
      <c r="C32" s="1290"/>
      <c r="D32" s="1290"/>
      <c r="E32" s="1290"/>
      <c r="F32" s="1290"/>
      <c r="G32" s="1317" t="str">
        <f>IF(G31&lt;0.5,IF(G31&gt;-0.17,"","MIN is (0.17)"),"MAX is 0.50")</f>
        <v>MAX is 0.50</v>
      </c>
      <c r="H32" s="1291"/>
      <c r="I32" s="1317" t="str">
        <f>IF(I31&lt;0.5,IF(I31&gt;-0.17,"","MIN is (0.17)"),"MAX is 0.50")</f>
        <v>MAX is 0.50</v>
      </c>
      <c r="J32" s="1292"/>
      <c r="K32" s="1317" t="str">
        <f>IF(K31&lt;0.5,IF(K31&gt;-0.17,"","MIN is (0.17)"),"MAX is 0.50")</f>
        <v>MAX is 0.50</v>
      </c>
      <c r="L32" s="446"/>
      <c r="M32" s="1317" t="str">
        <f>IF(M31&lt;0.5,IF(M31&gt;-0.17,"","MIN is (0.17)"),"MAX is 0.50")</f>
        <v>MAX is 0.50</v>
      </c>
      <c r="N32" s="446"/>
      <c r="O32" s="1317" t="str">
        <f>IF(O31&lt;0.5,IF(O31&gt;-0.17,"","MIN is (0.17)"),"MAX is 0.50")</f>
        <v>MAX is 0.50</v>
      </c>
      <c r="P32" s="446"/>
      <c r="Q32" s="1317" t="str">
        <f>IF(Q31&lt;0.5,IF(Q31&gt;-0.17,"","MIN is (0.17)"),"MAX is 0.50")</f>
        <v>MAX is 0.50</v>
      </c>
      <c r="R32" s="446"/>
      <c r="S32" s="1317" t="str">
        <f>IF(S31&lt;0.5,IF(S31&gt;-0.17,"","MIN is (0.17)"),"MAX is 0.50")</f>
        <v>MAX is 0.50</v>
      </c>
      <c r="T32" s="1"/>
      <c r="U32" s="16"/>
      <c r="V32" s="16"/>
    </row>
    <row r="33" ht="20.25" customHeight="1">
      <c r="A33" s="1293"/>
      <c r="B33" s="1343" t="s">
        <v>814</v>
      </c>
      <c r="C33" s="1343"/>
      <c r="D33" s="1343"/>
      <c r="E33" s="1343"/>
      <c r="F33" s="1343"/>
      <c r="G33" s="1344">
        <f>'E Budg CY'!N92</f>
        <v>1015400</v>
      </c>
      <c r="H33" s="1345"/>
      <c r="I33" s="1344">
        <f>IF('J Proj CY'!F$151&gt;0,'J Proj CY'!H92,'J Proj CY'!N92)</f>
        <v>9004159.211</v>
      </c>
      <c r="J33" s="1347"/>
      <c r="K33" s="1344">
        <f>'P Fcast 5yr'!I41</f>
        <v>8207301.158</v>
      </c>
      <c r="L33" s="446"/>
      <c r="M33" s="1344">
        <f>'P Fcast 5yr'!K41</f>
        <v>4757884.008</v>
      </c>
      <c r="N33" s="446"/>
      <c r="O33" s="1344">
        <f>'P Fcast 5yr'!M41</f>
        <v>3400797.127</v>
      </c>
      <c r="P33" s="446"/>
      <c r="Q33" s="1344">
        <f>'P Fcast 5yr'!O41</f>
        <v>2898214.799</v>
      </c>
      <c r="R33" s="446"/>
      <c r="S33" s="1344">
        <f>'P Fcast 5yr'!Q41</f>
        <v>2202613.143</v>
      </c>
      <c r="T33" s="1"/>
      <c r="U33" s="16"/>
      <c r="V33" s="16"/>
    </row>
    <row r="34" ht="20.25" customHeight="1">
      <c r="A34" s="1293"/>
      <c r="B34" s="1307" t="s">
        <v>815</v>
      </c>
      <c r="C34" s="1201"/>
      <c r="D34" s="1201"/>
      <c r="E34" s="1304"/>
      <c r="F34" s="1304"/>
      <c r="G34" s="1308">
        <f>'E Budg CY'!N46</f>
        <v>62732139</v>
      </c>
      <c r="H34" s="1330"/>
      <c r="I34" s="1305">
        <f>IF('J Proj CY'!F$151&gt;0,'J Proj CY'!H46,'J Proj CY'!N46)</f>
        <v>71044430.21</v>
      </c>
      <c r="J34" s="1292"/>
      <c r="K34" s="1308">
        <f>'P Fcast 5yr'!I21</f>
        <v>72071433.88</v>
      </c>
      <c r="L34" s="446"/>
      <c r="M34" s="1308">
        <f>'P Fcast 5yr'!K21</f>
        <v>73056490.17</v>
      </c>
      <c r="N34" s="446"/>
      <c r="O34" s="1308">
        <f>'P Fcast 5yr'!M21</f>
        <v>75136764.15</v>
      </c>
      <c r="P34" s="446"/>
      <c r="Q34" s="1308">
        <f>'P Fcast 5yr'!O21</f>
        <v>76455268.91</v>
      </c>
      <c r="R34" s="446"/>
      <c r="S34" s="1308">
        <f>'P Fcast 5yr'!Q21</f>
        <v>77698839</v>
      </c>
      <c r="T34" s="1"/>
      <c r="U34" s="16"/>
      <c r="V34" s="16"/>
    </row>
    <row r="35" ht="16.5" customHeight="1">
      <c r="A35" s="238"/>
      <c r="B35" s="1329"/>
      <c r="C35" s="1348"/>
      <c r="D35" s="1348"/>
      <c r="E35" s="238"/>
      <c r="F35" s="1312" t="s">
        <v>817</v>
      </c>
      <c r="G35" s="1313">
        <f>ROUND(G33/G34,2)</f>
        <v>0.02</v>
      </c>
      <c r="H35" s="1314"/>
      <c r="I35" s="1313">
        <f>ROUND(I33/I34,2)</f>
        <v>0.13</v>
      </c>
      <c r="J35" s="1316"/>
      <c r="K35" s="1313">
        <f>ROUND(K33/K34,2)</f>
        <v>0.11</v>
      </c>
      <c r="L35" s="39"/>
      <c r="M35" s="1313">
        <f>ROUND(M33/M34,2)</f>
        <v>0.07</v>
      </c>
      <c r="N35" s="39"/>
      <c r="O35" s="1313">
        <f>ROUND(O33/O34,2)</f>
        <v>0.05</v>
      </c>
      <c r="P35" s="39"/>
      <c r="Q35" s="1313">
        <f>ROUND(Q33/Q34,2)</f>
        <v>0.04</v>
      </c>
      <c r="R35" s="39"/>
      <c r="S35" s="1313">
        <f>ROUND(S33/S34,2)</f>
        <v>0.03</v>
      </c>
      <c r="T35" s="1"/>
      <c r="U35" s="16"/>
      <c r="V35" s="16"/>
    </row>
    <row r="36" ht="14.25" customHeight="1">
      <c r="A36" s="1293"/>
      <c r="B36" s="1201"/>
      <c r="C36" s="1201"/>
      <c r="D36" s="1201"/>
      <c r="E36" s="1349"/>
      <c r="F36" s="1349"/>
      <c r="G36" s="1317" t="str">
        <f>IF(G35&lt;0.04,IF(G35&gt;-0.08,"","MIN is (0.08)"),"MAX is 0.04")</f>
        <v/>
      </c>
      <c r="H36" s="1350"/>
      <c r="I36" s="1317" t="str">
        <f>IF(I35&lt;0.04,IF(I35&gt;-0.08,"","MIN is (0.08)"),"MAX is 0.04")</f>
        <v>MAX is 0.04</v>
      </c>
      <c r="J36" s="1351"/>
      <c r="K36" s="1317" t="str">
        <f>IF(K35&lt;0.04,IF(K35&gt;-0.08,"","MIN is (0.08)"),"MAX is 0.04")</f>
        <v>MAX is 0.04</v>
      </c>
      <c r="L36" s="446"/>
      <c r="M36" s="1317" t="str">
        <f>IF(M35&lt;0.04,IF(M35&gt;-0.08,"","MIN is (0.08)"),"MAX is 0.04")</f>
        <v>MAX is 0.04</v>
      </c>
      <c r="N36" s="446"/>
      <c r="O36" s="1317" t="str">
        <f>IF(O35&lt;0.04,IF(O35&gt;-0.08,"","MIN is (0.08)"),"MAX is 0.04")</f>
        <v>MAX is 0.04</v>
      </c>
      <c r="P36" s="446"/>
      <c r="Q36" s="1317" t="str">
        <f>IF(Q35&lt;0.04,IF(Q35&gt;-0.08,"","MIN is (0.08)"),"MAX is 0.04")</f>
        <v>MAX is 0.04</v>
      </c>
      <c r="R36" s="446"/>
      <c r="S36" s="1317" t="str">
        <f>IF(S35&lt;0.04,IF(S35&gt;-0.08,"","MIN is (0.08)"),"MAX is 0.04")</f>
        <v/>
      </c>
      <c r="T36" s="1"/>
      <c r="U36" s="16"/>
      <c r="V36" s="16"/>
    </row>
    <row r="37" ht="9.0" customHeight="1">
      <c r="A37" s="1293"/>
      <c r="B37" s="1201"/>
      <c r="C37" s="1201"/>
      <c r="D37" s="1201"/>
      <c r="E37" s="1349"/>
      <c r="F37" s="1349"/>
      <c r="G37" s="1349"/>
      <c r="H37" s="1350"/>
      <c r="I37" s="1351"/>
      <c r="J37" s="1351"/>
      <c r="K37" s="446"/>
      <c r="L37" s="446"/>
      <c r="M37" s="446"/>
      <c r="N37" s="446"/>
      <c r="O37" s="446"/>
      <c r="P37" s="446"/>
      <c r="Q37" s="446"/>
      <c r="R37" s="446"/>
      <c r="S37" s="446"/>
      <c r="T37" s="1"/>
      <c r="U37" s="16"/>
      <c r="V37" s="16"/>
    </row>
    <row r="38" ht="15.75" customHeight="1">
      <c r="A38" s="1352"/>
      <c r="B38" s="1353"/>
      <c r="C38" s="1354" t="s">
        <v>820</v>
      </c>
      <c r="D38" s="35"/>
      <c r="E38" s="35"/>
      <c r="F38" s="21"/>
      <c r="G38" s="1293"/>
      <c r="H38" s="1355"/>
      <c r="I38" s="446"/>
      <c r="J38" s="446"/>
      <c r="K38" s="446"/>
      <c r="L38" s="446"/>
      <c r="M38" s="446"/>
      <c r="N38" s="446"/>
      <c r="O38" s="446"/>
      <c r="P38" s="446"/>
      <c r="Q38" s="446"/>
      <c r="R38" s="446"/>
      <c r="S38" s="446"/>
      <c r="T38" s="1"/>
      <c r="U38" s="16"/>
      <c r="V38" s="16"/>
    </row>
    <row r="39" ht="15.75" customHeight="1">
      <c r="A39" s="1293"/>
      <c r="B39" s="441"/>
      <c r="C39" s="1349">
        <v>1.0</v>
      </c>
      <c r="D39" s="446"/>
      <c r="E39" s="446"/>
      <c r="F39" s="441" t="s">
        <v>200</v>
      </c>
      <c r="G39" s="1356">
        <f>G61</f>
        <v>1.2</v>
      </c>
      <c r="H39" s="1296"/>
      <c r="I39" s="1356">
        <f>I61</f>
        <v>1.2</v>
      </c>
      <c r="J39" s="446"/>
      <c r="K39" s="1356">
        <f>K61</f>
        <v>1.2</v>
      </c>
      <c r="L39" s="446"/>
      <c r="M39" s="1356">
        <f>M61</f>
        <v>1.2</v>
      </c>
      <c r="N39" s="446"/>
      <c r="O39" s="1356">
        <f>O61</f>
        <v>1.2</v>
      </c>
      <c r="P39" s="446"/>
      <c r="Q39" s="1356">
        <f>Q61</f>
        <v>1.2</v>
      </c>
      <c r="R39" s="446"/>
      <c r="S39" s="1356">
        <f>S61</f>
        <v>1.2</v>
      </c>
      <c r="T39" s="1"/>
      <c r="U39" s="16"/>
      <c r="V39" s="16"/>
    </row>
    <row r="40" ht="15.75" customHeight="1">
      <c r="A40" s="1293"/>
      <c r="B40" s="441"/>
      <c r="C40" s="1349">
        <v>2.0</v>
      </c>
      <c r="D40" s="446"/>
      <c r="E40" s="446"/>
      <c r="F40" s="441" t="s">
        <v>821</v>
      </c>
      <c r="G40" s="1356">
        <f>G66</f>
        <v>1.2</v>
      </c>
      <c r="H40" s="1296"/>
      <c r="I40" s="1356">
        <f>I66</f>
        <v>1.2</v>
      </c>
      <c r="J40" s="446"/>
      <c r="K40" s="1356">
        <f>K66</f>
        <v>1.2</v>
      </c>
      <c r="L40" s="446"/>
      <c r="M40" s="1356">
        <f>M66</f>
        <v>1.2</v>
      </c>
      <c r="N40" s="446"/>
      <c r="O40" s="1356">
        <f>O66</f>
        <v>1.2</v>
      </c>
      <c r="P40" s="446"/>
      <c r="Q40" s="1356">
        <f>Q66</f>
        <v>1.2</v>
      </c>
      <c r="R40" s="446"/>
      <c r="S40" s="1356">
        <f>S66</f>
        <v>1.2</v>
      </c>
      <c r="T40" s="1"/>
      <c r="U40" s="16"/>
      <c r="V40" s="16"/>
    </row>
    <row r="41" ht="15.75" customHeight="1">
      <c r="A41" s="1293"/>
      <c r="B41" s="441"/>
      <c r="C41" s="1349">
        <v>3.0</v>
      </c>
      <c r="D41" s="446"/>
      <c r="E41" s="446"/>
      <c r="F41" s="441" t="s">
        <v>201</v>
      </c>
      <c r="G41" s="1356">
        <f>G72</f>
        <v>0.4</v>
      </c>
      <c r="H41" s="1296"/>
      <c r="I41" s="1356">
        <f>I72</f>
        <v>0.6</v>
      </c>
      <c r="J41" s="446"/>
      <c r="K41" s="1356">
        <f>K72</f>
        <v>0.6</v>
      </c>
      <c r="L41" s="446"/>
      <c r="M41" s="1356">
        <f>M72</f>
        <v>0.6</v>
      </c>
      <c r="N41" s="446"/>
      <c r="O41" s="1356">
        <f>O72</f>
        <v>0.6</v>
      </c>
      <c r="P41" s="446"/>
      <c r="Q41" s="1356">
        <f>Q72</f>
        <v>0.6</v>
      </c>
      <c r="R41" s="446"/>
      <c r="S41" s="1356">
        <f>S72</f>
        <v>0.5</v>
      </c>
      <c r="T41" s="1"/>
      <c r="U41" s="16"/>
      <c r="V41" s="16"/>
    </row>
    <row r="42" ht="6.0" customHeight="1">
      <c r="A42" s="1293"/>
      <c r="B42" s="441"/>
      <c r="C42" s="1358"/>
      <c r="D42" s="441"/>
      <c r="E42" s="1358"/>
      <c r="F42" s="1359"/>
      <c r="G42" s="1356"/>
      <c r="H42" s="1296"/>
      <c r="I42" s="1356"/>
      <c r="J42" s="446"/>
      <c r="K42" s="1356"/>
      <c r="L42" s="446"/>
      <c r="M42" s="1356"/>
      <c r="N42" s="446"/>
      <c r="O42" s="1356"/>
      <c r="P42" s="446"/>
      <c r="Q42" s="1356"/>
      <c r="R42" s="446"/>
      <c r="S42" s="1356"/>
      <c r="T42" s="1"/>
      <c r="U42" s="16"/>
      <c r="V42" s="16"/>
    </row>
    <row r="43" ht="15.75" customHeight="1">
      <c r="A43" s="1349"/>
      <c r="B43" s="1290"/>
      <c r="C43" s="1360" t="s">
        <v>823</v>
      </c>
      <c r="D43" s="147"/>
      <c r="E43" s="147"/>
      <c r="F43" s="592"/>
      <c r="G43" s="1361">
        <f>G39+G40+G41</f>
        <v>2.8</v>
      </c>
      <c r="H43" s="1362"/>
      <c r="I43" s="1361">
        <f>I39+I40+I41</f>
        <v>3</v>
      </c>
      <c r="J43" s="46"/>
      <c r="K43" s="1361">
        <f>K39+K40+K41</f>
        <v>3</v>
      </c>
      <c r="L43" s="46"/>
      <c r="M43" s="1361">
        <f>M39+M40+M41</f>
        <v>3</v>
      </c>
      <c r="N43" s="46"/>
      <c r="O43" s="1361">
        <f>O39+O40+O41</f>
        <v>3</v>
      </c>
      <c r="P43" s="46"/>
      <c r="Q43" s="1361">
        <f>Q39+Q40+Q41</f>
        <v>3</v>
      </c>
      <c r="R43" s="46"/>
      <c r="S43" s="1361">
        <f>S39+S40+S41</f>
        <v>2.9</v>
      </c>
      <c r="T43" s="1"/>
      <c r="U43" s="16"/>
      <c r="V43" s="16"/>
    </row>
    <row r="44" ht="15.0" customHeight="1">
      <c r="A44" s="1290"/>
      <c r="B44" s="1290"/>
      <c r="C44" s="37"/>
      <c r="D44" s="44"/>
      <c r="E44" s="44"/>
      <c r="F44" s="648"/>
      <c r="G44" s="1363"/>
      <c r="H44" s="1364"/>
      <c r="I44" s="1363"/>
      <c r="J44" s="1365"/>
      <c r="K44" s="1363"/>
      <c r="L44" s="46"/>
      <c r="M44" s="1363"/>
      <c r="N44" s="46"/>
      <c r="O44" s="1363"/>
      <c r="P44" s="46"/>
      <c r="Q44" s="1363"/>
      <c r="R44" s="46"/>
      <c r="S44" s="1363"/>
      <c r="T44" s="1"/>
      <c r="U44" s="16"/>
      <c r="V44" s="16"/>
    </row>
    <row r="45" ht="15.75" customHeight="1">
      <c r="A45" s="446"/>
      <c r="B45" s="446"/>
      <c r="C45" s="446"/>
      <c r="D45" s="446"/>
      <c r="E45" s="446"/>
      <c r="F45" s="446"/>
      <c r="G45" s="446"/>
      <c r="H45" s="1366"/>
      <c r="I45" s="446"/>
      <c r="J45" s="446"/>
      <c r="K45" s="446"/>
      <c r="L45" s="446"/>
      <c r="M45" s="446"/>
      <c r="N45" s="446"/>
      <c r="O45" s="446"/>
      <c r="P45" s="446"/>
      <c r="Q45" s="446"/>
      <c r="R45" s="446"/>
      <c r="S45" s="446"/>
      <c r="T45" s="1"/>
      <c r="U45" s="16"/>
      <c r="V45" s="16"/>
    </row>
    <row r="46" ht="15.75" customHeight="1">
      <c r="A46" s="1367"/>
      <c r="B46" s="1367"/>
      <c r="C46" s="1367" t="s">
        <v>825</v>
      </c>
      <c r="D46" s="1368"/>
      <c r="E46" s="1369"/>
      <c r="F46" s="1369"/>
      <c r="G46" s="1370" t="s">
        <v>826</v>
      </c>
      <c r="H46" s="1371"/>
      <c r="I46" s="1372"/>
      <c r="J46" s="1373"/>
      <c r="K46" s="446"/>
      <c r="L46" s="446"/>
      <c r="M46" s="446"/>
      <c r="N46" s="446"/>
      <c r="O46" s="446"/>
      <c r="P46" s="446"/>
      <c r="Q46" s="446"/>
      <c r="R46" s="446"/>
      <c r="S46" s="446"/>
      <c r="T46" s="1"/>
      <c r="U46" s="16"/>
      <c r="V46" s="16"/>
    </row>
    <row r="47" ht="15.75" customHeight="1">
      <c r="A47" s="1374"/>
      <c r="B47" s="1374"/>
      <c r="C47" s="1375" t="s">
        <v>827</v>
      </c>
      <c r="D47" s="35"/>
      <c r="E47" s="21"/>
      <c r="F47" s="1369"/>
      <c r="G47" s="1376" t="s">
        <v>828</v>
      </c>
      <c r="H47" s="1320"/>
      <c r="I47" s="1372"/>
      <c r="J47" s="1376"/>
      <c r="K47" s="446"/>
      <c r="L47" s="446"/>
      <c r="M47" s="446"/>
      <c r="N47" s="446"/>
      <c r="O47" s="446"/>
      <c r="P47" s="446"/>
      <c r="Q47" s="446"/>
      <c r="R47" s="446"/>
      <c r="S47" s="446"/>
      <c r="T47" s="1"/>
      <c r="U47" s="16"/>
      <c r="V47" s="16"/>
    </row>
    <row r="48" ht="15.75" customHeight="1">
      <c r="A48" s="1374"/>
      <c r="B48" s="1374"/>
      <c r="C48" s="1375" t="s">
        <v>829</v>
      </c>
      <c r="D48" s="35"/>
      <c r="E48" s="21"/>
      <c r="F48" s="1369"/>
      <c r="G48" s="1376" t="s">
        <v>830</v>
      </c>
      <c r="H48" s="1320"/>
      <c r="I48" s="1372"/>
      <c r="J48" s="1376"/>
      <c r="K48" s="446"/>
      <c r="L48" s="446"/>
      <c r="M48" s="446"/>
      <c r="N48" s="446"/>
      <c r="O48" s="446"/>
      <c r="P48" s="446"/>
      <c r="Q48" s="446"/>
      <c r="R48" s="446"/>
      <c r="S48" s="446"/>
      <c r="T48" s="1"/>
      <c r="U48" s="16"/>
      <c r="V48" s="16"/>
    </row>
    <row r="49" ht="15.75" customHeight="1">
      <c r="A49" s="1374"/>
      <c r="B49" s="1374"/>
      <c r="C49" s="1375" t="s">
        <v>831</v>
      </c>
      <c r="D49" s="35"/>
      <c r="E49" s="21"/>
      <c r="F49" s="1369"/>
      <c r="G49" s="1376" t="s">
        <v>832</v>
      </c>
      <c r="H49" s="1320"/>
      <c r="I49" s="1372"/>
      <c r="J49" s="1376"/>
      <c r="K49" s="446"/>
      <c r="L49" s="446"/>
      <c r="M49" s="446"/>
      <c r="N49" s="446"/>
      <c r="O49" s="446"/>
      <c r="P49" s="446"/>
      <c r="Q49" s="446"/>
      <c r="R49" s="446"/>
      <c r="S49" s="446"/>
      <c r="T49" s="16"/>
      <c r="U49" s="16"/>
      <c r="V49" s="16"/>
    </row>
    <row r="50" ht="15.75" customHeight="1">
      <c r="A50" s="1276"/>
      <c r="B50" s="1276"/>
      <c r="C50" s="1276"/>
      <c r="D50" s="1276"/>
      <c r="E50" s="1276"/>
      <c r="F50" s="1276"/>
      <c r="G50" s="1276"/>
      <c r="H50" s="1277"/>
      <c r="I50" s="1274"/>
      <c r="J50" s="1274"/>
      <c r="K50" s="1274"/>
      <c r="L50" s="1"/>
      <c r="M50" s="1"/>
      <c r="N50" s="1"/>
      <c r="O50" s="1"/>
      <c r="P50" s="1"/>
      <c r="Q50" s="1"/>
      <c r="R50" s="1"/>
      <c r="S50" s="1"/>
      <c r="T50" s="16"/>
      <c r="U50" s="16"/>
      <c r="V50" s="16"/>
    </row>
    <row r="51" ht="15.75" customHeight="1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ht="15.75" customHeight="1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ht="15.75" customHeight="1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ht="15.75" customHeight="1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ht="15.75" customHeight="1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ht="15.75" customHeight="1">
      <c r="A56" s="16"/>
      <c r="B56" s="16" t="s">
        <v>833</v>
      </c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  <row r="57" ht="15.75" customHeight="1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</row>
    <row r="58" ht="15.75" customHeight="1">
      <c r="A58" s="16"/>
      <c r="B58" s="16" t="s">
        <v>200</v>
      </c>
      <c r="C58" s="16"/>
      <c r="D58" s="16"/>
      <c r="E58" s="16"/>
      <c r="F58" s="16"/>
      <c r="G58" s="1378">
        <f>G21</f>
        <v>0.55</v>
      </c>
      <c r="H58" s="1378"/>
      <c r="I58" s="1378">
        <f>I21</f>
        <v>0.79</v>
      </c>
      <c r="J58" s="1378"/>
      <c r="K58" s="1378">
        <f>K21</f>
        <v>0.92</v>
      </c>
      <c r="L58" s="1378"/>
      <c r="M58" s="1378">
        <f>M21</f>
        <v>1.11</v>
      </c>
      <c r="N58" s="1378"/>
      <c r="O58" s="1378">
        <f>O21</f>
        <v>1.26</v>
      </c>
      <c r="P58" s="1378"/>
      <c r="Q58" s="1378">
        <f>Q21</f>
        <v>1.41</v>
      </c>
      <c r="R58" s="1378"/>
      <c r="S58" s="1378">
        <f>S21</f>
        <v>1.51</v>
      </c>
      <c r="T58" s="16"/>
      <c r="U58" s="16"/>
      <c r="V58" s="16"/>
    </row>
    <row r="59" ht="15.75" customHeight="1">
      <c r="A59" s="16"/>
      <c r="B59" s="16" t="s">
        <v>834</v>
      </c>
      <c r="C59" s="16"/>
      <c r="D59" s="16"/>
      <c r="E59" s="16"/>
      <c r="F59" s="16"/>
      <c r="G59" s="1378">
        <f>IF((G58*10)&gt;3,3,IF((G58*10)&lt;-1,-1,(G58*10)))</f>
        <v>3</v>
      </c>
      <c r="H59" s="1378"/>
      <c r="I59" s="1378">
        <f>IF((I58*10)&gt;3,3,IF((I58*10)&lt;-1,-1,(I58*10)))</f>
        <v>3</v>
      </c>
      <c r="J59" s="1378"/>
      <c r="K59" s="1378">
        <f>IF((K58*10)&gt;3,3,IF((K58*10)&lt;-1,-1,(K58*10)))</f>
        <v>3</v>
      </c>
      <c r="L59" s="1378"/>
      <c r="M59" s="1378">
        <f>IF((M58*10)&gt;3,3,IF((M58*10)&lt;-1,-1,(M58*10)))</f>
        <v>3</v>
      </c>
      <c r="N59" s="1378"/>
      <c r="O59" s="1378">
        <f>IF((O58*10)&gt;3,3,IF((O58*10)&lt;-1,-1,(O58*10)))</f>
        <v>3</v>
      </c>
      <c r="P59" s="1378"/>
      <c r="Q59" s="1378">
        <f>IF((Q58*10)&gt;3,3,IF((Q58*10)&lt;-1,-1,(Q58*10)))</f>
        <v>3</v>
      </c>
      <c r="R59" s="1378"/>
      <c r="S59" s="1378">
        <f>IF((S58*10)&gt;3,3,IF((S58*10)&lt;-1,-1,(S58*10)))</f>
        <v>3</v>
      </c>
      <c r="T59" s="16"/>
      <c r="U59" s="16"/>
      <c r="V59" s="16"/>
    </row>
    <row r="60" ht="15.75" customHeight="1">
      <c r="A60" s="16"/>
      <c r="B60" s="16" t="s">
        <v>836</v>
      </c>
      <c r="C60" s="16"/>
      <c r="D60" s="16"/>
      <c r="E60" s="16"/>
      <c r="F60" s="16"/>
      <c r="G60" s="1378">
        <v>0.4</v>
      </c>
      <c r="H60" s="1378"/>
      <c r="I60" s="1378">
        <v>0.4</v>
      </c>
      <c r="J60" s="1378"/>
      <c r="K60" s="1378">
        <v>0.4</v>
      </c>
      <c r="L60" s="1378"/>
      <c r="M60" s="1378">
        <v>0.4</v>
      </c>
      <c r="N60" s="1378"/>
      <c r="O60" s="1378">
        <v>0.4</v>
      </c>
      <c r="P60" s="1378"/>
      <c r="Q60" s="1378">
        <v>0.4</v>
      </c>
      <c r="R60" s="1378"/>
      <c r="S60" s="1378">
        <v>0.4</v>
      </c>
      <c r="T60" s="16"/>
      <c r="U60" s="16"/>
      <c r="V60" s="16"/>
    </row>
    <row r="61" ht="15.75" customHeight="1">
      <c r="A61" s="16"/>
      <c r="B61" s="16" t="s">
        <v>837</v>
      </c>
      <c r="C61" s="16"/>
      <c r="D61" s="16"/>
      <c r="E61" s="16"/>
      <c r="F61" s="16"/>
      <c r="G61" s="1382">
        <f>G59*G60</f>
        <v>1.2</v>
      </c>
      <c r="H61" s="1382"/>
      <c r="I61" s="1382">
        <f>I59*I60</f>
        <v>1.2</v>
      </c>
      <c r="J61" s="1382"/>
      <c r="K61" s="1382">
        <f>K59*K60</f>
        <v>1.2</v>
      </c>
      <c r="L61" s="1382"/>
      <c r="M61" s="1382">
        <f>M59*M60</f>
        <v>1.2</v>
      </c>
      <c r="N61" s="1382"/>
      <c r="O61" s="1382">
        <f>O59*O60</f>
        <v>1.2</v>
      </c>
      <c r="P61" s="1382"/>
      <c r="Q61" s="1382">
        <f>Q59*Q60</f>
        <v>1.2</v>
      </c>
      <c r="R61" s="1382"/>
      <c r="S61" s="1382">
        <f>S59*S60</f>
        <v>1.2</v>
      </c>
      <c r="T61" s="16"/>
      <c r="U61" s="16"/>
      <c r="V61" s="16"/>
    </row>
    <row r="62" ht="15.75" customHeight="1">
      <c r="A62" s="16"/>
      <c r="B62" s="16"/>
      <c r="C62" s="16"/>
      <c r="D62" s="16"/>
      <c r="E62" s="16"/>
      <c r="F62" s="16"/>
      <c r="G62" s="1378"/>
      <c r="H62" s="1378"/>
      <c r="I62" s="1378"/>
      <c r="J62" s="1378"/>
      <c r="K62" s="1378"/>
      <c r="L62" s="1378"/>
      <c r="M62" s="1378"/>
      <c r="N62" s="1378"/>
      <c r="O62" s="1378"/>
      <c r="P62" s="1378"/>
      <c r="Q62" s="1378"/>
      <c r="R62" s="1378"/>
      <c r="S62" s="1378"/>
      <c r="T62" s="16"/>
      <c r="U62" s="16"/>
      <c r="V62" s="16"/>
    </row>
    <row r="63" ht="15.75" customHeight="1">
      <c r="A63" s="16"/>
      <c r="B63" s="16" t="s">
        <v>821</v>
      </c>
      <c r="C63" s="16"/>
      <c r="D63" s="16"/>
      <c r="E63" s="16"/>
      <c r="F63" s="16"/>
      <c r="G63" s="1378">
        <f>G31</f>
        <v>0.8</v>
      </c>
      <c r="H63" s="1378"/>
      <c r="I63" s="1378">
        <f>I31</f>
        <v>0.79</v>
      </c>
      <c r="J63" s="1378"/>
      <c r="K63" s="1378">
        <f>K31</f>
        <v>0.81</v>
      </c>
      <c r="L63" s="1378"/>
      <c r="M63" s="1378">
        <f>M31</f>
        <v>0.83</v>
      </c>
      <c r="N63" s="1378"/>
      <c r="O63" s="1378">
        <f>O31</f>
        <v>0.84</v>
      </c>
      <c r="P63" s="1378"/>
      <c r="Q63" s="1378">
        <f>Q31</f>
        <v>0.85</v>
      </c>
      <c r="R63" s="1378"/>
      <c r="S63" s="1378">
        <f>S31</f>
        <v>0.86</v>
      </c>
      <c r="T63" s="16"/>
      <c r="U63" s="16"/>
      <c r="V63" s="16"/>
    </row>
    <row r="64" ht="15.75" customHeight="1">
      <c r="A64" s="16"/>
      <c r="B64" s="16" t="s">
        <v>834</v>
      </c>
      <c r="C64" s="16"/>
      <c r="D64" s="16"/>
      <c r="E64" s="16"/>
      <c r="F64" s="16"/>
      <c r="G64" s="1378">
        <f>IF((G63*6)&gt;3,3,IF((G63*6)&lt;-1,-1,(G63*6)))</f>
        <v>3</v>
      </c>
      <c r="H64" s="1378"/>
      <c r="I64" s="1378">
        <f>IF((I63*6)&gt;3,3,IF((I63*6)&lt;-1,-1,(I63*6)))</f>
        <v>3</v>
      </c>
      <c r="J64" s="1378"/>
      <c r="K64" s="1378">
        <f>IF((K63*6)&gt;3,3,IF((K63*6)&lt;-1,-1,(K63*6)))</f>
        <v>3</v>
      </c>
      <c r="L64" s="1378"/>
      <c r="M64" s="1378">
        <f>IF((M63*6)&gt;3,3,IF((M63*6)&lt;-1,-1,(M63*6)))</f>
        <v>3</v>
      </c>
      <c r="N64" s="1378"/>
      <c r="O64" s="1378">
        <f>IF((O63*6)&gt;3,3,IF((O63*6)&lt;-1,-1,(O63*6)))</f>
        <v>3</v>
      </c>
      <c r="P64" s="1378"/>
      <c r="Q64" s="1378">
        <f>IF((Q63*6)&gt;3,3,IF((Q63*6)&lt;-1,-1,(Q63*6)))</f>
        <v>3</v>
      </c>
      <c r="R64" s="1378"/>
      <c r="S64" s="1378">
        <f>IF((S63*6)&gt;3,3,IF((S63*6)&lt;-1,-1,(S63*6)))</f>
        <v>3</v>
      </c>
      <c r="T64" s="16"/>
      <c r="U64" s="16"/>
      <c r="V64" s="16"/>
    </row>
    <row r="65" ht="15.75" customHeight="1">
      <c r="A65" s="16"/>
      <c r="B65" s="16" t="s">
        <v>836</v>
      </c>
      <c r="C65" s="16"/>
      <c r="D65" s="16"/>
      <c r="E65" s="16"/>
      <c r="F65" s="16"/>
      <c r="G65" s="1378">
        <v>0.4</v>
      </c>
      <c r="H65" s="1378"/>
      <c r="I65" s="1378">
        <v>0.4</v>
      </c>
      <c r="J65" s="1378"/>
      <c r="K65" s="1378">
        <v>0.4</v>
      </c>
      <c r="L65" s="1378"/>
      <c r="M65" s="1378">
        <v>0.4</v>
      </c>
      <c r="N65" s="1378"/>
      <c r="O65" s="1378">
        <v>0.4</v>
      </c>
      <c r="P65" s="1378"/>
      <c r="Q65" s="1378">
        <v>0.4</v>
      </c>
      <c r="R65" s="1378"/>
      <c r="S65" s="1378">
        <v>0.4</v>
      </c>
      <c r="T65" s="16"/>
      <c r="U65" s="16"/>
      <c r="V65" s="16"/>
    </row>
    <row r="66" ht="15.75" customHeight="1">
      <c r="A66" s="16"/>
      <c r="B66" s="16" t="s">
        <v>837</v>
      </c>
      <c r="C66" s="16"/>
      <c r="D66" s="16"/>
      <c r="E66" s="16"/>
      <c r="F66" s="16"/>
      <c r="G66" s="1382">
        <f>G64*G65</f>
        <v>1.2</v>
      </c>
      <c r="H66" s="1382"/>
      <c r="I66" s="1382">
        <f>I64*I65</f>
        <v>1.2</v>
      </c>
      <c r="J66" s="1382"/>
      <c r="K66" s="1382">
        <f>K64*K65</f>
        <v>1.2</v>
      </c>
      <c r="L66" s="1382"/>
      <c r="M66" s="1382">
        <f>M64*M65</f>
        <v>1.2</v>
      </c>
      <c r="N66" s="1382"/>
      <c r="O66" s="1382">
        <f>O64*O65</f>
        <v>1.2</v>
      </c>
      <c r="P66" s="1382"/>
      <c r="Q66" s="1382">
        <f>Q64*Q65</f>
        <v>1.2</v>
      </c>
      <c r="R66" s="1382"/>
      <c r="S66" s="1382">
        <f>S64*S65</f>
        <v>1.2</v>
      </c>
      <c r="T66" s="16"/>
      <c r="U66" s="16"/>
      <c r="V66" s="16"/>
    </row>
    <row r="67" ht="15.75" customHeight="1">
      <c r="A67" s="16"/>
      <c r="B67" s="16"/>
      <c r="C67" s="16"/>
      <c r="D67" s="16"/>
      <c r="E67" s="16"/>
      <c r="F67" s="16"/>
      <c r="G67" s="1378"/>
      <c r="H67" s="1378"/>
      <c r="I67" s="1378"/>
      <c r="J67" s="1378"/>
      <c r="K67" s="1378"/>
      <c r="L67" s="1378"/>
      <c r="M67" s="1378"/>
      <c r="N67" s="1378"/>
      <c r="O67" s="1378"/>
      <c r="P67" s="1378"/>
      <c r="Q67" s="1378"/>
      <c r="R67" s="1378"/>
      <c r="S67" s="1378"/>
      <c r="T67" s="16"/>
      <c r="U67" s="16"/>
      <c r="V67" s="16"/>
    </row>
    <row r="68" ht="15.75" customHeight="1">
      <c r="A68" s="16"/>
      <c r="B68" s="16" t="s">
        <v>201</v>
      </c>
      <c r="C68" s="16"/>
      <c r="D68" s="16"/>
      <c r="E68" s="16"/>
      <c r="F68" s="16"/>
      <c r="G68" s="1378">
        <f>G35</f>
        <v>0.02</v>
      </c>
      <c r="H68" s="1378"/>
      <c r="I68" s="1378">
        <f>I35</f>
        <v>0.13</v>
      </c>
      <c r="J68" s="1378"/>
      <c r="K68" s="1378">
        <f>K35</f>
        <v>0.11</v>
      </c>
      <c r="L68" s="1378"/>
      <c r="M68" s="1378">
        <f>M35</f>
        <v>0.07</v>
      </c>
      <c r="N68" s="1378"/>
      <c r="O68" s="1378">
        <f>O35</f>
        <v>0.05</v>
      </c>
      <c r="P68" s="1378"/>
      <c r="Q68" s="1378">
        <f>Q35</f>
        <v>0.04</v>
      </c>
      <c r="R68" s="1378"/>
      <c r="S68" s="1378">
        <f>S35</f>
        <v>0.03</v>
      </c>
      <c r="T68" s="16"/>
      <c r="U68" s="16"/>
      <c r="V68" s="16"/>
    </row>
    <row r="69" ht="15.75" customHeight="1">
      <c r="A69" s="16"/>
      <c r="B69" s="16" t="s">
        <v>840</v>
      </c>
      <c r="C69" s="16"/>
      <c r="D69" s="16"/>
      <c r="E69" s="16"/>
      <c r="F69" s="16"/>
      <c r="G69" s="1378">
        <f>IF(G68=0,1,IF(G68&lt;0,(G68*25)+1,(G68*50)+1))</f>
        <v>2</v>
      </c>
      <c r="H69" s="1378"/>
      <c r="I69" s="1378">
        <f>IF(I68=0,1,IF(I68&lt;0,(I68*25)+1,(I68*50)+1))</f>
        <v>7.5</v>
      </c>
      <c r="J69" s="1378"/>
      <c r="K69" s="1378">
        <f>IF(K68=0,1,IF(K68&lt;0,(K68*25)+1,(K68*50)+1))</f>
        <v>6.5</v>
      </c>
      <c r="L69" s="1378"/>
      <c r="M69" s="1378">
        <f>IF(M68=0,1,IF(M68&lt;0,(M68*25)+1,(M68*50)+1))</f>
        <v>4.5</v>
      </c>
      <c r="N69" s="1378"/>
      <c r="O69" s="1378">
        <f>IF(O68=0,1,IF(O68&lt;0,(O68*25)+1,(O68*50)+1))</f>
        <v>3.5</v>
      </c>
      <c r="P69" s="1378"/>
      <c r="Q69" s="1378">
        <f>IF(Q68=0,1,IF(Q68&lt;0,(Q68*25)+1,(Q68*50)+1))</f>
        <v>3</v>
      </c>
      <c r="R69" s="1378"/>
      <c r="S69" s="1378">
        <f>IF(S68=0,1,IF(S68&lt;0,(S68*25)+1,(S68*50)+1))</f>
        <v>2.5</v>
      </c>
      <c r="T69" s="16"/>
      <c r="U69" s="16"/>
      <c r="V69" s="16"/>
    </row>
    <row r="70" ht="15.75" customHeight="1">
      <c r="A70" s="16"/>
      <c r="B70" s="16" t="s">
        <v>834</v>
      </c>
      <c r="C70" s="16"/>
      <c r="D70" s="16"/>
      <c r="E70" s="16"/>
      <c r="F70" s="16"/>
      <c r="G70" s="1378">
        <f>IF(G69&gt;3,3,IF(G69&lt;-1,-1,G69))</f>
        <v>2</v>
      </c>
      <c r="H70" s="1378"/>
      <c r="I70" s="1378">
        <f>IF(I69&gt;3,3,IF(I69&lt;-1,-1,I69))</f>
        <v>3</v>
      </c>
      <c r="J70" s="1378"/>
      <c r="K70" s="1378">
        <f>IF(K69&gt;3,3,IF(K69&lt;-1,-1,K69))</f>
        <v>3</v>
      </c>
      <c r="L70" s="1378"/>
      <c r="M70" s="1378">
        <f>IF(M69&gt;3,3,IF(M69&lt;-1,-1,M69))</f>
        <v>3</v>
      </c>
      <c r="N70" s="1378"/>
      <c r="O70" s="1378">
        <f>IF(O69&gt;3,3,IF(O69&lt;-1,-1,O69))</f>
        <v>3</v>
      </c>
      <c r="P70" s="1378"/>
      <c r="Q70" s="1378">
        <f>IF(Q69&gt;3,3,IF(Q69&lt;-1,-1,Q69))</f>
        <v>3</v>
      </c>
      <c r="R70" s="1378"/>
      <c r="S70" s="1378">
        <f>IF(S69&gt;3,3,IF(S69&lt;-1,-1,S69))</f>
        <v>2.5</v>
      </c>
      <c r="T70" s="16"/>
      <c r="U70" s="16"/>
      <c r="V70" s="16"/>
    </row>
    <row r="71" ht="15.75" customHeight="1">
      <c r="A71" s="16"/>
      <c r="B71" s="16" t="s">
        <v>836</v>
      </c>
      <c r="C71" s="16"/>
      <c r="D71" s="16"/>
      <c r="E71" s="16"/>
      <c r="F71" s="16"/>
      <c r="G71" s="1378">
        <v>0.2</v>
      </c>
      <c r="H71" s="1378"/>
      <c r="I71" s="1378">
        <v>0.2</v>
      </c>
      <c r="J71" s="1378"/>
      <c r="K71" s="1378">
        <v>0.2</v>
      </c>
      <c r="L71" s="1378"/>
      <c r="M71" s="1378">
        <v>0.2</v>
      </c>
      <c r="N71" s="1378"/>
      <c r="O71" s="1378">
        <v>0.2</v>
      </c>
      <c r="P71" s="1378"/>
      <c r="Q71" s="1378">
        <v>0.2</v>
      </c>
      <c r="R71" s="1378"/>
      <c r="S71" s="1378">
        <v>0.2</v>
      </c>
      <c r="T71" s="16"/>
      <c r="U71" s="16"/>
      <c r="V71" s="16"/>
    </row>
    <row r="72" ht="15.75" customHeight="1">
      <c r="A72" s="16"/>
      <c r="B72" s="16" t="s">
        <v>837</v>
      </c>
      <c r="C72" s="16"/>
      <c r="D72" s="16"/>
      <c r="E72" s="16"/>
      <c r="F72" s="16"/>
      <c r="G72" s="1382">
        <f>G70*G71</f>
        <v>0.4</v>
      </c>
      <c r="H72" s="1382"/>
      <c r="I72" s="1382">
        <f>I70*I71</f>
        <v>0.6</v>
      </c>
      <c r="J72" s="1382"/>
      <c r="K72" s="1382">
        <f>K70*K71</f>
        <v>0.6</v>
      </c>
      <c r="L72" s="1382"/>
      <c r="M72" s="1382">
        <f>M70*M71</f>
        <v>0.6</v>
      </c>
      <c r="N72" s="1382"/>
      <c r="O72" s="1382">
        <f>O70*O71</f>
        <v>0.6</v>
      </c>
      <c r="P72" s="1382"/>
      <c r="Q72" s="1382">
        <f>Q70*Q71</f>
        <v>0.6</v>
      </c>
      <c r="R72" s="1382"/>
      <c r="S72" s="1382">
        <f>S70*S71</f>
        <v>0.5</v>
      </c>
      <c r="T72" s="16"/>
      <c r="U72" s="16"/>
      <c r="V72" s="16"/>
    </row>
    <row r="73" ht="15.75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</row>
    <row r="74" ht="15.75" customHeight="1">
      <c r="A74" s="16"/>
      <c r="B74" s="16" t="s">
        <v>848</v>
      </c>
      <c r="C74" s="16"/>
      <c r="D74" s="16"/>
      <c r="E74" s="16"/>
      <c r="F74" s="16"/>
      <c r="G74" s="918">
        <f>G18</f>
        <v>26783294</v>
      </c>
      <c r="H74" s="918"/>
      <c r="I74" s="918">
        <f>I18</f>
        <v>32978858.82</v>
      </c>
      <c r="J74" s="918"/>
      <c r="K74" s="918">
        <f>K18</f>
        <v>32124125.16</v>
      </c>
      <c r="L74" s="918"/>
      <c r="M74" s="918">
        <f>M18</f>
        <v>31239413.82</v>
      </c>
      <c r="N74" s="918"/>
      <c r="O74" s="918">
        <f>O18</f>
        <v>30314206.24</v>
      </c>
      <c r="P74" s="918"/>
      <c r="Q74" s="918">
        <f>Q18</f>
        <v>29356950.17</v>
      </c>
      <c r="R74" s="918"/>
      <c r="S74" s="918">
        <f>S18</f>
        <v>27744057.45</v>
      </c>
      <c r="T74" s="16"/>
      <c r="U74" s="16"/>
      <c r="V74" s="16"/>
    </row>
    <row r="75" ht="15.75" customHeight="1">
      <c r="A75" s="16"/>
      <c r="B75" s="16" t="s">
        <v>851</v>
      </c>
      <c r="C75" s="16"/>
      <c r="D75" s="16"/>
      <c r="E75" s="16"/>
      <c r="F75" s="16"/>
      <c r="G75" s="918" t="str">
        <f>G17</f>
        <v/>
      </c>
      <c r="H75" s="918"/>
      <c r="I75" s="918" t="str">
        <f>I17</f>
        <v/>
      </c>
      <c r="J75" s="918"/>
      <c r="K75" s="918" t="str">
        <f>K17</f>
        <v/>
      </c>
      <c r="L75" s="918"/>
      <c r="M75" s="918" t="str">
        <f>M17</f>
        <v/>
      </c>
      <c r="N75" s="918"/>
      <c r="O75" s="918" t="str">
        <f>O17</f>
        <v/>
      </c>
      <c r="P75" s="918"/>
      <c r="Q75" s="918" t="str">
        <f>Q17</f>
        <v/>
      </c>
      <c r="R75" s="918"/>
      <c r="S75" s="918" t="str">
        <f>S17</f>
        <v/>
      </c>
      <c r="T75" s="16"/>
      <c r="U75" s="16"/>
      <c r="V75" s="16"/>
    </row>
    <row r="76" ht="15.75" customHeight="1">
      <c r="A76" s="16"/>
      <c r="B76" s="16" t="s">
        <v>853</v>
      </c>
      <c r="C76" s="16"/>
      <c r="D76" s="16"/>
      <c r="E76" s="16"/>
      <c r="F76" s="16"/>
      <c r="G76" s="918">
        <f>G74+G75</f>
        <v>26783294</v>
      </c>
      <c r="H76" s="918"/>
      <c r="I76" s="918">
        <f>I74+I75</f>
        <v>32978858.82</v>
      </c>
      <c r="J76" s="918"/>
      <c r="K76" s="918">
        <f>K74+K75</f>
        <v>32124125.16</v>
      </c>
      <c r="L76" s="918"/>
      <c r="M76" s="918">
        <f>M74+M75</f>
        <v>31239413.82</v>
      </c>
      <c r="N76" s="918"/>
      <c r="O76" s="918">
        <f>O74+O75</f>
        <v>30314206.24</v>
      </c>
      <c r="P76" s="918"/>
      <c r="Q76" s="918">
        <f>Q74+Q75</f>
        <v>29356950.17</v>
      </c>
      <c r="R76" s="918"/>
      <c r="S76" s="918">
        <f>S74+S75</f>
        <v>27744057.45</v>
      </c>
      <c r="T76" s="16"/>
      <c r="U76" s="16"/>
      <c r="V76" s="16"/>
    </row>
    <row r="77" ht="15.75" customHeight="1">
      <c r="A77" s="16"/>
      <c r="B77" s="16" t="s">
        <v>856</v>
      </c>
      <c r="C77" s="16"/>
      <c r="D77" s="16"/>
      <c r="E77" s="16"/>
      <c r="F77" s="16"/>
      <c r="G77" s="918">
        <f>G15</f>
        <v>-104402945</v>
      </c>
      <c r="H77" s="918"/>
      <c r="I77" s="918">
        <f>I15</f>
        <v>-107893309.2</v>
      </c>
      <c r="J77" s="918"/>
      <c r="K77" s="918">
        <f>K15</f>
        <v>-107175858.4</v>
      </c>
      <c r="L77" s="918"/>
      <c r="M77" s="918">
        <f>M15</f>
        <v>-102020542.4</v>
      </c>
      <c r="N77" s="918"/>
      <c r="O77" s="918">
        <f>O15</f>
        <v>-96031029.65</v>
      </c>
      <c r="P77" s="918"/>
      <c r="Q77" s="918">
        <f>Q15</f>
        <v>-90069486.22</v>
      </c>
      <c r="R77" s="918"/>
      <c r="S77" s="918">
        <f>S15</f>
        <v>-84133352.75</v>
      </c>
      <c r="T77" s="16"/>
      <c r="U77" s="16"/>
      <c r="V77" s="16"/>
    </row>
    <row r="78" ht="15.75" customHeight="1">
      <c r="A78" s="16"/>
      <c r="B78" s="16" t="s">
        <v>413</v>
      </c>
      <c r="C78" s="16"/>
      <c r="D78" s="16"/>
      <c r="E78" s="16"/>
      <c r="F78" s="16"/>
      <c r="G78" s="918">
        <f>G76+G77</f>
        <v>-77619651</v>
      </c>
      <c r="H78" s="918"/>
      <c r="I78" s="918">
        <f>I76+I77</f>
        <v>-74914450.41</v>
      </c>
      <c r="J78" s="918"/>
      <c r="K78" s="918">
        <f>K76+K77</f>
        <v>-75051733.28</v>
      </c>
      <c r="L78" s="918"/>
      <c r="M78" s="918">
        <f>M76+M77</f>
        <v>-70781128.63</v>
      </c>
      <c r="N78" s="918"/>
      <c r="O78" s="918">
        <f>O76+O77</f>
        <v>-65716823.41</v>
      </c>
      <c r="P78" s="918"/>
      <c r="Q78" s="918">
        <f>Q76+Q77</f>
        <v>-60712536.05</v>
      </c>
      <c r="R78" s="918"/>
      <c r="S78" s="918">
        <f>S76+S77</f>
        <v>-56389295.3</v>
      </c>
      <c r="T78" s="16"/>
      <c r="U78" s="16"/>
      <c r="V78" s="16"/>
    </row>
    <row r="79" ht="15.75" customHeight="1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ht="15.75" customHeight="1">
      <c r="A80" s="16"/>
      <c r="B80" s="16" t="s">
        <v>854</v>
      </c>
      <c r="C80" s="16"/>
      <c r="D80" s="16"/>
      <c r="E80" s="16"/>
      <c r="F80" s="16"/>
      <c r="G80" s="1418">
        <f>IF(G78&lt;0,SUM(G10:G18),SUM(G10:G18)-G78)</f>
        <v>34378871</v>
      </c>
      <c r="H80" s="16"/>
      <c r="I80" s="1418">
        <f>IF(I78&lt;0,SUM(I10:I18),SUM(I10:I18)-I78)</f>
        <v>51037568.21</v>
      </c>
      <c r="J80" s="16"/>
      <c r="K80" s="1418">
        <f>IF(K78&lt;0,SUM(K10:K18),SUM(K10:K18)-K78)</f>
        <v>63004361.09</v>
      </c>
      <c r="L80" s="16"/>
      <c r="M80" s="1418">
        <f>IF(M78&lt;0,SUM(M10:M18),SUM(M10:M18)-M78)</f>
        <v>77506059.16</v>
      </c>
      <c r="N80" s="16"/>
      <c r="O80" s="1418">
        <f>IF(O78&lt;0,SUM(O10:O18),SUM(O10:O18)-O78)</f>
        <v>91217853.76</v>
      </c>
      <c r="P80" s="16"/>
      <c r="Q80" s="1418">
        <f>IF(Q78&lt;0,SUM(Q10:Q18),SUM(Q10:Q18)-Q78)</f>
        <v>104711889.9</v>
      </c>
      <c r="R80" s="16"/>
      <c r="S80" s="1418">
        <f>IF(S78&lt;0,SUM(S10:S18),SUM(S10:S18)-S78)</f>
        <v>114651070.4</v>
      </c>
      <c r="T80" s="16"/>
      <c r="U80" s="16"/>
      <c r="V80" s="16"/>
    </row>
    <row r="81" ht="15.75" customHeight="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</row>
    <row r="82" ht="15.75" customHeight="1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ht="15.75" customHeight="1">
      <c r="A83" s="1424"/>
      <c r="B83" s="1424"/>
      <c r="C83" s="1424"/>
      <c r="D83" s="1424"/>
      <c r="E83" s="1424"/>
      <c r="F83" s="1424"/>
      <c r="G83" s="1424"/>
      <c r="H83" s="1425"/>
      <c r="I83" s="1426"/>
      <c r="J83" s="1426"/>
    </row>
    <row r="84" ht="15.75" customHeight="1">
      <c r="A84" s="1424"/>
      <c r="B84" s="1424"/>
      <c r="C84" s="1424"/>
      <c r="D84" s="1424"/>
      <c r="E84" s="1424"/>
      <c r="F84" s="1424"/>
      <c r="G84" s="1424"/>
      <c r="H84" s="1425"/>
      <c r="I84" s="1426"/>
      <c r="J84" s="1426"/>
    </row>
    <row r="85" ht="15.75" customHeight="1">
      <c r="A85" s="1424"/>
      <c r="B85" s="1424"/>
      <c r="C85" s="1424"/>
      <c r="D85" s="1424"/>
      <c r="E85" s="1424"/>
      <c r="F85" s="1424"/>
      <c r="G85" s="1424"/>
      <c r="H85" s="1425"/>
      <c r="I85" s="1426"/>
      <c r="J85" s="1426"/>
    </row>
    <row r="86" ht="15.75" customHeight="1">
      <c r="A86" s="1424"/>
      <c r="B86" s="1424"/>
      <c r="C86" s="1424"/>
      <c r="D86" s="1424"/>
      <c r="E86" s="1424"/>
      <c r="F86" s="1424"/>
      <c r="G86" s="1424"/>
      <c r="H86" s="1425"/>
      <c r="I86" s="1426"/>
      <c r="J86" s="1426"/>
    </row>
    <row r="87" ht="15.75" customHeight="1">
      <c r="A87" s="1424"/>
      <c r="B87" s="1424"/>
      <c r="C87" s="1424"/>
      <c r="D87" s="1424"/>
      <c r="E87" s="1424"/>
      <c r="F87" s="1424"/>
      <c r="G87" s="1424"/>
      <c r="H87" s="1425"/>
      <c r="I87" s="1426"/>
      <c r="J87" s="1426"/>
    </row>
    <row r="88" ht="15.75" customHeight="1">
      <c r="A88" s="1424"/>
      <c r="B88" s="1424"/>
      <c r="C88" s="1424"/>
      <c r="D88" s="1424"/>
      <c r="E88" s="1424"/>
      <c r="F88" s="1424"/>
      <c r="G88" s="1424"/>
      <c r="H88" s="1425"/>
      <c r="I88" s="1426"/>
      <c r="J88" s="1426"/>
    </row>
    <row r="89" ht="15.75" customHeight="1">
      <c r="A89" s="1424"/>
      <c r="B89" s="1424"/>
      <c r="C89" s="1424"/>
      <c r="D89" s="1424"/>
      <c r="E89" s="1424"/>
      <c r="F89" s="1424"/>
      <c r="G89" s="1424"/>
      <c r="H89" s="1425"/>
      <c r="I89" s="1426"/>
      <c r="J89" s="1426"/>
    </row>
    <row r="90" ht="15.75" customHeight="1">
      <c r="A90" s="1424"/>
      <c r="B90" s="1424"/>
      <c r="C90" s="1424"/>
      <c r="D90" s="1424"/>
      <c r="E90" s="1424"/>
      <c r="F90" s="1424"/>
      <c r="G90" s="1424"/>
      <c r="H90" s="1425"/>
      <c r="I90" s="1426"/>
      <c r="J90" s="1426"/>
    </row>
    <row r="91" ht="15.75" customHeight="1">
      <c r="A91" s="1424"/>
      <c r="B91" s="1424"/>
      <c r="C91" s="1424"/>
      <c r="D91" s="1424"/>
      <c r="E91" s="1424"/>
      <c r="F91" s="1424"/>
      <c r="G91" s="1424"/>
      <c r="H91" s="1425"/>
      <c r="I91" s="1426"/>
      <c r="J91" s="1426"/>
    </row>
    <row r="92" ht="15.75" customHeight="1">
      <c r="A92" s="1424"/>
      <c r="B92" s="1424"/>
      <c r="C92" s="1424"/>
      <c r="D92" s="1424"/>
      <c r="E92" s="1424"/>
      <c r="F92" s="1424"/>
      <c r="G92" s="1424"/>
      <c r="H92" s="1425"/>
      <c r="I92" s="1426"/>
      <c r="J92" s="1426"/>
    </row>
    <row r="93" ht="15.75" customHeight="1">
      <c r="A93" s="1424"/>
      <c r="B93" s="1424"/>
      <c r="C93" s="1424"/>
      <c r="D93" s="1424"/>
      <c r="E93" s="1424"/>
      <c r="F93" s="1424"/>
      <c r="G93" s="1424"/>
      <c r="H93" s="1425"/>
      <c r="I93" s="1426"/>
      <c r="J93" s="1426"/>
    </row>
    <row r="94" ht="15.75" customHeight="1">
      <c r="A94" s="1424"/>
      <c r="B94" s="1424"/>
      <c r="C94" s="1424"/>
      <c r="D94" s="1424"/>
      <c r="E94" s="1424"/>
      <c r="F94" s="1424"/>
      <c r="G94" s="1424"/>
      <c r="H94" s="1425"/>
      <c r="I94" s="1426"/>
      <c r="J94" s="1426"/>
    </row>
    <row r="95" ht="15.75" customHeight="1">
      <c r="A95" s="1424"/>
      <c r="B95" s="1424"/>
      <c r="C95" s="1424"/>
      <c r="D95" s="1424"/>
      <c r="E95" s="1424"/>
      <c r="F95" s="1424"/>
      <c r="G95" s="1424"/>
      <c r="H95" s="1425"/>
      <c r="I95" s="1426"/>
      <c r="J95" s="1426"/>
    </row>
    <row r="96" ht="15.75" customHeight="1">
      <c r="A96" s="1424"/>
      <c r="B96" s="1424"/>
      <c r="C96" s="1424"/>
      <c r="D96" s="1424"/>
      <c r="E96" s="1424"/>
      <c r="F96" s="1424"/>
      <c r="G96" s="1424"/>
      <c r="H96" s="1425"/>
      <c r="I96" s="1426"/>
      <c r="J96" s="1426"/>
    </row>
    <row r="97" ht="15.75" customHeight="1">
      <c r="A97" s="1424"/>
      <c r="B97" s="1424"/>
      <c r="C97" s="1424"/>
      <c r="D97" s="1424"/>
      <c r="E97" s="1424"/>
      <c r="F97" s="1424"/>
      <c r="G97" s="1424"/>
      <c r="H97" s="1425"/>
      <c r="I97" s="1426"/>
      <c r="J97" s="1426"/>
    </row>
    <row r="98" ht="15.75" customHeight="1">
      <c r="A98" s="1424"/>
      <c r="B98" s="1424"/>
      <c r="C98" s="1424"/>
      <c r="D98" s="1424"/>
      <c r="E98" s="1424"/>
      <c r="F98" s="1424"/>
      <c r="G98" s="1424"/>
      <c r="H98" s="1425"/>
      <c r="I98" s="1426"/>
      <c r="J98" s="1426"/>
    </row>
    <row r="99" ht="15.75" customHeight="1">
      <c r="A99" s="1424"/>
      <c r="B99" s="1424"/>
      <c r="C99" s="1424"/>
      <c r="D99" s="1424"/>
      <c r="E99" s="1424"/>
      <c r="F99" s="1424"/>
      <c r="G99" s="1424"/>
      <c r="H99" s="1425"/>
      <c r="I99" s="1426"/>
      <c r="J99" s="1426"/>
    </row>
    <row r="100" ht="15.75" customHeight="1">
      <c r="A100" s="1424"/>
      <c r="B100" s="1424"/>
      <c r="C100" s="1424"/>
      <c r="D100" s="1424"/>
      <c r="E100" s="1424"/>
      <c r="F100" s="1424"/>
      <c r="G100" s="1424"/>
      <c r="H100" s="1425"/>
      <c r="I100" s="1426"/>
      <c r="J100" s="1426"/>
    </row>
    <row r="101" ht="15.75" customHeight="1">
      <c r="A101" s="1424"/>
      <c r="B101" s="1424"/>
      <c r="C101" s="1424"/>
      <c r="D101" s="1424"/>
      <c r="E101" s="1424"/>
      <c r="F101" s="1424"/>
      <c r="G101" s="1424"/>
      <c r="H101" s="1425"/>
      <c r="I101" s="1426"/>
      <c r="J101" s="1426"/>
    </row>
    <row r="102" ht="15.75" customHeight="1">
      <c r="A102" s="1424"/>
      <c r="B102" s="1424"/>
      <c r="C102" s="1424"/>
      <c r="D102" s="1424"/>
      <c r="E102" s="1424"/>
      <c r="F102" s="1424"/>
      <c r="G102" s="1424"/>
      <c r="H102" s="1425"/>
      <c r="I102" s="1426"/>
      <c r="J102" s="1426"/>
    </row>
    <row r="103" ht="15.75" customHeight="1">
      <c r="A103" s="1424"/>
      <c r="B103" s="1424"/>
      <c r="C103" s="1424"/>
      <c r="D103" s="1424"/>
      <c r="E103" s="1424"/>
      <c r="F103" s="1424"/>
      <c r="G103" s="1424"/>
      <c r="H103" s="1425"/>
      <c r="I103" s="1426"/>
      <c r="J103" s="1426"/>
    </row>
    <row r="104" ht="15.75" customHeight="1">
      <c r="A104" s="1424"/>
      <c r="B104" s="1424"/>
      <c r="C104" s="1424"/>
      <c r="D104" s="1424"/>
      <c r="E104" s="1424"/>
      <c r="F104" s="1424"/>
      <c r="G104" s="1424"/>
      <c r="H104" s="1425"/>
      <c r="I104" s="1426"/>
      <c r="J104" s="1426"/>
    </row>
    <row r="105" ht="15.75" customHeight="1">
      <c r="A105" s="1424"/>
      <c r="B105" s="1424"/>
      <c r="C105" s="1424"/>
      <c r="D105" s="1424"/>
      <c r="E105" s="1424"/>
      <c r="F105" s="1424"/>
      <c r="G105" s="1424"/>
      <c r="H105" s="1425"/>
      <c r="I105" s="1426"/>
      <c r="J105" s="1426"/>
    </row>
    <row r="106" ht="15.75" customHeight="1">
      <c r="A106" s="1424"/>
      <c r="B106" s="1424"/>
      <c r="C106" s="1424"/>
      <c r="D106" s="1424"/>
      <c r="E106" s="1424"/>
      <c r="F106" s="1424"/>
      <c r="G106" s="1424"/>
      <c r="H106" s="1425"/>
      <c r="I106" s="1426"/>
      <c r="J106" s="1426"/>
    </row>
    <row r="107" ht="15.75" customHeight="1">
      <c r="A107" s="1424"/>
      <c r="B107" s="1424"/>
      <c r="C107" s="1424"/>
      <c r="D107" s="1424"/>
      <c r="E107" s="1424"/>
      <c r="F107" s="1424"/>
      <c r="G107" s="1424"/>
      <c r="H107" s="1425"/>
      <c r="I107" s="1426"/>
      <c r="J107" s="1426"/>
    </row>
    <row r="108" ht="15.75" customHeight="1">
      <c r="A108" s="1424"/>
      <c r="B108" s="1424"/>
      <c r="C108" s="1424"/>
      <c r="D108" s="1424"/>
      <c r="E108" s="1424"/>
      <c r="F108" s="1424"/>
      <c r="G108" s="1424"/>
      <c r="H108" s="1425"/>
      <c r="I108" s="1426"/>
      <c r="J108" s="1426"/>
    </row>
    <row r="109" ht="15.75" customHeight="1">
      <c r="A109" s="1424"/>
      <c r="B109" s="1424"/>
      <c r="C109" s="1424"/>
      <c r="D109" s="1424"/>
      <c r="E109" s="1424"/>
      <c r="F109" s="1424"/>
      <c r="G109" s="1424"/>
      <c r="H109" s="1425"/>
      <c r="I109" s="1426"/>
      <c r="J109" s="1426"/>
    </row>
    <row r="110" ht="15.75" customHeight="1">
      <c r="A110" s="1424"/>
      <c r="B110" s="1424"/>
      <c r="C110" s="1424"/>
      <c r="D110" s="1424"/>
      <c r="E110" s="1424"/>
      <c r="F110" s="1424"/>
      <c r="G110" s="1424"/>
      <c r="H110" s="1425"/>
      <c r="I110" s="1426"/>
      <c r="J110" s="1426"/>
    </row>
    <row r="111" ht="15.75" customHeight="1">
      <c r="A111" s="1424"/>
      <c r="B111" s="1424"/>
      <c r="C111" s="1424"/>
      <c r="D111" s="1424"/>
      <c r="E111" s="1424"/>
      <c r="F111" s="1424"/>
      <c r="G111" s="1424"/>
      <c r="H111" s="1425"/>
      <c r="I111" s="1426"/>
      <c r="J111" s="1426"/>
    </row>
    <row r="112" ht="15.75" customHeight="1">
      <c r="A112" s="1424"/>
      <c r="B112" s="1424"/>
      <c r="C112" s="1424"/>
      <c r="D112" s="1424"/>
      <c r="E112" s="1424"/>
      <c r="F112" s="1424"/>
      <c r="G112" s="1424"/>
      <c r="H112" s="1425"/>
      <c r="I112" s="1426"/>
      <c r="J112" s="1426"/>
    </row>
    <row r="113" ht="15.75" customHeight="1">
      <c r="A113" s="1424"/>
      <c r="B113" s="1424"/>
      <c r="C113" s="1424"/>
      <c r="D113" s="1424"/>
      <c r="E113" s="1424"/>
      <c r="F113" s="1424"/>
      <c r="G113" s="1424"/>
      <c r="H113" s="1425"/>
      <c r="I113" s="1426"/>
      <c r="J113" s="1426"/>
    </row>
    <row r="114" ht="15.75" customHeight="1">
      <c r="A114" s="1424"/>
      <c r="B114" s="1424"/>
      <c r="C114" s="1424"/>
      <c r="D114" s="1424"/>
      <c r="E114" s="1424"/>
      <c r="F114" s="1424"/>
      <c r="G114" s="1424"/>
      <c r="H114" s="1425"/>
      <c r="I114" s="1426"/>
      <c r="J114" s="1426"/>
    </row>
    <row r="115" ht="15.75" customHeight="1">
      <c r="A115" s="1424"/>
      <c r="B115" s="1424"/>
      <c r="C115" s="1424"/>
      <c r="D115" s="1424"/>
      <c r="E115" s="1424"/>
      <c r="F115" s="1424"/>
      <c r="G115" s="1424"/>
      <c r="H115" s="1425"/>
      <c r="I115" s="1426"/>
      <c r="J115" s="1426"/>
    </row>
    <row r="116" ht="15.75" customHeight="1">
      <c r="A116" s="1424"/>
      <c r="B116" s="1424"/>
      <c r="C116" s="1424"/>
      <c r="D116" s="1424"/>
      <c r="E116" s="1424"/>
      <c r="F116" s="1424"/>
      <c r="G116" s="1424"/>
      <c r="H116" s="1425"/>
      <c r="I116" s="1426"/>
      <c r="J116" s="1426"/>
    </row>
    <row r="117" ht="15.75" customHeight="1">
      <c r="A117" s="1424"/>
      <c r="B117" s="1424"/>
      <c r="C117" s="1424"/>
      <c r="D117" s="1424"/>
      <c r="E117" s="1424"/>
      <c r="F117" s="1424"/>
      <c r="G117" s="1424"/>
      <c r="H117" s="1425"/>
      <c r="I117" s="1426"/>
      <c r="J117" s="1426"/>
    </row>
    <row r="118" ht="15.75" customHeight="1">
      <c r="A118" s="1424"/>
      <c r="B118" s="1424"/>
      <c r="C118" s="1424"/>
      <c r="D118" s="1424"/>
      <c r="E118" s="1424"/>
      <c r="F118" s="1424"/>
      <c r="G118" s="1424"/>
      <c r="H118" s="1425"/>
      <c r="I118" s="1426"/>
      <c r="J118" s="1426"/>
    </row>
    <row r="119" ht="15.75" customHeight="1">
      <c r="A119" s="1424"/>
      <c r="B119" s="1424"/>
      <c r="C119" s="1424"/>
      <c r="D119" s="1424"/>
      <c r="E119" s="1424"/>
      <c r="F119" s="1424"/>
      <c r="G119" s="1424"/>
      <c r="H119" s="1425"/>
      <c r="I119" s="1426"/>
      <c r="J119" s="1426"/>
    </row>
    <row r="120" ht="15.75" customHeight="1">
      <c r="A120" s="1424"/>
      <c r="B120" s="1424"/>
      <c r="C120" s="1424"/>
      <c r="D120" s="1424"/>
      <c r="E120" s="1424"/>
      <c r="F120" s="1424"/>
      <c r="G120" s="1424"/>
      <c r="H120" s="1425"/>
      <c r="I120" s="1426"/>
      <c r="J120" s="1426"/>
    </row>
    <row r="121" ht="15.75" customHeight="1">
      <c r="A121" s="1424"/>
      <c r="B121" s="1424"/>
      <c r="C121" s="1424"/>
      <c r="D121" s="1424"/>
      <c r="E121" s="1424"/>
      <c r="F121" s="1424"/>
      <c r="G121" s="1424"/>
      <c r="H121" s="1425"/>
      <c r="I121" s="1426"/>
      <c r="J121" s="1426"/>
    </row>
    <row r="122" ht="15.75" customHeight="1">
      <c r="A122" s="1424"/>
      <c r="B122" s="1424"/>
      <c r="C122" s="1424"/>
      <c r="D122" s="1424"/>
      <c r="E122" s="1424"/>
      <c r="F122" s="1424"/>
      <c r="G122" s="1424"/>
      <c r="H122" s="1425"/>
      <c r="I122" s="1426"/>
      <c r="J122" s="1426"/>
    </row>
    <row r="123" ht="15.75" customHeight="1">
      <c r="A123" s="1424"/>
      <c r="B123" s="1424"/>
      <c r="C123" s="1424"/>
      <c r="D123" s="1424"/>
      <c r="E123" s="1424"/>
      <c r="F123" s="1424"/>
      <c r="G123" s="1424"/>
      <c r="H123" s="1425"/>
      <c r="I123" s="1426"/>
      <c r="J123" s="1426"/>
    </row>
    <row r="124" ht="15.75" customHeight="1">
      <c r="A124" s="1424"/>
      <c r="B124" s="1424"/>
      <c r="C124" s="1424"/>
      <c r="D124" s="1424"/>
      <c r="E124" s="1424"/>
      <c r="F124" s="1424"/>
      <c r="G124" s="1424"/>
      <c r="H124" s="1425"/>
      <c r="I124" s="1426"/>
      <c r="J124" s="1426"/>
    </row>
    <row r="125" ht="15.75" customHeight="1">
      <c r="A125" s="1424"/>
      <c r="B125" s="1424"/>
      <c r="C125" s="1424"/>
      <c r="D125" s="1424"/>
      <c r="E125" s="1424"/>
      <c r="F125" s="1424"/>
      <c r="G125" s="1424"/>
      <c r="H125" s="1425"/>
      <c r="I125" s="1426"/>
      <c r="J125" s="1426"/>
    </row>
    <row r="126" ht="15.75" customHeight="1">
      <c r="A126" s="1424"/>
      <c r="B126" s="1424"/>
      <c r="C126" s="1424"/>
      <c r="D126" s="1424"/>
      <c r="E126" s="1424"/>
      <c r="F126" s="1424"/>
      <c r="G126" s="1424"/>
      <c r="H126" s="1425"/>
      <c r="I126" s="1426"/>
      <c r="J126" s="1426"/>
    </row>
    <row r="127" ht="15.75" customHeight="1">
      <c r="A127" s="1424"/>
      <c r="B127" s="1424"/>
      <c r="C127" s="1424"/>
      <c r="D127" s="1424"/>
      <c r="E127" s="1424"/>
      <c r="F127" s="1424"/>
      <c r="G127" s="1424"/>
      <c r="H127" s="1425"/>
      <c r="I127" s="1426"/>
      <c r="J127" s="1426"/>
    </row>
    <row r="128" ht="15.75" customHeight="1">
      <c r="A128" s="1424"/>
      <c r="B128" s="1424"/>
      <c r="C128" s="1424"/>
      <c r="D128" s="1424"/>
      <c r="E128" s="1424"/>
      <c r="F128" s="1424"/>
      <c r="G128" s="1424"/>
      <c r="H128" s="1425"/>
      <c r="I128" s="1426"/>
      <c r="J128" s="1426"/>
    </row>
    <row r="129" ht="15.75" customHeight="1">
      <c r="A129" s="1424"/>
      <c r="B129" s="1424"/>
      <c r="C129" s="1424"/>
      <c r="D129" s="1424"/>
      <c r="E129" s="1424"/>
      <c r="F129" s="1424"/>
      <c r="G129" s="1424"/>
      <c r="H129" s="1425"/>
      <c r="I129" s="1426"/>
      <c r="J129" s="1426"/>
    </row>
    <row r="130" ht="15.75" customHeight="1">
      <c r="A130" s="1424"/>
      <c r="B130" s="1424"/>
      <c r="C130" s="1424"/>
      <c r="D130" s="1424"/>
      <c r="E130" s="1424"/>
      <c r="F130" s="1424"/>
      <c r="G130" s="1424"/>
      <c r="H130" s="1425"/>
      <c r="I130" s="1426"/>
      <c r="J130" s="1426"/>
    </row>
    <row r="131" ht="15.75" customHeight="1">
      <c r="A131" s="1424"/>
      <c r="B131" s="1424"/>
      <c r="C131" s="1424"/>
      <c r="D131" s="1424"/>
      <c r="E131" s="1424"/>
      <c r="F131" s="1424"/>
      <c r="G131" s="1424"/>
      <c r="H131" s="1425"/>
      <c r="I131" s="1426"/>
      <c r="J131" s="1426"/>
    </row>
    <row r="132" ht="15.75" customHeight="1">
      <c r="A132" s="1424"/>
      <c r="B132" s="1424"/>
      <c r="C132" s="1424"/>
      <c r="D132" s="1424"/>
      <c r="E132" s="1424"/>
      <c r="F132" s="1424"/>
      <c r="G132" s="1424"/>
      <c r="H132" s="1425"/>
      <c r="I132" s="1426"/>
      <c r="J132" s="1426"/>
    </row>
    <row r="133" ht="15.75" customHeight="1">
      <c r="A133" s="1424"/>
      <c r="B133" s="1424"/>
      <c r="C133" s="1424"/>
      <c r="D133" s="1424"/>
      <c r="E133" s="1424"/>
      <c r="F133" s="1424"/>
      <c r="G133" s="1424"/>
      <c r="H133" s="1425"/>
      <c r="I133" s="1426"/>
      <c r="J133" s="1426"/>
    </row>
    <row r="134" ht="15.75" customHeight="1">
      <c r="A134" s="1424"/>
      <c r="B134" s="1424"/>
      <c r="C134" s="1424"/>
      <c r="D134" s="1424"/>
      <c r="E134" s="1424"/>
      <c r="F134" s="1424"/>
      <c r="G134" s="1424"/>
      <c r="H134" s="1425"/>
      <c r="I134" s="1426"/>
      <c r="J134" s="1426"/>
    </row>
    <row r="135" ht="15.75" customHeight="1">
      <c r="A135" s="1424"/>
      <c r="B135" s="1424"/>
      <c r="C135" s="1424"/>
      <c r="D135" s="1424"/>
      <c r="E135" s="1424"/>
      <c r="F135" s="1424"/>
      <c r="G135" s="1424"/>
      <c r="H135" s="1425"/>
      <c r="I135" s="1426"/>
      <c r="J135" s="1426"/>
    </row>
    <row r="136" ht="15.75" customHeight="1">
      <c r="A136" s="1424"/>
      <c r="B136" s="1424"/>
      <c r="C136" s="1424"/>
      <c r="D136" s="1424"/>
      <c r="E136" s="1424"/>
      <c r="F136" s="1424"/>
      <c r="G136" s="1424"/>
      <c r="H136" s="1425"/>
      <c r="I136" s="1426"/>
      <c r="J136" s="1426"/>
    </row>
    <row r="137" ht="15.75" customHeight="1">
      <c r="A137" s="1424"/>
      <c r="B137" s="1424"/>
      <c r="C137" s="1424"/>
      <c r="D137" s="1424"/>
      <c r="E137" s="1424"/>
      <c r="F137" s="1424"/>
      <c r="G137" s="1424"/>
      <c r="H137" s="1425"/>
      <c r="I137" s="1426"/>
      <c r="J137" s="1426"/>
    </row>
    <row r="138" ht="15.75" customHeight="1">
      <c r="A138" s="1424"/>
      <c r="B138" s="1424"/>
      <c r="C138" s="1424"/>
      <c r="D138" s="1424"/>
      <c r="E138" s="1424"/>
      <c r="F138" s="1424"/>
      <c r="G138" s="1424"/>
      <c r="H138" s="1425"/>
      <c r="I138" s="1426"/>
      <c r="J138" s="1426"/>
    </row>
    <row r="139" ht="15.75" customHeight="1">
      <c r="A139" s="1424"/>
      <c r="B139" s="1424"/>
      <c r="C139" s="1424"/>
      <c r="D139" s="1424"/>
      <c r="E139" s="1424"/>
      <c r="F139" s="1424"/>
      <c r="G139" s="1424"/>
      <c r="H139" s="1425"/>
      <c r="I139" s="1426"/>
      <c r="J139" s="1426"/>
    </row>
    <row r="140" ht="15.75" customHeight="1">
      <c r="A140" s="1424"/>
      <c r="B140" s="1424"/>
      <c r="C140" s="1424"/>
      <c r="D140" s="1424"/>
      <c r="E140" s="1424"/>
      <c r="F140" s="1424"/>
      <c r="G140" s="1424"/>
      <c r="H140" s="1425"/>
      <c r="I140" s="1426"/>
      <c r="J140" s="1426"/>
    </row>
    <row r="141" ht="15.75" customHeight="1">
      <c r="A141" s="1424"/>
      <c r="B141" s="1424"/>
      <c r="C141" s="1424"/>
      <c r="D141" s="1424"/>
      <c r="E141" s="1424"/>
      <c r="F141" s="1424"/>
      <c r="G141" s="1424"/>
      <c r="H141" s="1425"/>
      <c r="I141" s="1426"/>
      <c r="J141" s="1426"/>
    </row>
    <row r="142" ht="15.75" customHeight="1">
      <c r="A142" s="1424"/>
      <c r="B142" s="1424"/>
      <c r="C142" s="1424"/>
      <c r="D142" s="1424"/>
      <c r="E142" s="1424"/>
      <c r="F142" s="1424"/>
      <c r="G142" s="1424"/>
      <c r="H142" s="1425"/>
      <c r="I142" s="1426"/>
      <c r="J142" s="1426"/>
    </row>
    <row r="143" ht="15.75" customHeight="1">
      <c r="A143" s="1424"/>
      <c r="B143" s="1424"/>
      <c r="C143" s="1424"/>
      <c r="D143" s="1424"/>
      <c r="E143" s="1424"/>
      <c r="F143" s="1424"/>
      <c r="G143" s="1424"/>
      <c r="H143" s="1425"/>
      <c r="I143" s="1426"/>
      <c r="J143" s="1426"/>
    </row>
    <row r="144" ht="15.75" customHeight="1">
      <c r="A144" s="1424"/>
      <c r="B144" s="1424"/>
      <c r="C144" s="1424"/>
      <c r="D144" s="1424"/>
      <c r="E144" s="1424"/>
      <c r="F144" s="1424"/>
      <c r="G144" s="1424"/>
      <c r="H144" s="1425"/>
      <c r="I144" s="1426"/>
      <c r="J144" s="1426"/>
    </row>
    <row r="145" ht="15.75" customHeight="1">
      <c r="A145" s="1424"/>
      <c r="B145" s="1424"/>
      <c r="C145" s="1424"/>
      <c r="D145" s="1424"/>
      <c r="E145" s="1424"/>
      <c r="F145" s="1424"/>
      <c r="G145" s="1424"/>
      <c r="H145" s="1425"/>
      <c r="I145" s="1426"/>
      <c r="J145" s="1426"/>
    </row>
    <row r="146" ht="15.75" customHeight="1">
      <c r="A146" s="1424"/>
      <c r="B146" s="1424"/>
      <c r="C146" s="1424"/>
      <c r="D146" s="1424"/>
      <c r="E146" s="1424"/>
      <c r="F146" s="1424"/>
      <c r="G146" s="1424"/>
      <c r="H146" s="1425"/>
      <c r="I146" s="1426"/>
      <c r="J146" s="1426"/>
    </row>
    <row r="147" ht="15.75" customHeight="1">
      <c r="A147" s="1424"/>
      <c r="B147" s="1424"/>
      <c r="C147" s="1424"/>
      <c r="D147" s="1424"/>
      <c r="E147" s="1424"/>
      <c r="F147" s="1424"/>
      <c r="G147" s="1424"/>
      <c r="H147" s="1425"/>
      <c r="I147" s="1426"/>
      <c r="J147" s="1426"/>
    </row>
    <row r="148" ht="15.75" customHeight="1">
      <c r="A148" s="1424"/>
      <c r="B148" s="1424"/>
      <c r="C148" s="1424"/>
      <c r="D148" s="1424"/>
      <c r="E148" s="1424"/>
      <c r="F148" s="1424"/>
      <c r="G148" s="1424"/>
      <c r="H148" s="1425"/>
      <c r="I148" s="1426"/>
      <c r="J148" s="1426"/>
    </row>
    <row r="149" ht="15.75" customHeight="1">
      <c r="A149" s="1424"/>
      <c r="B149" s="1424"/>
      <c r="C149" s="1424"/>
      <c r="D149" s="1424"/>
      <c r="E149" s="1424"/>
      <c r="F149" s="1424"/>
      <c r="G149" s="1424"/>
      <c r="H149" s="1425"/>
      <c r="I149" s="1426"/>
      <c r="J149" s="1426"/>
    </row>
    <row r="150" ht="15.75" customHeight="1">
      <c r="A150" s="1424"/>
      <c r="B150" s="1424"/>
      <c r="C150" s="1424"/>
      <c r="D150" s="1424"/>
      <c r="E150" s="1424"/>
      <c r="F150" s="1424"/>
      <c r="G150" s="1424"/>
      <c r="H150" s="1425"/>
      <c r="I150" s="1426"/>
      <c r="J150" s="1426"/>
    </row>
    <row r="151" ht="15.75" customHeight="1">
      <c r="A151" s="1424"/>
      <c r="B151" s="1424"/>
      <c r="C151" s="1424"/>
      <c r="D151" s="1424"/>
      <c r="E151" s="1424"/>
      <c r="F151" s="1424"/>
      <c r="G151" s="1424"/>
      <c r="H151" s="1425"/>
      <c r="I151" s="1426"/>
      <c r="J151" s="1426"/>
    </row>
    <row r="152" ht="15.75" customHeight="1">
      <c r="A152" s="1424"/>
      <c r="B152" s="1424"/>
      <c r="C152" s="1424"/>
      <c r="D152" s="1424"/>
      <c r="E152" s="1424"/>
      <c r="F152" s="1424"/>
      <c r="G152" s="1424"/>
      <c r="H152" s="1425"/>
      <c r="I152" s="1426"/>
      <c r="J152" s="1426"/>
    </row>
    <row r="153" ht="15.75" customHeight="1">
      <c r="A153" s="1424"/>
      <c r="B153" s="1424"/>
      <c r="C153" s="1424"/>
      <c r="D153" s="1424"/>
      <c r="E153" s="1424"/>
      <c r="F153" s="1424"/>
      <c r="G153" s="1424"/>
      <c r="H153" s="1425"/>
      <c r="I153" s="1426"/>
      <c r="J153" s="1426"/>
    </row>
    <row r="154" ht="15.75" customHeight="1">
      <c r="A154" s="1424"/>
      <c r="B154" s="1424"/>
      <c r="C154" s="1424"/>
      <c r="D154" s="1424"/>
      <c r="E154" s="1424"/>
      <c r="F154" s="1424"/>
      <c r="G154" s="1424"/>
      <c r="H154" s="1425"/>
      <c r="I154" s="1426"/>
      <c r="J154" s="1426"/>
    </row>
    <row r="155" ht="15.75" customHeight="1">
      <c r="A155" s="1424"/>
      <c r="B155" s="1424"/>
      <c r="C155" s="1424"/>
      <c r="D155" s="1424"/>
      <c r="E155" s="1424"/>
      <c r="F155" s="1424"/>
      <c r="G155" s="1424"/>
      <c r="H155" s="1425"/>
      <c r="I155" s="1426"/>
      <c r="J155" s="1426"/>
    </row>
    <row r="156" ht="15.75" customHeight="1">
      <c r="A156" s="1424"/>
      <c r="B156" s="1424"/>
      <c r="C156" s="1424"/>
      <c r="D156" s="1424"/>
      <c r="E156" s="1424"/>
      <c r="F156" s="1424"/>
      <c r="G156" s="1424"/>
      <c r="H156" s="1425"/>
      <c r="I156" s="1426"/>
      <c r="J156" s="1426"/>
    </row>
    <row r="157" ht="15.75" customHeight="1">
      <c r="A157" s="1424"/>
      <c r="B157" s="1424"/>
      <c r="C157" s="1424"/>
      <c r="D157" s="1424"/>
      <c r="E157" s="1424"/>
      <c r="F157" s="1424"/>
      <c r="G157" s="1424"/>
      <c r="H157" s="1425"/>
      <c r="I157" s="1426"/>
      <c r="J157" s="1426"/>
    </row>
    <row r="158" ht="15.75" customHeight="1">
      <c r="A158" s="1424"/>
      <c r="B158" s="1424"/>
      <c r="C158" s="1424"/>
      <c r="D158" s="1424"/>
      <c r="E158" s="1424"/>
      <c r="F158" s="1424"/>
      <c r="G158" s="1424"/>
      <c r="H158" s="1425"/>
      <c r="I158" s="1426"/>
      <c r="J158" s="1426"/>
    </row>
    <row r="159" ht="15.75" customHeight="1">
      <c r="A159" s="1424"/>
      <c r="B159" s="1424"/>
      <c r="C159" s="1424"/>
      <c r="D159" s="1424"/>
      <c r="E159" s="1424"/>
      <c r="F159" s="1424"/>
      <c r="G159" s="1424"/>
      <c r="H159" s="1425"/>
      <c r="I159" s="1426"/>
      <c r="J159" s="1426"/>
    </row>
    <row r="160" ht="15.75" customHeight="1">
      <c r="A160" s="1424"/>
      <c r="B160" s="1424"/>
      <c r="C160" s="1424"/>
      <c r="D160" s="1424"/>
      <c r="E160" s="1424"/>
      <c r="F160" s="1424"/>
      <c r="G160" s="1424"/>
      <c r="H160" s="1425"/>
      <c r="I160" s="1426"/>
      <c r="J160" s="1426"/>
    </row>
    <row r="161" ht="15.75" customHeight="1">
      <c r="A161" s="1424"/>
      <c r="B161" s="1424"/>
      <c r="C161" s="1424"/>
      <c r="D161" s="1424"/>
      <c r="E161" s="1424"/>
      <c r="F161" s="1424"/>
      <c r="G161" s="1424"/>
      <c r="H161" s="1425"/>
      <c r="I161" s="1426"/>
      <c r="J161" s="1426"/>
    </row>
    <row r="162" ht="15.75" customHeight="1">
      <c r="A162" s="1424"/>
      <c r="B162" s="1424"/>
      <c r="C162" s="1424"/>
      <c r="D162" s="1424"/>
      <c r="E162" s="1424"/>
      <c r="F162" s="1424"/>
      <c r="G162" s="1424"/>
      <c r="H162" s="1425"/>
      <c r="I162" s="1426"/>
      <c r="J162" s="1426"/>
    </row>
    <row r="163" ht="15.75" customHeight="1">
      <c r="A163" s="1424"/>
      <c r="B163" s="1424"/>
      <c r="C163" s="1424"/>
      <c r="D163" s="1424"/>
      <c r="E163" s="1424"/>
      <c r="F163" s="1424"/>
      <c r="G163" s="1424"/>
      <c r="H163" s="1425"/>
      <c r="I163" s="1426"/>
      <c r="J163" s="1426"/>
    </row>
    <row r="164" ht="15.75" customHeight="1">
      <c r="A164" s="1424"/>
      <c r="B164" s="1424"/>
      <c r="C164" s="1424"/>
      <c r="D164" s="1424"/>
      <c r="E164" s="1424"/>
      <c r="F164" s="1424"/>
      <c r="G164" s="1424"/>
      <c r="H164" s="1425"/>
      <c r="I164" s="1426"/>
      <c r="J164" s="1426"/>
    </row>
    <row r="165" ht="15.75" customHeight="1">
      <c r="A165" s="1424"/>
      <c r="B165" s="1424"/>
      <c r="C165" s="1424"/>
      <c r="D165" s="1424"/>
      <c r="E165" s="1424"/>
      <c r="F165" s="1424"/>
      <c r="G165" s="1424"/>
      <c r="H165" s="1425"/>
      <c r="I165" s="1426"/>
      <c r="J165" s="1426"/>
    </row>
    <row r="166" ht="15.75" customHeight="1">
      <c r="A166" s="1424"/>
      <c r="B166" s="1424"/>
      <c r="C166" s="1424"/>
      <c r="D166" s="1424"/>
      <c r="E166" s="1424"/>
      <c r="F166" s="1424"/>
      <c r="G166" s="1424"/>
      <c r="H166" s="1425"/>
      <c r="I166" s="1426"/>
      <c r="J166" s="1426"/>
    </row>
    <row r="167" ht="15.75" customHeight="1">
      <c r="A167" s="1424"/>
      <c r="B167" s="1424"/>
      <c r="C167" s="1424"/>
      <c r="D167" s="1424"/>
      <c r="E167" s="1424"/>
      <c r="F167" s="1424"/>
      <c r="G167" s="1424"/>
      <c r="H167" s="1425"/>
      <c r="I167" s="1426"/>
      <c r="J167" s="1426"/>
    </row>
    <row r="168" ht="15.75" customHeight="1">
      <c r="A168" s="1424"/>
      <c r="B168" s="1424"/>
      <c r="C168" s="1424"/>
      <c r="D168" s="1424"/>
      <c r="E168" s="1424"/>
      <c r="F168" s="1424"/>
      <c r="G168" s="1424"/>
      <c r="H168" s="1425"/>
      <c r="I168" s="1426"/>
      <c r="J168" s="1426"/>
    </row>
    <row r="169" ht="15.75" customHeight="1">
      <c r="A169" s="1424"/>
      <c r="B169" s="1424"/>
      <c r="C169" s="1424"/>
      <c r="D169" s="1424"/>
      <c r="E169" s="1424"/>
      <c r="F169" s="1424"/>
      <c r="G169" s="1424"/>
      <c r="H169" s="1425"/>
      <c r="I169" s="1426"/>
      <c r="J169" s="1426"/>
    </row>
    <row r="170" ht="15.75" customHeight="1">
      <c r="A170" s="1424"/>
      <c r="B170" s="1424"/>
      <c r="C170" s="1424"/>
      <c r="D170" s="1424"/>
      <c r="E170" s="1424"/>
      <c r="F170" s="1424"/>
      <c r="G170" s="1424"/>
      <c r="H170" s="1425"/>
      <c r="I170" s="1426"/>
      <c r="J170" s="1426"/>
    </row>
    <row r="171" ht="15.75" customHeight="1">
      <c r="A171" s="1424"/>
      <c r="B171" s="1424"/>
      <c r="C171" s="1424"/>
      <c r="D171" s="1424"/>
      <c r="E171" s="1424"/>
      <c r="F171" s="1424"/>
      <c r="G171" s="1424"/>
      <c r="H171" s="1425"/>
      <c r="I171" s="1426"/>
      <c r="J171" s="1426"/>
    </row>
    <row r="172" ht="15.75" customHeight="1">
      <c r="A172" s="1424"/>
      <c r="B172" s="1424"/>
      <c r="C172" s="1424"/>
      <c r="D172" s="1424"/>
      <c r="E172" s="1424"/>
      <c r="F172" s="1424"/>
      <c r="G172" s="1424"/>
      <c r="H172" s="1425"/>
      <c r="I172" s="1426"/>
      <c r="J172" s="1426"/>
    </row>
    <row r="173" ht="15.75" customHeight="1">
      <c r="A173" s="1424"/>
      <c r="B173" s="1424"/>
      <c r="C173" s="1424"/>
      <c r="D173" s="1424"/>
      <c r="E173" s="1424"/>
      <c r="F173" s="1424"/>
      <c r="G173" s="1424"/>
      <c r="H173" s="1425"/>
      <c r="I173" s="1426"/>
      <c r="J173" s="1426"/>
    </row>
    <row r="174" ht="15.75" customHeight="1">
      <c r="A174" s="1424"/>
      <c r="B174" s="1424"/>
      <c r="C174" s="1424"/>
      <c r="D174" s="1424"/>
      <c r="E174" s="1424"/>
      <c r="F174" s="1424"/>
      <c r="G174" s="1424"/>
      <c r="H174" s="1425"/>
      <c r="I174" s="1426"/>
      <c r="J174" s="1426"/>
    </row>
    <row r="175" ht="15.75" customHeight="1">
      <c r="A175" s="1424"/>
      <c r="B175" s="1424"/>
      <c r="C175" s="1424"/>
      <c r="D175" s="1424"/>
      <c r="E175" s="1424"/>
      <c r="F175" s="1424"/>
      <c r="G175" s="1424"/>
      <c r="H175" s="1425"/>
      <c r="I175" s="1426"/>
      <c r="J175" s="1426"/>
    </row>
    <row r="176" ht="15.75" customHeight="1">
      <c r="A176" s="1424"/>
      <c r="B176" s="1424"/>
      <c r="C176" s="1424"/>
      <c r="D176" s="1424"/>
      <c r="E176" s="1424"/>
      <c r="F176" s="1424"/>
      <c r="G176" s="1424"/>
      <c r="H176" s="1425"/>
      <c r="I176" s="1426"/>
      <c r="J176" s="1426"/>
    </row>
    <row r="177" ht="15.75" customHeight="1">
      <c r="A177" s="1424"/>
      <c r="B177" s="1424"/>
      <c r="C177" s="1424"/>
      <c r="D177" s="1424"/>
      <c r="E177" s="1424"/>
      <c r="F177" s="1424"/>
      <c r="G177" s="1424"/>
      <c r="H177" s="1425"/>
      <c r="I177" s="1426"/>
      <c r="J177" s="1426"/>
    </row>
    <row r="178" ht="15.75" customHeight="1">
      <c r="A178" s="1424"/>
      <c r="B178" s="1424"/>
      <c r="C178" s="1424"/>
      <c r="D178" s="1424"/>
      <c r="E178" s="1424"/>
      <c r="F178" s="1424"/>
      <c r="G178" s="1424"/>
      <c r="H178" s="1425"/>
      <c r="I178" s="1426"/>
      <c r="J178" s="1426"/>
    </row>
    <row r="179" ht="15.75" customHeight="1">
      <c r="A179" s="1424"/>
      <c r="B179" s="1424"/>
      <c r="C179" s="1424"/>
      <c r="D179" s="1424"/>
      <c r="E179" s="1424"/>
      <c r="F179" s="1424"/>
      <c r="G179" s="1424"/>
      <c r="H179" s="1425"/>
      <c r="I179" s="1426"/>
      <c r="J179" s="1426"/>
    </row>
    <row r="180" ht="15.75" customHeight="1">
      <c r="A180" s="1424"/>
      <c r="B180" s="1424"/>
      <c r="C180" s="1424"/>
      <c r="D180" s="1424"/>
      <c r="E180" s="1424"/>
      <c r="F180" s="1424"/>
      <c r="G180" s="1424"/>
      <c r="H180" s="1425"/>
      <c r="I180" s="1426"/>
      <c r="J180" s="1426"/>
    </row>
    <row r="181" ht="15.75" customHeight="1">
      <c r="A181" s="1424"/>
      <c r="B181" s="1424"/>
      <c r="C181" s="1424"/>
      <c r="D181" s="1424"/>
      <c r="E181" s="1424"/>
      <c r="F181" s="1424"/>
      <c r="G181" s="1424"/>
      <c r="H181" s="1425"/>
      <c r="I181" s="1426"/>
      <c r="J181" s="1426"/>
    </row>
    <row r="182" ht="15.75" customHeight="1">
      <c r="A182" s="1424"/>
      <c r="B182" s="1424"/>
      <c r="C182" s="1424"/>
      <c r="D182" s="1424"/>
      <c r="E182" s="1424"/>
      <c r="F182" s="1424"/>
      <c r="G182" s="1424"/>
      <c r="H182" s="1425"/>
      <c r="I182" s="1426"/>
      <c r="J182" s="1426"/>
    </row>
    <row r="183" ht="15.75" customHeight="1">
      <c r="A183" s="1424"/>
      <c r="B183" s="1424"/>
      <c r="C183" s="1424"/>
      <c r="D183" s="1424"/>
      <c r="E183" s="1424"/>
      <c r="F183" s="1424"/>
      <c r="G183" s="1424"/>
      <c r="H183" s="1425"/>
      <c r="I183" s="1426"/>
      <c r="J183" s="1426"/>
    </row>
    <row r="184" ht="15.75" customHeight="1">
      <c r="A184" s="1424"/>
      <c r="B184" s="1424"/>
      <c r="C184" s="1424"/>
      <c r="D184" s="1424"/>
      <c r="E184" s="1424"/>
      <c r="F184" s="1424"/>
      <c r="G184" s="1424"/>
      <c r="H184" s="1425"/>
      <c r="I184" s="1426"/>
      <c r="J184" s="1426"/>
    </row>
    <row r="185" ht="15.75" customHeight="1">
      <c r="A185" s="1424"/>
      <c r="B185" s="1424"/>
      <c r="C185" s="1424"/>
      <c r="D185" s="1424"/>
      <c r="E185" s="1424"/>
      <c r="F185" s="1424"/>
      <c r="G185" s="1424"/>
      <c r="H185" s="1425"/>
      <c r="I185" s="1426"/>
      <c r="J185" s="1426"/>
    </row>
    <row r="186" ht="15.75" customHeight="1">
      <c r="A186" s="1424"/>
      <c r="B186" s="1424"/>
      <c r="C186" s="1424"/>
      <c r="D186" s="1424"/>
      <c r="E186" s="1424"/>
      <c r="F186" s="1424"/>
      <c r="G186" s="1424"/>
      <c r="H186" s="1425"/>
      <c r="I186" s="1426"/>
      <c r="J186" s="1426"/>
    </row>
    <row r="187" ht="15.75" customHeight="1">
      <c r="A187" s="1424"/>
      <c r="B187" s="1424"/>
      <c r="C187" s="1424"/>
      <c r="D187" s="1424"/>
      <c r="E187" s="1424"/>
      <c r="F187" s="1424"/>
      <c r="G187" s="1424"/>
      <c r="H187" s="1425"/>
      <c r="I187" s="1426"/>
      <c r="J187" s="1426"/>
    </row>
    <row r="188" ht="15.75" customHeight="1">
      <c r="A188" s="1424"/>
      <c r="B188" s="1424"/>
      <c r="C188" s="1424"/>
      <c r="D188" s="1424"/>
      <c r="E188" s="1424"/>
      <c r="F188" s="1424"/>
      <c r="G188" s="1424"/>
      <c r="H188" s="1425"/>
      <c r="I188" s="1426"/>
      <c r="J188" s="1426"/>
    </row>
    <row r="189" ht="15.75" customHeight="1">
      <c r="A189" s="1424"/>
      <c r="B189" s="1424"/>
      <c r="C189" s="1424"/>
      <c r="D189" s="1424"/>
      <c r="E189" s="1424"/>
      <c r="F189" s="1424"/>
      <c r="G189" s="1424"/>
      <c r="H189" s="1425"/>
      <c r="I189" s="1426"/>
      <c r="J189" s="1426"/>
    </row>
    <row r="190" ht="15.75" customHeight="1">
      <c r="A190" s="1424"/>
      <c r="B190" s="1424"/>
      <c r="C190" s="1424"/>
      <c r="D190" s="1424"/>
      <c r="E190" s="1424"/>
      <c r="F190" s="1424"/>
      <c r="G190" s="1424"/>
      <c r="H190" s="1425"/>
      <c r="I190" s="1426"/>
      <c r="J190" s="1426"/>
    </row>
    <row r="191" ht="15.75" customHeight="1">
      <c r="A191" s="1424"/>
      <c r="B191" s="1424"/>
      <c r="C191" s="1424"/>
      <c r="D191" s="1424"/>
      <c r="E191" s="1424"/>
      <c r="F191" s="1424"/>
      <c r="G191" s="1424"/>
      <c r="H191" s="1425"/>
      <c r="I191" s="1426"/>
      <c r="J191" s="1426"/>
    </row>
    <row r="192" ht="15.75" customHeight="1">
      <c r="A192" s="1424"/>
      <c r="B192" s="1424"/>
      <c r="C192" s="1424"/>
      <c r="D192" s="1424"/>
      <c r="E192" s="1424"/>
      <c r="F192" s="1424"/>
      <c r="G192" s="1424"/>
      <c r="H192" s="1425"/>
      <c r="I192" s="1426"/>
      <c r="J192" s="1426"/>
    </row>
    <row r="193" ht="15.75" customHeight="1">
      <c r="A193" s="1424"/>
      <c r="B193" s="1424"/>
      <c r="C193" s="1424"/>
      <c r="D193" s="1424"/>
      <c r="E193" s="1424"/>
      <c r="F193" s="1424"/>
      <c r="G193" s="1424"/>
      <c r="H193" s="1425"/>
      <c r="I193" s="1426"/>
      <c r="J193" s="1426"/>
    </row>
    <row r="194" ht="15.75" customHeight="1">
      <c r="A194" s="1424"/>
      <c r="B194" s="1424"/>
      <c r="C194" s="1424"/>
      <c r="D194" s="1424"/>
      <c r="E194" s="1424"/>
      <c r="F194" s="1424"/>
      <c r="G194" s="1424"/>
      <c r="H194" s="1425"/>
      <c r="I194" s="1426"/>
      <c r="J194" s="1426"/>
    </row>
    <row r="195" ht="15.75" customHeight="1">
      <c r="A195" s="1424"/>
      <c r="B195" s="1424"/>
      <c r="C195" s="1424"/>
      <c r="D195" s="1424"/>
      <c r="E195" s="1424"/>
      <c r="F195" s="1424"/>
      <c r="G195" s="1424"/>
      <c r="H195" s="1425"/>
      <c r="I195" s="1426"/>
      <c r="J195" s="1426"/>
    </row>
    <row r="196" ht="15.75" customHeight="1">
      <c r="A196" s="1424"/>
      <c r="B196" s="1424"/>
      <c r="C196" s="1424"/>
      <c r="D196" s="1424"/>
      <c r="E196" s="1424"/>
      <c r="F196" s="1424"/>
      <c r="G196" s="1424"/>
      <c r="H196" s="1425"/>
      <c r="I196" s="1426"/>
      <c r="J196" s="1426"/>
    </row>
    <row r="197" ht="15.75" customHeight="1">
      <c r="A197" s="1424"/>
      <c r="B197" s="1424"/>
      <c r="C197" s="1424"/>
      <c r="D197" s="1424"/>
      <c r="E197" s="1424"/>
      <c r="F197" s="1424"/>
      <c r="G197" s="1424"/>
      <c r="H197" s="1425"/>
      <c r="I197" s="1426"/>
      <c r="J197" s="1426"/>
    </row>
    <row r="198" ht="15.75" customHeight="1">
      <c r="A198" s="1424"/>
      <c r="B198" s="1424"/>
      <c r="C198" s="1424"/>
      <c r="D198" s="1424"/>
      <c r="E198" s="1424"/>
      <c r="F198" s="1424"/>
      <c r="G198" s="1424"/>
      <c r="H198" s="1425"/>
      <c r="I198" s="1426"/>
      <c r="J198" s="1426"/>
    </row>
    <row r="199" ht="15.75" customHeight="1">
      <c r="A199" s="1424"/>
      <c r="B199" s="1424"/>
      <c r="C199" s="1424"/>
      <c r="D199" s="1424"/>
      <c r="E199" s="1424"/>
      <c r="F199" s="1424"/>
      <c r="G199" s="1424"/>
      <c r="H199" s="1425"/>
      <c r="I199" s="1426"/>
      <c r="J199" s="1426"/>
    </row>
    <row r="200" ht="15.75" customHeight="1">
      <c r="A200" s="1424"/>
      <c r="B200" s="1424"/>
      <c r="C200" s="1424"/>
      <c r="D200" s="1424"/>
      <c r="E200" s="1424"/>
      <c r="F200" s="1424"/>
      <c r="G200" s="1424"/>
      <c r="H200" s="1425"/>
      <c r="I200" s="1426"/>
      <c r="J200" s="1426"/>
    </row>
    <row r="201" ht="15.75" customHeight="1">
      <c r="A201" s="1424"/>
      <c r="B201" s="1424"/>
      <c r="C201" s="1424"/>
      <c r="D201" s="1424"/>
      <c r="E201" s="1424"/>
      <c r="F201" s="1424"/>
      <c r="G201" s="1424"/>
      <c r="H201" s="1425"/>
      <c r="I201" s="1426"/>
      <c r="J201" s="1426"/>
    </row>
    <row r="202" ht="15.75" customHeight="1">
      <c r="A202" s="1424"/>
      <c r="B202" s="1424"/>
      <c r="C202" s="1424"/>
      <c r="D202" s="1424"/>
      <c r="E202" s="1424"/>
      <c r="F202" s="1424"/>
      <c r="G202" s="1424"/>
      <c r="H202" s="1425"/>
      <c r="I202" s="1426"/>
      <c r="J202" s="1426"/>
    </row>
    <row r="203" ht="15.75" customHeight="1">
      <c r="A203" s="1424"/>
      <c r="B203" s="1424"/>
      <c r="C203" s="1424"/>
      <c r="D203" s="1424"/>
      <c r="E203" s="1424"/>
      <c r="F203" s="1424"/>
      <c r="G203" s="1424"/>
      <c r="H203" s="1425"/>
      <c r="I203" s="1426"/>
      <c r="J203" s="1426"/>
    </row>
    <row r="204" ht="15.75" customHeight="1">
      <c r="A204" s="1424"/>
      <c r="B204" s="1424"/>
      <c r="C204" s="1424"/>
      <c r="D204" s="1424"/>
      <c r="E204" s="1424"/>
      <c r="F204" s="1424"/>
      <c r="G204" s="1424"/>
      <c r="H204" s="1425"/>
      <c r="I204" s="1426"/>
      <c r="J204" s="1426"/>
    </row>
    <row r="205" ht="15.75" customHeight="1">
      <c r="A205" s="1424"/>
      <c r="B205" s="1424"/>
      <c r="C205" s="1424"/>
      <c r="D205" s="1424"/>
      <c r="E205" s="1424"/>
      <c r="F205" s="1424"/>
      <c r="G205" s="1424"/>
      <c r="H205" s="1425"/>
      <c r="I205" s="1426"/>
      <c r="J205" s="1426"/>
    </row>
    <row r="206" ht="15.75" customHeight="1">
      <c r="A206" s="1424"/>
      <c r="B206" s="1424"/>
      <c r="C206" s="1424"/>
      <c r="D206" s="1424"/>
      <c r="E206" s="1424"/>
      <c r="F206" s="1424"/>
      <c r="G206" s="1424"/>
      <c r="H206" s="1425"/>
      <c r="I206" s="1426"/>
      <c r="J206" s="1426"/>
    </row>
    <row r="207" ht="15.75" customHeight="1">
      <c r="A207" s="1424"/>
      <c r="B207" s="1424"/>
      <c r="C207" s="1424"/>
      <c r="D207" s="1424"/>
      <c r="E207" s="1424"/>
      <c r="F207" s="1424"/>
      <c r="G207" s="1424"/>
      <c r="H207" s="1425"/>
      <c r="I207" s="1426"/>
      <c r="J207" s="1426"/>
    </row>
    <row r="208" ht="15.75" customHeight="1">
      <c r="A208" s="1424"/>
      <c r="B208" s="1424"/>
      <c r="C208" s="1424"/>
      <c r="D208" s="1424"/>
      <c r="E208" s="1424"/>
      <c r="F208" s="1424"/>
      <c r="G208" s="1424"/>
      <c r="H208" s="1425"/>
      <c r="I208" s="1426"/>
      <c r="J208" s="1426"/>
    </row>
    <row r="209" ht="15.75" customHeight="1">
      <c r="A209" s="1424"/>
      <c r="B209" s="1424"/>
      <c r="C209" s="1424"/>
      <c r="D209" s="1424"/>
      <c r="E209" s="1424"/>
      <c r="F209" s="1424"/>
      <c r="G209" s="1424"/>
      <c r="H209" s="1425"/>
      <c r="I209" s="1426"/>
      <c r="J209" s="1426"/>
    </row>
    <row r="210" ht="15.75" customHeight="1">
      <c r="A210" s="1424"/>
      <c r="B210" s="1424"/>
      <c r="C210" s="1424"/>
      <c r="D210" s="1424"/>
      <c r="E210" s="1424"/>
      <c r="F210" s="1424"/>
      <c r="G210" s="1424"/>
      <c r="H210" s="1425"/>
      <c r="I210" s="1426"/>
      <c r="J210" s="1426"/>
    </row>
    <row r="211" ht="15.75" customHeight="1">
      <c r="A211" s="1424"/>
      <c r="B211" s="1424"/>
      <c r="C211" s="1424"/>
      <c r="D211" s="1424"/>
      <c r="E211" s="1424"/>
      <c r="F211" s="1424"/>
      <c r="G211" s="1424"/>
      <c r="H211" s="1425"/>
      <c r="I211" s="1426"/>
      <c r="J211" s="1426"/>
    </row>
    <row r="212" ht="15.75" customHeight="1">
      <c r="A212" s="1424"/>
      <c r="B212" s="1424"/>
      <c r="C212" s="1424"/>
      <c r="D212" s="1424"/>
      <c r="E212" s="1424"/>
      <c r="F212" s="1424"/>
      <c r="G212" s="1424"/>
      <c r="H212" s="1425"/>
      <c r="I212" s="1426"/>
      <c r="J212" s="1426"/>
    </row>
    <row r="213" ht="15.75" customHeight="1">
      <c r="A213" s="1424"/>
      <c r="B213" s="1424"/>
      <c r="C213" s="1424"/>
      <c r="D213" s="1424"/>
      <c r="E213" s="1424"/>
      <c r="F213" s="1424"/>
      <c r="G213" s="1424"/>
      <c r="H213" s="1425"/>
      <c r="I213" s="1426"/>
      <c r="J213" s="1426"/>
    </row>
    <row r="214" ht="15.75" customHeight="1">
      <c r="A214" s="1424"/>
      <c r="B214" s="1424"/>
      <c r="C214" s="1424"/>
      <c r="D214" s="1424"/>
      <c r="E214" s="1424"/>
      <c r="F214" s="1424"/>
      <c r="G214" s="1424"/>
      <c r="H214" s="1425"/>
      <c r="I214" s="1426"/>
      <c r="J214" s="1426"/>
    </row>
    <row r="215" ht="15.75" customHeight="1">
      <c r="A215" s="1424"/>
      <c r="B215" s="1424"/>
      <c r="C215" s="1424"/>
      <c r="D215" s="1424"/>
      <c r="E215" s="1424"/>
      <c r="F215" s="1424"/>
      <c r="G215" s="1424"/>
      <c r="H215" s="1425"/>
      <c r="I215" s="1426"/>
      <c r="J215" s="1426"/>
    </row>
    <row r="216" ht="15.75" customHeight="1">
      <c r="A216" s="1424"/>
      <c r="B216" s="1424"/>
      <c r="C216" s="1424"/>
      <c r="D216" s="1424"/>
      <c r="E216" s="1424"/>
      <c r="F216" s="1424"/>
      <c r="G216" s="1424"/>
      <c r="H216" s="1425"/>
      <c r="I216" s="1426"/>
      <c r="J216" s="1426"/>
    </row>
    <row r="217" ht="15.75" customHeight="1">
      <c r="A217" s="1424"/>
      <c r="B217" s="1424"/>
      <c r="C217" s="1424"/>
      <c r="D217" s="1424"/>
      <c r="E217" s="1424"/>
      <c r="F217" s="1424"/>
      <c r="G217" s="1424"/>
      <c r="H217" s="1425"/>
      <c r="I217" s="1426"/>
      <c r="J217" s="1426"/>
    </row>
    <row r="218" ht="15.75" customHeight="1">
      <c r="A218" s="1424"/>
      <c r="B218" s="1424"/>
      <c r="C218" s="1424"/>
      <c r="D218" s="1424"/>
      <c r="E218" s="1424"/>
      <c r="F218" s="1424"/>
      <c r="G218" s="1424"/>
      <c r="H218" s="1425"/>
      <c r="I218" s="1426"/>
      <c r="J218" s="1426"/>
    </row>
    <row r="219" ht="15.75" customHeight="1">
      <c r="A219" s="1424"/>
      <c r="B219" s="1424"/>
      <c r="C219" s="1424"/>
      <c r="D219" s="1424"/>
      <c r="E219" s="1424"/>
      <c r="F219" s="1424"/>
      <c r="G219" s="1424"/>
      <c r="H219" s="1425"/>
      <c r="I219" s="1426"/>
      <c r="J219" s="1426"/>
    </row>
    <row r="220" ht="15.75" customHeight="1">
      <c r="A220" s="1424"/>
      <c r="B220" s="1424"/>
      <c r="C220" s="1424"/>
      <c r="D220" s="1424"/>
      <c r="E220" s="1424"/>
      <c r="F220" s="1424"/>
      <c r="G220" s="1424"/>
      <c r="H220" s="1425"/>
      <c r="I220" s="1426"/>
      <c r="J220" s="1426"/>
    </row>
    <row r="221" ht="15.75" customHeight="1">
      <c r="A221" s="1424"/>
      <c r="B221" s="1424"/>
      <c r="C221" s="1424"/>
      <c r="D221" s="1424"/>
      <c r="E221" s="1424"/>
      <c r="F221" s="1424"/>
      <c r="G221" s="1424"/>
      <c r="H221" s="1425"/>
      <c r="I221" s="1426"/>
      <c r="J221" s="1426"/>
    </row>
    <row r="222" ht="15.75" customHeight="1">
      <c r="A222" s="1424"/>
      <c r="B222" s="1424"/>
      <c r="C222" s="1424"/>
      <c r="D222" s="1424"/>
      <c r="E222" s="1424"/>
      <c r="F222" s="1424"/>
      <c r="G222" s="1424"/>
      <c r="H222" s="1425"/>
      <c r="I222" s="1426"/>
      <c r="J222" s="1426"/>
    </row>
    <row r="223" ht="15.75" customHeight="1">
      <c r="A223" s="1424"/>
      <c r="B223" s="1424"/>
      <c r="C223" s="1424"/>
      <c r="D223" s="1424"/>
      <c r="E223" s="1424"/>
      <c r="F223" s="1424"/>
      <c r="G223" s="1424"/>
      <c r="H223" s="1425"/>
      <c r="I223" s="1426"/>
      <c r="J223" s="1426"/>
    </row>
    <row r="224" ht="15.75" customHeight="1">
      <c r="A224" s="1424"/>
      <c r="B224" s="1424"/>
      <c r="C224" s="1424"/>
      <c r="D224" s="1424"/>
      <c r="E224" s="1424"/>
      <c r="F224" s="1424"/>
      <c r="G224" s="1424"/>
      <c r="H224" s="1425"/>
      <c r="I224" s="1426"/>
      <c r="J224" s="1426"/>
    </row>
    <row r="225" ht="15.75" customHeight="1">
      <c r="A225" s="1424"/>
      <c r="B225" s="1424"/>
      <c r="C225" s="1424"/>
      <c r="D225" s="1424"/>
      <c r="E225" s="1424"/>
      <c r="F225" s="1424"/>
      <c r="G225" s="1424"/>
      <c r="H225" s="1425"/>
      <c r="I225" s="1426"/>
      <c r="J225" s="1426"/>
    </row>
    <row r="226" ht="15.75" customHeight="1">
      <c r="A226" s="1424"/>
      <c r="B226" s="1424"/>
      <c r="C226" s="1424"/>
      <c r="D226" s="1424"/>
      <c r="E226" s="1424"/>
      <c r="F226" s="1424"/>
      <c r="G226" s="1424"/>
      <c r="H226" s="1425"/>
      <c r="I226" s="1426"/>
      <c r="J226" s="1426"/>
    </row>
    <row r="227" ht="15.75" customHeight="1">
      <c r="A227" s="1424"/>
      <c r="B227" s="1424"/>
      <c r="C227" s="1424"/>
      <c r="D227" s="1424"/>
      <c r="E227" s="1424"/>
      <c r="F227" s="1424"/>
      <c r="G227" s="1424"/>
      <c r="H227" s="1425"/>
      <c r="I227" s="1426"/>
      <c r="J227" s="1426"/>
    </row>
    <row r="228" ht="15.75" customHeight="1">
      <c r="A228" s="1424"/>
      <c r="B228" s="1424"/>
      <c r="C228" s="1424"/>
      <c r="D228" s="1424"/>
      <c r="E228" s="1424"/>
      <c r="F228" s="1424"/>
      <c r="G228" s="1424"/>
      <c r="H228" s="1425"/>
      <c r="I228" s="1426"/>
      <c r="J228" s="1426"/>
    </row>
    <row r="229" ht="15.75" customHeight="1">
      <c r="A229" s="1424"/>
      <c r="B229" s="1424"/>
      <c r="C229" s="1424"/>
      <c r="D229" s="1424"/>
      <c r="E229" s="1424"/>
      <c r="F229" s="1424"/>
      <c r="G229" s="1424"/>
      <c r="H229" s="1425"/>
      <c r="I229" s="1426"/>
      <c r="J229" s="1426"/>
    </row>
    <row r="230" ht="15.75" customHeight="1">
      <c r="A230" s="1424"/>
      <c r="B230" s="1424"/>
      <c r="C230" s="1424"/>
      <c r="D230" s="1424"/>
      <c r="E230" s="1424"/>
      <c r="F230" s="1424"/>
      <c r="G230" s="1424"/>
      <c r="H230" s="1425"/>
      <c r="I230" s="1426"/>
      <c r="J230" s="1426"/>
    </row>
    <row r="231" ht="15.75" customHeight="1">
      <c r="A231" s="1424"/>
      <c r="B231" s="1424"/>
      <c r="C231" s="1424"/>
      <c r="D231" s="1424"/>
      <c r="E231" s="1424"/>
      <c r="F231" s="1424"/>
      <c r="G231" s="1424"/>
      <c r="H231" s="1425"/>
      <c r="I231" s="1426"/>
      <c r="J231" s="1426"/>
    </row>
    <row r="232" ht="15.75" customHeight="1">
      <c r="A232" s="1424"/>
      <c r="B232" s="1424"/>
      <c r="C232" s="1424"/>
      <c r="D232" s="1424"/>
      <c r="E232" s="1424"/>
      <c r="F232" s="1424"/>
      <c r="G232" s="1424"/>
      <c r="H232" s="1425"/>
      <c r="I232" s="1426"/>
      <c r="J232" s="1426"/>
    </row>
    <row r="233" ht="15.75" customHeight="1">
      <c r="A233" s="1424"/>
      <c r="B233" s="1424"/>
      <c r="C233" s="1424"/>
      <c r="D233" s="1424"/>
      <c r="E233" s="1424"/>
      <c r="F233" s="1424"/>
      <c r="G233" s="1424"/>
      <c r="H233" s="1425"/>
      <c r="I233" s="1426"/>
      <c r="J233" s="1426"/>
    </row>
    <row r="234" ht="15.75" customHeight="1">
      <c r="A234" s="1424"/>
      <c r="B234" s="1424"/>
      <c r="C234" s="1424"/>
      <c r="D234" s="1424"/>
      <c r="E234" s="1424"/>
      <c r="F234" s="1424"/>
      <c r="G234" s="1424"/>
      <c r="H234" s="1425"/>
      <c r="I234" s="1426"/>
      <c r="J234" s="1426"/>
    </row>
    <row r="235" ht="15.75" customHeight="1">
      <c r="A235" s="1424"/>
      <c r="B235" s="1424"/>
      <c r="C235" s="1424"/>
      <c r="D235" s="1424"/>
      <c r="E235" s="1424"/>
      <c r="F235" s="1424"/>
      <c r="G235" s="1424"/>
      <c r="H235" s="1425"/>
      <c r="I235" s="1426"/>
      <c r="J235" s="1426"/>
    </row>
    <row r="236" ht="15.75" customHeight="1">
      <c r="A236" s="1424"/>
      <c r="B236" s="1424"/>
      <c r="C236" s="1424"/>
      <c r="D236" s="1424"/>
      <c r="E236" s="1424"/>
      <c r="F236" s="1424"/>
      <c r="G236" s="1424"/>
      <c r="H236" s="1425"/>
      <c r="I236" s="1426"/>
      <c r="J236" s="1426"/>
    </row>
    <row r="237" ht="15.75" customHeight="1">
      <c r="A237" s="1424"/>
      <c r="B237" s="1424"/>
      <c r="C237" s="1424"/>
      <c r="D237" s="1424"/>
      <c r="E237" s="1424"/>
      <c r="F237" s="1424"/>
      <c r="G237" s="1424"/>
      <c r="H237" s="1425"/>
      <c r="I237" s="1426"/>
      <c r="J237" s="1426"/>
    </row>
    <row r="238" ht="15.75" customHeight="1">
      <c r="A238" s="1424"/>
      <c r="B238" s="1424"/>
      <c r="C238" s="1424"/>
      <c r="D238" s="1424"/>
      <c r="E238" s="1424"/>
      <c r="F238" s="1424"/>
      <c r="G238" s="1424"/>
      <c r="H238" s="1425"/>
      <c r="I238" s="1426"/>
      <c r="J238" s="1426"/>
    </row>
    <row r="239" ht="15.75" customHeight="1">
      <c r="A239" s="1424"/>
      <c r="B239" s="1424"/>
      <c r="C239" s="1424"/>
      <c r="D239" s="1424"/>
      <c r="E239" s="1424"/>
      <c r="F239" s="1424"/>
      <c r="G239" s="1424"/>
      <c r="H239" s="1425"/>
      <c r="I239" s="1426"/>
      <c r="J239" s="1426"/>
    </row>
    <row r="240" ht="15.75" customHeight="1">
      <c r="A240" s="1424"/>
      <c r="B240" s="1424"/>
      <c r="C240" s="1424"/>
      <c r="D240" s="1424"/>
      <c r="E240" s="1424"/>
      <c r="F240" s="1424"/>
      <c r="G240" s="1424"/>
      <c r="H240" s="1425"/>
      <c r="I240" s="1426"/>
      <c r="J240" s="1426"/>
    </row>
    <row r="241" ht="15.75" customHeight="1">
      <c r="A241" s="1424"/>
      <c r="B241" s="1424"/>
      <c r="C241" s="1424"/>
      <c r="D241" s="1424"/>
      <c r="E241" s="1424"/>
      <c r="F241" s="1424"/>
      <c r="G241" s="1424"/>
      <c r="H241" s="1425"/>
      <c r="I241" s="1426"/>
      <c r="J241" s="1426"/>
    </row>
    <row r="242" ht="15.75" customHeight="1">
      <c r="A242" s="1424"/>
      <c r="B242" s="1424"/>
      <c r="C242" s="1424"/>
      <c r="D242" s="1424"/>
      <c r="E242" s="1424"/>
      <c r="F242" s="1424"/>
      <c r="G242" s="1424"/>
      <c r="H242" s="1425"/>
      <c r="I242" s="1426"/>
      <c r="J242" s="1426"/>
    </row>
    <row r="243" ht="15.75" customHeight="1">
      <c r="A243" s="1424"/>
      <c r="B243" s="1424"/>
      <c r="C243" s="1424"/>
      <c r="D243" s="1424"/>
      <c r="E243" s="1424"/>
      <c r="F243" s="1424"/>
      <c r="G243" s="1424"/>
      <c r="H243" s="1425"/>
      <c r="I243" s="1426"/>
      <c r="J243" s="1426"/>
    </row>
    <row r="244" ht="15.75" customHeight="1">
      <c r="A244" s="1424"/>
      <c r="B244" s="1424"/>
      <c r="C244" s="1424"/>
      <c r="D244" s="1424"/>
      <c r="E244" s="1424"/>
      <c r="F244" s="1424"/>
      <c r="G244" s="1424"/>
      <c r="H244" s="1425"/>
      <c r="I244" s="1426"/>
      <c r="J244" s="1426"/>
    </row>
    <row r="245" ht="15.75" customHeight="1">
      <c r="A245" s="1424"/>
      <c r="B245" s="1424"/>
      <c r="C245" s="1424"/>
      <c r="D245" s="1424"/>
      <c r="E245" s="1424"/>
      <c r="F245" s="1424"/>
      <c r="G245" s="1424"/>
      <c r="H245" s="1425"/>
      <c r="I245" s="1426"/>
      <c r="J245" s="1426"/>
    </row>
    <row r="246" ht="15.75" customHeight="1">
      <c r="A246" s="1424"/>
      <c r="B246" s="1424"/>
      <c r="C246" s="1424"/>
      <c r="D246" s="1424"/>
      <c r="E246" s="1424"/>
      <c r="F246" s="1424"/>
      <c r="G246" s="1424"/>
      <c r="H246" s="1425"/>
      <c r="I246" s="1426"/>
      <c r="J246" s="1426"/>
    </row>
    <row r="247" ht="15.75" customHeight="1">
      <c r="A247" s="1424"/>
      <c r="B247" s="1424"/>
      <c r="C247" s="1424"/>
      <c r="D247" s="1424"/>
      <c r="E247" s="1424"/>
      <c r="F247" s="1424"/>
      <c r="G247" s="1424"/>
      <c r="H247" s="1425"/>
      <c r="I247" s="1426"/>
      <c r="J247" s="1426"/>
    </row>
    <row r="248" ht="15.75" customHeight="1">
      <c r="A248" s="1424"/>
      <c r="B248" s="1424"/>
      <c r="C248" s="1424"/>
      <c r="D248" s="1424"/>
      <c r="E248" s="1424"/>
      <c r="F248" s="1424"/>
      <c r="G248" s="1424"/>
      <c r="H248" s="1425"/>
      <c r="I248" s="1426"/>
      <c r="J248" s="1426"/>
    </row>
    <row r="249" ht="15.75" customHeight="1">
      <c r="A249" s="1424"/>
      <c r="B249" s="1424"/>
      <c r="C249" s="1424"/>
      <c r="D249" s="1424"/>
      <c r="E249" s="1424"/>
      <c r="F249" s="1424"/>
      <c r="G249" s="1424"/>
      <c r="H249" s="1425"/>
      <c r="I249" s="1426"/>
      <c r="J249" s="1426"/>
    </row>
    <row r="250" ht="15.75" customHeight="1">
      <c r="A250" s="1424"/>
      <c r="B250" s="1424"/>
      <c r="C250" s="1424"/>
      <c r="D250" s="1424"/>
      <c r="E250" s="1424"/>
      <c r="F250" s="1424"/>
      <c r="G250" s="1424"/>
      <c r="H250" s="1425"/>
      <c r="I250" s="1426"/>
      <c r="J250" s="1426"/>
    </row>
    <row r="251" ht="15.75" customHeight="1">
      <c r="A251" s="1424"/>
      <c r="B251" s="1424"/>
      <c r="C251" s="1424"/>
      <c r="D251" s="1424"/>
      <c r="E251" s="1424"/>
      <c r="F251" s="1424"/>
      <c r="G251" s="1424"/>
      <c r="H251" s="1425"/>
      <c r="I251" s="1426"/>
      <c r="J251" s="1426"/>
    </row>
    <row r="252" ht="15.75" customHeight="1">
      <c r="A252" s="1424"/>
      <c r="B252" s="1424"/>
      <c r="C252" s="1424"/>
      <c r="D252" s="1424"/>
      <c r="E252" s="1424"/>
      <c r="F252" s="1424"/>
      <c r="G252" s="1424"/>
      <c r="H252" s="1425"/>
      <c r="I252" s="1426"/>
      <c r="J252" s="1426"/>
    </row>
    <row r="253" ht="15.75" customHeight="1">
      <c r="A253" s="1424"/>
      <c r="B253" s="1424"/>
      <c r="C253" s="1424"/>
      <c r="D253" s="1424"/>
      <c r="E253" s="1424"/>
      <c r="F253" s="1424"/>
      <c r="G253" s="1424"/>
      <c r="H253" s="1425"/>
      <c r="I253" s="1426"/>
      <c r="J253" s="1426"/>
    </row>
    <row r="254" ht="15.75" customHeight="1">
      <c r="A254" s="1424"/>
      <c r="B254" s="1424"/>
      <c r="C254" s="1424"/>
      <c r="D254" s="1424"/>
      <c r="E254" s="1424"/>
      <c r="F254" s="1424"/>
      <c r="G254" s="1424"/>
      <c r="H254" s="1425"/>
      <c r="I254" s="1426"/>
      <c r="J254" s="1426"/>
    </row>
    <row r="255" ht="15.75" customHeight="1">
      <c r="A255" s="1424"/>
      <c r="B255" s="1424"/>
      <c r="C255" s="1424"/>
      <c r="D255" s="1424"/>
      <c r="E255" s="1424"/>
      <c r="F255" s="1424"/>
      <c r="G255" s="1424"/>
      <c r="H255" s="1425"/>
      <c r="I255" s="1426"/>
      <c r="J255" s="1426"/>
    </row>
    <row r="256" ht="15.75" customHeight="1">
      <c r="A256" s="1424"/>
      <c r="B256" s="1424"/>
      <c r="C256" s="1424"/>
      <c r="D256" s="1424"/>
      <c r="E256" s="1424"/>
      <c r="F256" s="1424"/>
      <c r="G256" s="1424"/>
      <c r="H256" s="1425"/>
      <c r="I256" s="1426"/>
      <c r="J256" s="1426"/>
    </row>
    <row r="257" ht="15.75" customHeight="1">
      <c r="A257" s="1424"/>
      <c r="B257" s="1424"/>
      <c r="C257" s="1424"/>
      <c r="D257" s="1424"/>
      <c r="E257" s="1424"/>
      <c r="F257" s="1424"/>
      <c r="G257" s="1424"/>
      <c r="H257" s="1425"/>
      <c r="I257" s="1426"/>
      <c r="J257" s="1426"/>
    </row>
    <row r="258" ht="15.75" customHeight="1">
      <c r="A258" s="1424"/>
      <c r="B258" s="1424"/>
      <c r="C258" s="1424"/>
      <c r="D258" s="1424"/>
      <c r="E258" s="1424"/>
      <c r="F258" s="1424"/>
      <c r="G258" s="1424"/>
      <c r="H258" s="1425"/>
      <c r="I258" s="1426"/>
      <c r="J258" s="1426"/>
    </row>
    <row r="259" ht="15.75" customHeight="1">
      <c r="A259" s="1424"/>
      <c r="B259" s="1424"/>
      <c r="C259" s="1424"/>
      <c r="D259" s="1424"/>
      <c r="E259" s="1424"/>
      <c r="F259" s="1424"/>
      <c r="G259" s="1424"/>
      <c r="H259" s="1425"/>
      <c r="I259" s="1426"/>
      <c r="J259" s="1426"/>
    </row>
    <row r="260" ht="15.75" customHeight="1">
      <c r="A260" s="1424"/>
      <c r="B260" s="1424"/>
      <c r="C260" s="1424"/>
      <c r="D260" s="1424"/>
      <c r="E260" s="1424"/>
      <c r="F260" s="1424"/>
      <c r="G260" s="1424"/>
      <c r="H260" s="1425"/>
      <c r="I260" s="1426"/>
      <c r="J260" s="1426"/>
    </row>
    <row r="261" ht="15.75" customHeight="1">
      <c r="A261" s="1424"/>
      <c r="B261" s="1424"/>
      <c r="C261" s="1424"/>
      <c r="D261" s="1424"/>
      <c r="E261" s="1424"/>
      <c r="F261" s="1424"/>
      <c r="G261" s="1424"/>
      <c r="H261" s="1425"/>
      <c r="I261" s="1426"/>
      <c r="J261" s="1426"/>
    </row>
    <row r="262" ht="15.75" customHeight="1">
      <c r="A262" s="1424"/>
      <c r="B262" s="1424"/>
      <c r="C262" s="1424"/>
      <c r="D262" s="1424"/>
      <c r="E262" s="1424"/>
      <c r="F262" s="1424"/>
      <c r="G262" s="1424"/>
      <c r="H262" s="1425"/>
      <c r="I262" s="1426"/>
      <c r="J262" s="1426"/>
    </row>
    <row r="263" ht="15.75" customHeight="1">
      <c r="A263" s="1424"/>
      <c r="B263" s="1424"/>
      <c r="C263" s="1424"/>
      <c r="D263" s="1424"/>
      <c r="E263" s="1424"/>
      <c r="F263" s="1424"/>
      <c r="G263" s="1424"/>
      <c r="H263" s="1425"/>
      <c r="I263" s="1426"/>
      <c r="J263" s="1426"/>
    </row>
    <row r="264" ht="15.75" customHeight="1">
      <c r="A264" s="1424"/>
      <c r="B264" s="1424"/>
      <c r="C264" s="1424"/>
      <c r="D264" s="1424"/>
      <c r="E264" s="1424"/>
      <c r="F264" s="1424"/>
      <c r="G264" s="1424"/>
      <c r="H264" s="1425"/>
      <c r="I264" s="1426"/>
      <c r="J264" s="1426"/>
    </row>
    <row r="265" ht="15.75" customHeight="1">
      <c r="A265" s="1424"/>
      <c r="B265" s="1424"/>
      <c r="C265" s="1424"/>
      <c r="D265" s="1424"/>
      <c r="E265" s="1424"/>
      <c r="F265" s="1424"/>
      <c r="G265" s="1424"/>
      <c r="H265" s="1425"/>
      <c r="I265" s="1426"/>
      <c r="J265" s="1426"/>
    </row>
    <row r="266" ht="15.75" customHeight="1">
      <c r="A266" s="1424"/>
      <c r="B266" s="1424"/>
      <c r="C266" s="1424"/>
      <c r="D266" s="1424"/>
      <c r="E266" s="1424"/>
      <c r="F266" s="1424"/>
      <c r="G266" s="1424"/>
      <c r="H266" s="1425"/>
      <c r="I266" s="1426"/>
      <c r="J266" s="1426"/>
    </row>
    <row r="267" ht="15.75" customHeight="1">
      <c r="A267" s="1424"/>
      <c r="B267" s="1424"/>
      <c r="C267" s="1424"/>
      <c r="D267" s="1424"/>
      <c r="E267" s="1424"/>
      <c r="F267" s="1424"/>
      <c r="G267" s="1424"/>
      <c r="H267" s="1425"/>
      <c r="I267" s="1426"/>
      <c r="J267" s="1426"/>
    </row>
    <row r="268" ht="15.75" customHeight="1">
      <c r="A268" s="1424"/>
      <c r="B268" s="1424"/>
      <c r="C268" s="1424"/>
      <c r="D268" s="1424"/>
      <c r="E268" s="1424"/>
      <c r="F268" s="1424"/>
      <c r="G268" s="1424"/>
      <c r="H268" s="1425"/>
      <c r="I268" s="1426"/>
      <c r="J268" s="1426"/>
    </row>
    <row r="269" ht="15.75" customHeight="1">
      <c r="A269" s="1424"/>
      <c r="B269" s="1424"/>
      <c r="C269" s="1424"/>
      <c r="D269" s="1424"/>
      <c r="E269" s="1424"/>
      <c r="F269" s="1424"/>
      <c r="G269" s="1424"/>
      <c r="H269" s="1425"/>
      <c r="I269" s="1426"/>
      <c r="J269" s="1426"/>
    </row>
    <row r="270" ht="15.75" customHeight="1">
      <c r="A270" s="1424"/>
      <c r="B270" s="1424"/>
      <c r="C270" s="1424"/>
      <c r="D270" s="1424"/>
      <c r="E270" s="1424"/>
      <c r="F270" s="1424"/>
      <c r="G270" s="1424"/>
      <c r="H270" s="1425"/>
      <c r="I270" s="1426"/>
      <c r="J270" s="1426"/>
    </row>
    <row r="271" ht="15.75" customHeight="1">
      <c r="A271" s="1424"/>
      <c r="B271" s="1424"/>
      <c r="C271" s="1424"/>
      <c r="D271" s="1424"/>
      <c r="E271" s="1424"/>
      <c r="F271" s="1424"/>
      <c r="G271" s="1424"/>
      <c r="H271" s="1425"/>
      <c r="I271" s="1426"/>
      <c r="J271" s="1426"/>
    </row>
    <row r="272" ht="15.75" customHeight="1">
      <c r="A272" s="1424"/>
      <c r="B272" s="1424"/>
      <c r="C272" s="1424"/>
      <c r="D272" s="1424"/>
      <c r="E272" s="1424"/>
      <c r="F272" s="1424"/>
      <c r="G272" s="1424"/>
      <c r="H272" s="1425"/>
      <c r="I272" s="1426"/>
      <c r="J272" s="1426"/>
    </row>
    <row r="273" ht="15.75" customHeight="1">
      <c r="A273" s="1424"/>
      <c r="B273" s="1424"/>
      <c r="C273" s="1424"/>
      <c r="D273" s="1424"/>
      <c r="E273" s="1424"/>
      <c r="F273" s="1424"/>
      <c r="G273" s="1424"/>
      <c r="H273" s="1425"/>
      <c r="I273" s="1426"/>
      <c r="J273" s="1426"/>
    </row>
    <row r="274" ht="15.75" customHeight="1">
      <c r="A274" s="1424"/>
      <c r="B274" s="1424"/>
      <c r="C274" s="1424"/>
      <c r="D274" s="1424"/>
      <c r="E274" s="1424"/>
      <c r="F274" s="1424"/>
      <c r="G274" s="1424"/>
      <c r="H274" s="1425"/>
      <c r="I274" s="1426"/>
      <c r="J274" s="1426"/>
    </row>
    <row r="275" ht="15.75" customHeight="1">
      <c r="A275" s="1424"/>
      <c r="B275" s="1424"/>
      <c r="C275" s="1424"/>
      <c r="D275" s="1424"/>
      <c r="E275" s="1424"/>
      <c r="F275" s="1424"/>
      <c r="G275" s="1424"/>
      <c r="H275" s="1425"/>
      <c r="I275" s="1426"/>
      <c r="J275" s="1426"/>
    </row>
    <row r="276" ht="15.75" customHeight="1">
      <c r="A276" s="1424"/>
      <c r="B276" s="1424"/>
      <c r="C276" s="1424"/>
      <c r="D276" s="1424"/>
      <c r="E276" s="1424"/>
      <c r="F276" s="1424"/>
      <c r="G276" s="1424"/>
      <c r="H276" s="1425"/>
      <c r="I276" s="1426"/>
      <c r="J276" s="1426"/>
    </row>
    <row r="277" ht="15.75" customHeight="1">
      <c r="A277" s="1424"/>
      <c r="B277" s="1424"/>
      <c r="C277" s="1424"/>
      <c r="D277" s="1424"/>
      <c r="E277" s="1424"/>
      <c r="F277" s="1424"/>
      <c r="G277" s="1424"/>
      <c r="H277" s="1425"/>
      <c r="I277" s="1426"/>
      <c r="J277" s="1426"/>
    </row>
    <row r="278" ht="15.75" customHeight="1">
      <c r="A278" s="1424"/>
      <c r="B278" s="1424"/>
      <c r="C278" s="1424"/>
      <c r="D278" s="1424"/>
      <c r="E278" s="1424"/>
      <c r="F278" s="1424"/>
      <c r="G278" s="1424"/>
      <c r="H278" s="1425"/>
      <c r="I278" s="1426"/>
      <c r="J278" s="1426"/>
    </row>
    <row r="279" ht="15.75" customHeight="1">
      <c r="A279" s="1424"/>
      <c r="B279" s="1424"/>
      <c r="C279" s="1424"/>
      <c r="D279" s="1424"/>
      <c r="E279" s="1424"/>
      <c r="F279" s="1424"/>
      <c r="G279" s="1424"/>
      <c r="H279" s="1425"/>
      <c r="I279" s="1426"/>
      <c r="J279" s="1426"/>
    </row>
    <row r="280" ht="15.75" customHeight="1">
      <c r="A280" s="1424"/>
      <c r="B280" s="1424"/>
      <c r="C280" s="1424"/>
      <c r="D280" s="1424"/>
      <c r="E280" s="1424"/>
      <c r="F280" s="1424"/>
      <c r="G280" s="1424"/>
      <c r="H280" s="1425"/>
      <c r="I280" s="1426"/>
      <c r="J280" s="1426"/>
    </row>
    <row r="281" ht="15.75" customHeight="1">
      <c r="A281" s="1424"/>
      <c r="B281" s="1424"/>
      <c r="C281" s="1424"/>
      <c r="D281" s="1424"/>
      <c r="E281" s="1424"/>
      <c r="F281" s="1424"/>
      <c r="G281" s="1424"/>
      <c r="H281" s="1425"/>
      <c r="I281" s="1426"/>
      <c r="J281" s="1426"/>
    </row>
    <row r="282" ht="15.75" customHeight="1">
      <c r="A282" s="1424"/>
      <c r="B282" s="1424"/>
      <c r="C282" s="1424"/>
      <c r="D282" s="1424"/>
      <c r="E282" s="1424"/>
      <c r="F282" s="1424"/>
      <c r="G282" s="1424"/>
      <c r="H282" s="1425"/>
      <c r="I282" s="1426"/>
      <c r="J282" s="1426"/>
    </row>
    <row r="283" ht="15.75" customHeight="1">
      <c r="A283" s="1424"/>
      <c r="B283" s="1424"/>
      <c r="C283" s="1424"/>
      <c r="D283" s="1424"/>
      <c r="E283" s="1424"/>
      <c r="F283" s="1424"/>
      <c r="G283" s="1424"/>
      <c r="H283" s="1425"/>
      <c r="I283" s="1426"/>
      <c r="J283" s="1426"/>
    </row>
    <row r="284" ht="15.75" customHeight="1">
      <c r="A284" s="1424"/>
      <c r="B284" s="1424"/>
      <c r="C284" s="1424"/>
      <c r="D284" s="1424"/>
      <c r="E284" s="1424"/>
      <c r="F284" s="1424"/>
      <c r="G284" s="1424"/>
      <c r="H284" s="1425"/>
      <c r="I284" s="1426"/>
      <c r="J284" s="1426"/>
    </row>
    <row r="285" ht="15.75" customHeight="1">
      <c r="A285" s="1424"/>
      <c r="B285" s="1424"/>
      <c r="C285" s="1424"/>
      <c r="D285" s="1424"/>
      <c r="E285" s="1424"/>
      <c r="F285" s="1424"/>
      <c r="G285" s="1424"/>
      <c r="H285" s="1425"/>
      <c r="I285" s="1426"/>
      <c r="J285" s="1426"/>
    </row>
    <row r="286" ht="15.75" customHeight="1">
      <c r="A286" s="1424"/>
      <c r="B286" s="1424"/>
      <c r="C286" s="1424"/>
      <c r="D286" s="1424"/>
      <c r="E286" s="1424"/>
      <c r="F286" s="1424"/>
      <c r="G286" s="1424"/>
      <c r="H286" s="1425"/>
      <c r="I286" s="1426"/>
      <c r="J286" s="1426"/>
    </row>
    <row r="287" ht="15.75" customHeight="1">
      <c r="A287" s="1424"/>
      <c r="B287" s="1424"/>
      <c r="C287" s="1424"/>
      <c r="D287" s="1424"/>
      <c r="E287" s="1424"/>
      <c r="F287" s="1424"/>
      <c r="G287" s="1424"/>
      <c r="H287" s="1425"/>
      <c r="I287" s="1426"/>
      <c r="J287" s="1426"/>
    </row>
    <row r="288" ht="15.75" customHeight="1">
      <c r="A288" s="1424"/>
      <c r="B288" s="1424"/>
      <c r="C288" s="1424"/>
      <c r="D288" s="1424"/>
      <c r="E288" s="1424"/>
      <c r="F288" s="1424"/>
      <c r="G288" s="1424"/>
      <c r="H288" s="1425"/>
      <c r="I288" s="1426"/>
      <c r="J288" s="1426"/>
    </row>
    <row r="289" ht="15.75" customHeight="1">
      <c r="A289" s="1424"/>
      <c r="B289" s="1424"/>
      <c r="C289" s="1424"/>
      <c r="D289" s="1424"/>
      <c r="E289" s="1424"/>
      <c r="F289" s="1424"/>
      <c r="G289" s="1424"/>
      <c r="H289" s="1425"/>
      <c r="I289" s="1426"/>
      <c r="J289" s="1426"/>
    </row>
    <row r="290" ht="15.75" customHeight="1">
      <c r="A290" s="1424"/>
      <c r="B290" s="1424"/>
      <c r="C290" s="1424"/>
      <c r="D290" s="1424"/>
      <c r="E290" s="1424"/>
      <c r="F290" s="1424"/>
      <c r="G290" s="1424"/>
      <c r="H290" s="1425"/>
      <c r="I290" s="1426"/>
      <c r="J290" s="1426"/>
    </row>
    <row r="291" ht="15.75" customHeight="1">
      <c r="A291" s="1424"/>
      <c r="B291" s="1424"/>
      <c r="C291" s="1424"/>
      <c r="D291" s="1424"/>
      <c r="E291" s="1424"/>
      <c r="F291" s="1424"/>
      <c r="G291" s="1424"/>
      <c r="H291" s="1425"/>
      <c r="I291" s="1426"/>
      <c r="J291" s="1426"/>
    </row>
    <row r="292" ht="15.75" customHeight="1">
      <c r="A292" s="1424"/>
      <c r="B292" s="1424"/>
      <c r="C292" s="1424"/>
      <c r="D292" s="1424"/>
      <c r="E292" s="1424"/>
      <c r="F292" s="1424"/>
      <c r="G292" s="1424"/>
      <c r="H292" s="1425"/>
      <c r="I292" s="1426"/>
      <c r="J292" s="1426"/>
    </row>
    <row r="293" ht="15.75" customHeight="1">
      <c r="A293" s="1424"/>
      <c r="B293" s="1424"/>
      <c r="C293" s="1424"/>
      <c r="D293" s="1424"/>
      <c r="E293" s="1424"/>
      <c r="F293" s="1424"/>
      <c r="G293" s="1424"/>
      <c r="H293" s="1425"/>
      <c r="I293" s="1426"/>
      <c r="J293" s="1426"/>
    </row>
    <row r="294" ht="15.75" customHeight="1">
      <c r="A294" s="1424"/>
      <c r="B294" s="1424"/>
      <c r="C294" s="1424"/>
      <c r="D294" s="1424"/>
      <c r="E294" s="1424"/>
      <c r="F294" s="1424"/>
      <c r="G294" s="1424"/>
      <c r="H294" s="1425"/>
      <c r="I294" s="1426"/>
      <c r="J294" s="1426"/>
    </row>
    <row r="295" ht="15.75" customHeight="1">
      <c r="A295" s="1424"/>
      <c r="B295" s="1424"/>
      <c r="C295" s="1424"/>
      <c r="D295" s="1424"/>
      <c r="E295" s="1424"/>
      <c r="F295" s="1424"/>
      <c r="G295" s="1424"/>
      <c r="H295" s="1425"/>
      <c r="I295" s="1426"/>
      <c r="J295" s="1426"/>
    </row>
    <row r="296" ht="15.75" customHeight="1">
      <c r="A296" s="1424"/>
      <c r="B296" s="1424"/>
      <c r="C296" s="1424"/>
      <c r="D296" s="1424"/>
      <c r="E296" s="1424"/>
      <c r="F296" s="1424"/>
      <c r="G296" s="1424"/>
      <c r="H296" s="1425"/>
      <c r="I296" s="1426"/>
      <c r="J296" s="1426"/>
    </row>
    <row r="297" ht="15.75" customHeight="1">
      <c r="A297" s="1424"/>
      <c r="B297" s="1424"/>
      <c r="C297" s="1424"/>
      <c r="D297" s="1424"/>
      <c r="E297" s="1424"/>
      <c r="F297" s="1424"/>
      <c r="G297" s="1424"/>
      <c r="H297" s="1425"/>
      <c r="I297" s="1426"/>
      <c r="J297" s="1426"/>
    </row>
    <row r="298" ht="15.75" customHeight="1">
      <c r="A298" s="1424"/>
      <c r="B298" s="1424"/>
      <c r="C298" s="1424"/>
      <c r="D298" s="1424"/>
      <c r="E298" s="1424"/>
      <c r="F298" s="1424"/>
      <c r="G298" s="1424"/>
      <c r="H298" s="1425"/>
      <c r="I298" s="1426"/>
      <c r="J298" s="1426"/>
    </row>
    <row r="299" ht="15.75" customHeight="1">
      <c r="A299" s="1424"/>
      <c r="B299" s="1424"/>
      <c r="C299" s="1424"/>
      <c r="D299" s="1424"/>
      <c r="E299" s="1424"/>
      <c r="F299" s="1424"/>
      <c r="G299" s="1424"/>
      <c r="H299" s="1425"/>
      <c r="I299" s="1426"/>
      <c r="J299" s="1426"/>
    </row>
    <row r="300" ht="15.75" customHeight="1">
      <c r="A300" s="1424"/>
      <c r="B300" s="1424"/>
      <c r="C300" s="1424"/>
      <c r="D300" s="1424"/>
      <c r="E300" s="1424"/>
      <c r="F300" s="1424"/>
      <c r="G300" s="1424"/>
      <c r="H300" s="1425"/>
      <c r="I300" s="1426"/>
      <c r="J300" s="1426"/>
    </row>
    <row r="301" ht="15.75" customHeight="1">
      <c r="A301" s="1424"/>
      <c r="B301" s="1424"/>
      <c r="C301" s="1424"/>
      <c r="D301" s="1424"/>
      <c r="E301" s="1424"/>
      <c r="F301" s="1424"/>
      <c r="G301" s="1424"/>
      <c r="H301" s="1425"/>
      <c r="I301" s="1426"/>
      <c r="J301" s="1426"/>
    </row>
    <row r="302" ht="15.75" customHeight="1">
      <c r="A302" s="1424"/>
      <c r="B302" s="1424"/>
      <c r="C302" s="1424"/>
      <c r="D302" s="1424"/>
      <c r="E302" s="1424"/>
      <c r="F302" s="1424"/>
      <c r="G302" s="1424"/>
      <c r="H302" s="1425"/>
      <c r="I302" s="1426"/>
      <c r="J302" s="1426"/>
    </row>
    <row r="303" ht="15.75" customHeight="1">
      <c r="A303" s="1424"/>
      <c r="B303" s="1424"/>
      <c r="C303" s="1424"/>
      <c r="D303" s="1424"/>
      <c r="E303" s="1424"/>
      <c r="F303" s="1424"/>
      <c r="G303" s="1424"/>
      <c r="H303" s="1425"/>
      <c r="I303" s="1426"/>
      <c r="J303" s="1426"/>
    </row>
    <row r="304" ht="15.75" customHeight="1">
      <c r="A304" s="1424"/>
      <c r="B304" s="1424"/>
      <c r="C304" s="1424"/>
      <c r="D304" s="1424"/>
      <c r="E304" s="1424"/>
      <c r="F304" s="1424"/>
      <c r="G304" s="1424"/>
      <c r="H304" s="1425"/>
      <c r="I304" s="1426"/>
      <c r="J304" s="1426"/>
    </row>
    <row r="305" ht="15.75" customHeight="1">
      <c r="A305" s="1424"/>
      <c r="B305" s="1424"/>
      <c r="C305" s="1424"/>
      <c r="D305" s="1424"/>
      <c r="E305" s="1424"/>
      <c r="F305" s="1424"/>
      <c r="G305" s="1424"/>
      <c r="H305" s="1425"/>
      <c r="I305" s="1426"/>
      <c r="J305" s="1426"/>
    </row>
    <row r="306" ht="15.75" customHeight="1">
      <c r="A306" s="1424"/>
      <c r="B306" s="1424"/>
      <c r="C306" s="1424"/>
      <c r="D306" s="1424"/>
      <c r="E306" s="1424"/>
      <c r="F306" s="1424"/>
      <c r="G306" s="1424"/>
      <c r="H306" s="1425"/>
      <c r="I306" s="1426"/>
      <c r="J306" s="1426"/>
    </row>
    <row r="307" ht="15.75" customHeight="1">
      <c r="A307" s="1424"/>
      <c r="B307" s="1424"/>
      <c r="C307" s="1424"/>
      <c r="D307" s="1424"/>
      <c r="E307" s="1424"/>
      <c r="F307" s="1424"/>
      <c r="G307" s="1424"/>
      <c r="H307" s="1425"/>
      <c r="I307" s="1426"/>
      <c r="J307" s="1426"/>
    </row>
    <row r="308" ht="15.75" customHeight="1">
      <c r="A308" s="1424"/>
      <c r="B308" s="1424"/>
      <c r="C308" s="1424"/>
      <c r="D308" s="1424"/>
      <c r="E308" s="1424"/>
      <c r="F308" s="1424"/>
      <c r="G308" s="1424"/>
      <c r="H308" s="1425"/>
      <c r="I308" s="1426"/>
      <c r="J308" s="1426"/>
    </row>
    <row r="309" ht="15.75" customHeight="1">
      <c r="A309" s="1424"/>
      <c r="B309" s="1424"/>
      <c r="C309" s="1424"/>
      <c r="D309" s="1424"/>
      <c r="E309" s="1424"/>
      <c r="F309" s="1424"/>
      <c r="G309" s="1424"/>
      <c r="H309" s="1425"/>
      <c r="I309" s="1426"/>
      <c r="J309" s="1426"/>
    </row>
    <row r="310" ht="15.75" customHeight="1">
      <c r="A310" s="1424"/>
      <c r="B310" s="1424"/>
      <c r="C310" s="1424"/>
      <c r="D310" s="1424"/>
      <c r="E310" s="1424"/>
      <c r="F310" s="1424"/>
      <c r="G310" s="1424"/>
      <c r="H310" s="1425"/>
      <c r="I310" s="1426"/>
      <c r="J310" s="1426"/>
    </row>
    <row r="311" ht="15.75" customHeight="1">
      <c r="A311" s="1424"/>
      <c r="B311" s="1424"/>
      <c r="C311" s="1424"/>
      <c r="D311" s="1424"/>
      <c r="E311" s="1424"/>
      <c r="F311" s="1424"/>
      <c r="G311" s="1424"/>
      <c r="H311" s="1425"/>
      <c r="I311" s="1426"/>
      <c r="J311" s="1426"/>
    </row>
    <row r="312" ht="15.75" customHeight="1">
      <c r="A312" s="1424"/>
      <c r="B312" s="1424"/>
      <c r="C312" s="1424"/>
      <c r="D312" s="1424"/>
      <c r="E312" s="1424"/>
      <c r="F312" s="1424"/>
      <c r="G312" s="1424"/>
      <c r="H312" s="1425"/>
      <c r="I312" s="1426"/>
      <c r="J312" s="1426"/>
    </row>
    <row r="313" ht="15.75" customHeight="1">
      <c r="A313" s="1424"/>
      <c r="B313" s="1424"/>
      <c r="C313" s="1424"/>
      <c r="D313" s="1424"/>
      <c r="E313" s="1424"/>
      <c r="F313" s="1424"/>
      <c r="G313" s="1424"/>
      <c r="H313" s="1425"/>
      <c r="I313" s="1426"/>
      <c r="J313" s="1426"/>
    </row>
    <row r="314" ht="15.75" customHeight="1">
      <c r="A314" s="1424"/>
      <c r="B314" s="1424"/>
      <c r="C314" s="1424"/>
      <c r="D314" s="1424"/>
      <c r="E314" s="1424"/>
      <c r="F314" s="1424"/>
      <c r="G314" s="1424"/>
      <c r="H314" s="1425"/>
      <c r="I314" s="1426"/>
      <c r="J314" s="1426"/>
    </row>
    <row r="315" ht="15.75" customHeight="1">
      <c r="A315" s="1424"/>
      <c r="B315" s="1424"/>
      <c r="C315" s="1424"/>
      <c r="D315" s="1424"/>
      <c r="E315" s="1424"/>
      <c r="F315" s="1424"/>
      <c r="G315" s="1424"/>
      <c r="H315" s="1425"/>
      <c r="I315" s="1426"/>
      <c r="J315" s="1426"/>
    </row>
    <row r="316" ht="15.75" customHeight="1">
      <c r="A316" s="1424"/>
      <c r="B316" s="1424"/>
      <c r="C316" s="1424"/>
      <c r="D316" s="1424"/>
      <c r="E316" s="1424"/>
      <c r="F316" s="1424"/>
      <c r="G316" s="1424"/>
      <c r="H316" s="1425"/>
      <c r="I316" s="1426"/>
      <c r="J316" s="1426"/>
    </row>
    <row r="317" ht="15.75" customHeight="1">
      <c r="A317" s="1424"/>
      <c r="B317" s="1424"/>
      <c r="C317" s="1424"/>
      <c r="D317" s="1424"/>
      <c r="E317" s="1424"/>
      <c r="F317" s="1424"/>
      <c r="G317" s="1424"/>
      <c r="H317" s="1425"/>
      <c r="I317" s="1426"/>
      <c r="J317" s="1426"/>
    </row>
    <row r="318" ht="15.75" customHeight="1">
      <c r="A318" s="1424"/>
      <c r="B318" s="1424"/>
      <c r="C318" s="1424"/>
      <c r="D318" s="1424"/>
      <c r="E318" s="1424"/>
      <c r="F318" s="1424"/>
      <c r="G318" s="1424"/>
      <c r="H318" s="1425"/>
      <c r="I318" s="1426"/>
      <c r="J318" s="1426"/>
    </row>
    <row r="319" ht="15.75" customHeight="1">
      <c r="A319" s="1424"/>
      <c r="B319" s="1424"/>
      <c r="C319" s="1424"/>
      <c r="D319" s="1424"/>
      <c r="E319" s="1424"/>
      <c r="F319" s="1424"/>
      <c r="G319" s="1424"/>
      <c r="H319" s="1425"/>
      <c r="I319" s="1426"/>
      <c r="J319" s="1426"/>
    </row>
    <row r="320" ht="15.75" customHeight="1">
      <c r="A320" s="1424"/>
      <c r="B320" s="1424"/>
      <c r="C320" s="1424"/>
      <c r="D320" s="1424"/>
      <c r="E320" s="1424"/>
      <c r="F320" s="1424"/>
      <c r="G320" s="1424"/>
      <c r="H320" s="1425"/>
      <c r="I320" s="1426"/>
      <c r="J320" s="1426"/>
    </row>
    <row r="321" ht="15.75" customHeight="1">
      <c r="A321" s="1424"/>
      <c r="B321" s="1424"/>
      <c r="C321" s="1424"/>
      <c r="D321" s="1424"/>
      <c r="E321" s="1424"/>
      <c r="F321" s="1424"/>
      <c r="G321" s="1424"/>
      <c r="H321" s="1425"/>
      <c r="I321" s="1426"/>
      <c r="J321" s="1426"/>
    </row>
    <row r="322" ht="15.75" customHeight="1">
      <c r="A322" s="1424"/>
      <c r="B322" s="1424"/>
      <c r="C322" s="1424"/>
      <c r="D322" s="1424"/>
      <c r="E322" s="1424"/>
      <c r="F322" s="1424"/>
      <c r="G322" s="1424"/>
      <c r="H322" s="1425"/>
      <c r="I322" s="1426"/>
      <c r="J322" s="1426"/>
    </row>
    <row r="323" ht="15.75" customHeight="1">
      <c r="A323" s="1424"/>
      <c r="B323" s="1424"/>
      <c r="C323" s="1424"/>
      <c r="D323" s="1424"/>
      <c r="E323" s="1424"/>
      <c r="F323" s="1424"/>
      <c r="G323" s="1424"/>
      <c r="H323" s="1425"/>
      <c r="I323" s="1426"/>
      <c r="J323" s="1426"/>
    </row>
    <row r="324" ht="15.75" customHeight="1">
      <c r="A324" s="1424"/>
      <c r="B324" s="1424"/>
      <c r="C324" s="1424"/>
      <c r="D324" s="1424"/>
      <c r="E324" s="1424"/>
      <c r="F324" s="1424"/>
      <c r="G324" s="1424"/>
      <c r="H324" s="1425"/>
      <c r="I324" s="1426"/>
      <c r="J324" s="1426"/>
    </row>
    <row r="325" ht="15.75" customHeight="1">
      <c r="A325" s="1424"/>
      <c r="B325" s="1424"/>
      <c r="C325" s="1424"/>
      <c r="D325" s="1424"/>
      <c r="E325" s="1424"/>
      <c r="F325" s="1424"/>
      <c r="G325" s="1424"/>
      <c r="H325" s="1425"/>
      <c r="I325" s="1426"/>
      <c r="J325" s="1426"/>
    </row>
    <row r="326" ht="15.75" customHeight="1">
      <c r="A326" s="1424"/>
      <c r="B326" s="1424"/>
      <c r="C326" s="1424"/>
      <c r="D326" s="1424"/>
      <c r="E326" s="1424"/>
      <c r="F326" s="1424"/>
      <c r="G326" s="1424"/>
      <c r="H326" s="1425"/>
      <c r="I326" s="1426"/>
      <c r="J326" s="1426"/>
    </row>
    <row r="327" ht="15.75" customHeight="1">
      <c r="A327" s="1424"/>
      <c r="B327" s="1424"/>
      <c r="C327" s="1424"/>
      <c r="D327" s="1424"/>
      <c r="E327" s="1424"/>
      <c r="F327" s="1424"/>
      <c r="G327" s="1424"/>
      <c r="H327" s="1425"/>
      <c r="I327" s="1426"/>
      <c r="J327" s="1426"/>
    </row>
    <row r="328" ht="15.75" customHeight="1">
      <c r="A328" s="1424"/>
      <c r="B328" s="1424"/>
      <c r="C328" s="1424"/>
      <c r="D328" s="1424"/>
      <c r="E328" s="1424"/>
      <c r="F328" s="1424"/>
      <c r="G328" s="1424"/>
      <c r="H328" s="1425"/>
      <c r="I328" s="1426"/>
      <c r="J328" s="1426"/>
    </row>
    <row r="329" ht="15.75" customHeight="1">
      <c r="A329" s="1424"/>
      <c r="B329" s="1424"/>
      <c r="C329" s="1424"/>
      <c r="D329" s="1424"/>
      <c r="E329" s="1424"/>
      <c r="F329" s="1424"/>
      <c r="G329" s="1424"/>
      <c r="H329" s="1425"/>
      <c r="I329" s="1426"/>
      <c r="J329" s="1426"/>
    </row>
    <row r="330" ht="15.75" customHeight="1">
      <c r="A330" s="1424"/>
      <c r="B330" s="1424"/>
      <c r="C330" s="1424"/>
      <c r="D330" s="1424"/>
      <c r="E330" s="1424"/>
      <c r="F330" s="1424"/>
      <c r="G330" s="1424"/>
      <c r="H330" s="1425"/>
      <c r="I330" s="1426"/>
      <c r="J330" s="1426"/>
    </row>
    <row r="331" ht="15.75" customHeight="1">
      <c r="A331" s="1424"/>
      <c r="B331" s="1424"/>
      <c r="C331" s="1424"/>
      <c r="D331" s="1424"/>
      <c r="E331" s="1424"/>
      <c r="F331" s="1424"/>
      <c r="G331" s="1424"/>
      <c r="H331" s="1425"/>
      <c r="I331" s="1426"/>
      <c r="J331" s="1426"/>
    </row>
    <row r="332" ht="15.75" customHeight="1">
      <c r="A332" s="1424"/>
      <c r="B332" s="1424"/>
      <c r="C332" s="1424"/>
      <c r="D332" s="1424"/>
      <c r="E332" s="1424"/>
      <c r="F332" s="1424"/>
      <c r="G332" s="1424"/>
      <c r="H332" s="1425"/>
      <c r="I332" s="1426"/>
      <c r="J332" s="1426"/>
    </row>
    <row r="333" ht="15.75" customHeight="1">
      <c r="A333" s="1424"/>
      <c r="B333" s="1424"/>
      <c r="C333" s="1424"/>
      <c r="D333" s="1424"/>
      <c r="E333" s="1424"/>
      <c r="F333" s="1424"/>
      <c r="G333" s="1424"/>
      <c r="H333" s="1425"/>
      <c r="I333" s="1426"/>
      <c r="J333" s="1426"/>
    </row>
    <row r="334" ht="15.75" customHeight="1">
      <c r="A334" s="1424"/>
      <c r="B334" s="1424"/>
      <c r="C334" s="1424"/>
      <c r="D334" s="1424"/>
      <c r="E334" s="1424"/>
      <c r="F334" s="1424"/>
      <c r="G334" s="1424"/>
      <c r="H334" s="1425"/>
      <c r="I334" s="1426"/>
      <c r="J334" s="1426"/>
    </row>
    <row r="335" ht="15.75" customHeight="1">
      <c r="A335" s="1424"/>
      <c r="B335" s="1424"/>
      <c r="C335" s="1424"/>
      <c r="D335" s="1424"/>
      <c r="E335" s="1424"/>
      <c r="F335" s="1424"/>
      <c r="G335" s="1424"/>
      <c r="H335" s="1425"/>
      <c r="I335" s="1426"/>
      <c r="J335" s="1426"/>
    </row>
    <row r="336" ht="15.75" customHeight="1">
      <c r="A336" s="1424"/>
      <c r="B336" s="1424"/>
      <c r="C336" s="1424"/>
      <c r="D336" s="1424"/>
      <c r="E336" s="1424"/>
      <c r="F336" s="1424"/>
      <c r="G336" s="1424"/>
      <c r="H336" s="1425"/>
      <c r="I336" s="1426"/>
      <c r="J336" s="1426"/>
    </row>
    <row r="337" ht="15.75" customHeight="1">
      <c r="A337" s="1424"/>
      <c r="B337" s="1424"/>
      <c r="C337" s="1424"/>
      <c r="D337" s="1424"/>
      <c r="E337" s="1424"/>
      <c r="F337" s="1424"/>
      <c r="G337" s="1424"/>
      <c r="H337" s="1425"/>
      <c r="I337" s="1426"/>
      <c r="J337" s="1426"/>
    </row>
    <row r="338" ht="15.75" customHeight="1">
      <c r="A338" s="1424"/>
      <c r="B338" s="1424"/>
      <c r="C338" s="1424"/>
      <c r="D338" s="1424"/>
      <c r="E338" s="1424"/>
      <c r="F338" s="1424"/>
      <c r="G338" s="1424"/>
      <c r="H338" s="1425"/>
      <c r="I338" s="1426"/>
      <c r="J338" s="1426"/>
    </row>
    <row r="339" ht="15.75" customHeight="1">
      <c r="A339" s="1424"/>
      <c r="B339" s="1424"/>
      <c r="C339" s="1424"/>
      <c r="D339" s="1424"/>
      <c r="E339" s="1424"/>
      <c r="F339" s="1424"/>
      <c r="G339" s="1424"/>
      <c r="H339" s="1425"/>
      <c r="I339" s="1426"/>
      <c r="J339" s="1426"/>
    </row>
    <row r="340" ht="15.75" customHeight="1">
      <c r="A340" s="1424"/>
      <c r="B340" s="1424"/>
      <c r="C340" s="1424"/>
      <c r="D340" s="1424"/>
      <c r="E340" s="1424"/>
      <c r="F340" s="1424"/>
      <c r="G340" s="1424"/>
      <c r="H340" s="1425"/>
      <c r="I340" s="1426"/>
      <c r="J340" s="1426"/>
    </row>
    <row r="341" ht="15.75" customHeight="1">
      <c r="A341" s="1424"/>
      <c r="B341" s="1424"/>
      <c r="C341" s="1424"/>
      <c r="D341" s="1424"/>
      <c r="E341" s="1424"/>
      <c r="F341" s="1424"/>
      <c r="G341" s="1424"/>
      <c r="H341" s="1425"/>
      <c r="I341" s="1426"/>
      <c r="J341" s="1426"/>
    </row>
    <row r="342" ht="15.75" customHeight="1">
      <c r="A342" s="1424"/>
      <c r="B342" s="1424"/>
      <c r="C342" s="1424"/>
      <c r="D342" s="1424"/>
      <c r="E342" s="1424"/>
      <c r="F342" s="1424"/>
      <c r="G342" s="1424"/>
      <c r="H342" s="1425"/>
      <c r="I342" s="1426"/>
      <c r="J342" s="1426"/>
    </row>
    <row r="343" ht="15.75" customHeight="1">
      <c r="A343" s="1424"/>
      <c r="B343" s="1424"/>
      <c r="C343" s="1424"/>
      <c r="D343" s="1424"/>
      <c r="E343" s="1424"/>
      <c r="F343" s="1424"/>
      <c r="G343" s="1424"/>
      <c r="H343" s="1425"/>
      <c r="I343" s="1426"/>
      <c r="J343" s="1426"/>
    </row>
    <row r="344" ht="15.75" customHeight="1">
      <c r="A344" s="1424"/>
      <c r="B344" s="1424"/>
      <c r="C344" s="1424"/>
      <c r="D344" s="1424"/>
      <c r="E344" s="1424"/>
      <c r="F344" s="1424"/>
      <c r="G344" s="1424"/>
      <c r="H344" s="1425"/>
      <c r="I344" s="1426"/>
      <c r="J344" s="1426"/>
    </row>
    <row r="345" ht="15.75" customHeight="1">
      <c r="A345" s="1424"/>
      <c r="B345" s="1424"/>
      <c r="C345" s="1424"/>
      <c r="D345" s="1424"/>
      <c r="E345" s="1424"/>
      <c r="F345" s="1424"/>
      <c r="G345" s="1424"/>
      <c r="H345" s="1425"/>
      <c r="I345" s="1426"/>
      <c r="J345" s="1426"/>
    </row>
    <row r="346" ht="15.75" customHeight="1">
      <c r="A346" s="1424"/>
      <c r="B346" s="1424"/>
      <c r="C346" s="1424"/>
      <c r="D346" s="1424"/>
      <c r="E346" s="1424"/>
      <c r="F346" s="1424"/>
      <c r="G346" s="1424"/>
      <c r="H346" s="1425"/>
      <c r="I346" s="1426"/>
      <c r="J346" s="1426"/>
    </row>
    <row r="347" ht="15.75" customHeight="1">
      <c r="A347" s="1424"/>
      <c r="B347" s="1424"/>
      <c r="C347" s="1424"/>
      <c r="D347" s="1424"/>
      <c r="E347" s="1424"/>
      <c r="F347" s="1424"/>
      <c r="G347" s="1424"/>
      <c r="H347" s="1425"/>
      <c r="I347" s="1426"/>
      <c r="J347" s="1426"/>
    </row>
    <row r="348" ht="15.75" customHeight="1">
      <c r="A348" s="1424"/>
      <c r="B348" s="1424"/>
      <c r="C348" s="1424"/>
      <c r="D348" s="1424"/>
      <c r="E348" s="1424"/>
      <c r="F348" s="1424"/>
      <c r="G348" s="1424"/>
      <c r="H348" s="1425"/>
      <c r="I348" s="1426"/>
      <c r="J348" s="1426"/>
    </row>
    <row r="349" ht="15.75" customHeight="1">
      <c r="A349" s="1424"/>
      <c r="B349" s="1424"/>
      <c r="C349" s="1424"/>
      <c r="D349" s="1424"/>
      <c r="E349" s="1424"/>
      <c r="F349" s="1424"/>
      <c r="G349" s="1424"/>
      <c r="H349" s="1425"/>
      <c r="I349" s="1426"/>
      <c r="J349" s="1426"/>
    </row>
    <row r="350" ht="15.75" customHeight="1">
      <c r="A350" s="1424"/>
      <c r="B350" s="1424"/>
      <c r="C350" s="1424"/>
      <c r="D350" s="1424"/>
      <c r="E350" s="1424"/>
      <c r="F350" s="1424"/>
      <c r="G350" s="1424"/>
      <c r="H350" s="1425"/>
      <c r="I350" s="1426"/>
      <c r="J350" s="1426"/>
    </row>
    <row r="351" ht="15.75" customHeight="1">
      <c r="A351" s="1424"/>
      <c r="B351" s="1424"/>
      <c r="C351" s="1424"/>
      <c r="D351" s="1424"/>
      <c r="E351" s="1424"/>
      <c r="F351" s="1424"/>
      <c r="G351" s="1424"/>
      <c r="H351" s="1425"/>
      <c r="I351" s="1426"/>
      <c r="J351" s="1426"/>
    </row>
    <row r="352" ht="15.75" customHeight="1">
      <c r="A352" s="1424"/>
      <c r="B352" s="1424"/>
      <c r="C352" s="1424"/>
      <c r="D352" s="1424"/>
      <c r="E352" s="1424"/>
      <c r="F352" s="1424"/>
      <c r="G352" s="1424"/>
      <c r="H352" s="1425"/>
      <c r="I352" s="1426"/>
      <c r="J352" s="1426"/>
    </row>
    <row r="353" ht="15.75" customHeight="1">
      <c r="A353" s="1424"/>
      <c r="B353" s="1424"/>
      <c r="C353" s="1424"/>
      <c r="D353" s="1424"/>
      <c r="E353" s="1424"/>
      <c r="F353" s="1424"/>
      <c r="G353" s="1424"/>
      <c r="H353" s="1425"/>
      <c r="I353" s="1426"/>
      <c r="J353" s="1426"/>
    </row>
    <row r="354" ht="15.75" customHeight="1">
      <c r="A354" s="1424"/>
      <c r="B354" s="1424"/>
      <c r="C354" s="1424"/>
      <c r="D354" s="1424"/>
      <c r="E354" s="1424"/>
      <c r="F354" s="1424"/>
      <c r="G354" s="1424"/>
      <c r="H354" s="1425"/>
      <c r="I354" s="1426"/>
      <c r="J354" s="1426"/>
    </row>
    <row r="355" ht="15.75" customHeight="1">
      <c r="A355" s="1424"/>
      <c r="B355" s="1424"/>
      <c r="C355" s="1424"/>
      <c r="D355" s="1424"/>
      <c r="E355" s="1424"/>
      <c r="F355" s="1424"/>
      <c r="G355" s="1424"/>
      <c r="H355" s="1425"/>
      <c r="I355" s="1426"/>
      <c r="J355" s="1426"/>
    </row>
    <row r="356" ht="15.75" customHeight="1">
      <c r="A356" s="1424"/>
      <c r="B356" s="1424"/>
      <c r="C356" s="1424"/>
      <c r="D356" s="1424"/>
      <c r="E356" s="1424"/>
      <c r="F356" s="1424"/>
      <c r="G356" s="1424"/>
      <c r="H356" s="1425"/>
      <c r="I356" s="1426"/>
      <c r="J356" s="1426"/>
    </row>
    <row r="357" ht="15.75" customHeight="1">
      <c r="A357" s="1424"/>
      <c r="B357" s="1424"/>
      <c r="C357" s="1424"/>
      <c r="D357" s="1424"/>
      <c r="E357" s="1424"/>
      <c r="F357" s="1424"/>
      <c r="G357" s="1424"/>
      <c r="H357" s="1425"/>
      <c r="I357" s="1426"/>
      <c r="J357" s="1426"/>
    </row>
    <row r="358" ht="15.75" customHeight="1">
      <c r="A358" s="1424"/>
      <c r="B358" s="1424"/>
      <c r="C358" s="1424"/>
      <c r="D358" s="1424"/>
      <c r="E358" s="1424"/>
      <c r="F358" s="1424"/>
      <c r="G358" s="1424"/>
      <c r="H358" s="1425"/>
      <c r="I358" s="1426"/>
      <c r="J358" s="1426"/>
    </row>
    <row r="359" ht="15.75" customHeight="1">
      <c r="A359" s="1424"/>
      <c r="B359" s="1424"/>
      <c r="C359" s="1424"/>
      <c r="D359" s="1424"/>
      <c r="E359" s="1424"/>
      <c r="F359" s="1424"/>
      <c r="G359" s="1424"/>
      <c r="H359" s="1425"/>
      <c r="I359" s="1426"/>
      <c r="J359" s="1426"/>
    </row>
    <row r="360" ht="15.75" customHeight="1">
      <c r="A360" s="1424"/>
      <c r="B360" s="1424"/>
      <c r="C360" s="1424"/>
      <c r="D360" s="1424"/>
      <c r="E360" s="1424"/>
      <c r="F360" s="1424"/>
      <c r="G360" s="1424"/>
      <c r="H360" s="1425"/>
      <c r="I360" s="1426"/>
      <c r="J360" s="1426"/>
    </row>
    <row r="361" ht="15.75" customHeight="1">
      <c r="A361" s="1424"/>
      <c r="B361" s="1424"/>
      <c r="C361" s="1424"/>
      <c r="D361" s="1424"/>
      <c r="E361" s="1424"/>
      <c r="F361" s="1424"/>
      <c r="G361" s="1424"/>
      <c r="H361" s="1425"/>
      <c r="I361" s="1426"/>
      <c r="J361" s="1426"/>
    </row>
    <row r="362" ht="15.75" customHeight="1">
      <c r="A362" s="1424"/>
      <c r="B362" s="1424"/>
      <c r="C362" s="1424"/>
      <c r="D362" s="1424"/>
      <c r="E362" s="1424"/>
      <c r="F362" s="1424"/>
      <c r="G362" s="1424"/>
      <c r="H362" s="1425"/>
      <c r="I362" s="1426"/>
      <c r="J362" s="1426"/>
    </row>
    <row r="363" ht="15.75" customHeight="1">
      <c r="A363" s="1424"/>
      <c r="B363" s="1424"/>
      <c r="C363" s="1424"/>
      <c r="D363" s="1424"/>
      <c r="E363" s="1424"/>
      <c r="F363" s="1424"/>
      <c r="G363" s="1424"/>
      <c r="H363" s="1425"/>
      <c r="I363" s="1426"/>
      <c r="J363" s="1426"/>
    </row>
    <row r="364" ht="15.75" customHeight="1">
      <c r="A364" s="1424"/>
      <c r="B364" s="1424"/>
      <c r="C364" s="1424"/>
      <c r="D364" s="1424"/>
      <c r="E364" s="1424"/>
      <c r="F364" s="1424"/>
      <c r="G364" s="1424"/>
      <c r="H364" s="1425"/>
      <c r="I364" s="1426"/>
      <c r="J364" s="1426"/>
    </row>
    <row r="365" ht="15.75" customHeight="1">
      <c r="A365" s="1424"/>
      <c r="B365" s="1424"/>
      <c r="C365" s="1424"/>
      <c r="D365" s="1424"/>
      <c r="E365" s="1424"/>
      <c r="F365" s="1424"/>
      <c r="G365" s="1424"/>
      <c r="H365" s="1425"/>
      <c r="I365" s="1426"/>
      <c r="J365" s="1426"/>
    </row>
    <row r="366" ht="15.75" customHeight="1">
      <c r="A366" s="1424"/>
      <c r="B366" s="1424"/>
      <c r="C366" s="1424"/>
      <c r="D366" s="1424"/>
      <c r="E366" s="1424"/>
      <c r="F366" s="1424"/>
      <c r="G366" s="1424"/>
      <c r="H366" s="1425"/>
      <c r="I366" s="1426"/>
      <c r="J366" s="1426"/>
    </row>
    <row r="367" ht="15.75" customHeight="1">
      <c r="A367" s="1424"/>
      <c r="B367" s="1424"/>
      <c r="C367" s="1424"/>
      <c r="D367" s="1424"/>
      <c r="E367" s="1424"/>
      <c r="F367" s="1424"/>
      <c r="G367" s="1424"/>
      <c r="H367" s="1425"/>
      <c r="I367" s="1426"/>
      <c r="J367" s="1426"/>
    </row>
    <row r="368" ht="15.75" customHeight="1">
      <c r="A368" s="1424"/>
      <c r="B368" s="1424"/>
      <c r="C368" s="1424"/>
      <c r="D368" s="1424"/>
      <c r="E368" s="1424"/>
      <c r="F368" s="1424"/>
      <c r="G368" s="1424"/>
      <c r="H368" s="1425"/>
      <c r="I368" s="1426"/>
      <c r="J368" s="1426"/>
    </row>
    <row r="369" ht="15.75" customHeight="1">
      <c r="A369" s="1424"/>
      <c r="B369" s="1424"/>
      <c r="C369" s="1424"/>
      <c r="D369" s="1424"/>
      <c r="E369" s="1424"/>
      <c r="F369" s="1424"/>
      <c r="G369" s="1424"/>
      <c r="H369" s="1425"/>
      <c r="I369" s="1426"/>
      <c r="J369" s="1426"/>
    </row>
    <row r="370" ht="15.75" customHeight="1">
      <c r="A370" s="1424"/>
      <c r="B370" s="1424"/>
      <c r="C370" s="1424"/>
      <c r="D370" s="1424"/>
      <c r="E370" s="1424"/>
      <c r="F370" s="1424"/>
      <c r="G370" s="1424"/>
      <c r="H370" s="1425"/>
      <c r="I370" s="1426"/>
      <c r="J370" s="1426"/>
    </row>
    <row r="371" ht="15.75" customHeight="1">
      <c r="A371" s="1424"/>
      <c r="B371" s="1424"/>
      <c r="C371" s="1424"/>
      <c r="D371" s="1424"/>
      <c r="E371" s="1424"/>
      <c r="F371" s="1424"/>
      <c r="G371" s="1424"/>
      <c r="H371" s="1425"/>
      <c r="I371" s="1426"/>
      <c r="J371" s="1426"/>
    </row>
    <row r="372" ht="15.75" customHeight="1">
      <c r="A372" s="1424"/>
      <c r="B372" s="1424"/>
      <c r="C372" s="1424"/>
      <c r="D372" s="1424"/>
      <c r="E372" s="1424"/>
      <c r="F372" s="1424"/>
      <c r="G372" s="1424"/>
      <c r="H372" s="1425"/>
      <c r="I372" s="1426"/>
      <c r="J372" s="1426"/>
    </row>
    <row r="373" ht="15.75" customHeight="1">
      <c r="A373" s="1424"/>
      <c r="B373" s="1424"/>
      <c r="C373" s="1424"/>
      <c r="D373" s="1424"/>
      <c r="E373" s="1424"/>
      <c r="F373" s="1424"/>
      <c r="G373" s="1424"/>
      <c r="H373" s="1425"/>
      <c r="I373" s="1426"/>
      <c r="J373" s="1426"/>
    </row>
    <row r="374" ht="15.75" customHeight="1">
      <c r="A374" s="1424"/>
      <c r="B374" s="1424"/>
      <c r="C374" s="1424"/>
      <c r="D374" s="1424"/>
      <c r="E374" s="1424"/>
      <c r="F374" s="1424"/>
      <c r="G374" s="1424"/>
      <c r="H374" s="1425"/>
      <c r="I374" s="1426"/>
      <c r="J374" s="1426"/>
    </row>
    <row r="375" ht="15.75" customHeight="1">
      <c r="A375" s="1424"/>
      <c r="B375" s="1424"/>
      <c r="C375" s="1424"/>
      <c r="D375" s="1424"/>
      <c r="E375" s="1424"/>
      <c r="F375" s="1424"/>
      <c r="G375" s="1424"/>
      <c r="H375" s="1425"/>
      <c r="I375" s="1426"/>
      <c r="J375" s="1426"/>
    </row>
    <row r="376" ht="15.75" customHeight="1">
      <c r="A376" s="1424"/>
      <c r="B376" s="1424"/>
      <c r="C376" s="1424"/>
      <c r="D376" s="1424"/>
      <c r="E376" s="1424"/>
      <c r="F376" s="1424"/>
      <c r="G376" s="1424"/>
      <c r="H376" s="1425"/>
      <c r="I376" s="1426"/>
      <c r="J376" s="1426"/>
    </row>
    <row r="377" ht="15.75" customHeight="1">
      <c r="A377" s="1424"/>
      <c r="B377" s="1424"/>
      <c r="C377" s="1424"/>
      <c r="D377" s="1424"/>
      <c r="E377" s="1424"/>
      <c r="F377" s="1424"/>
      <c r="G377" s="1424"/>
      <c r="H377" s="1425"/>
      <c r="I377" s="1426"/>
      <c r="J377" s="1426"/>
    </row>
    <row r="378" ht="15.75" customHeight="1">
      <c r="A378" s="1424"/>
      <c r="B378" s="1424"/>
      <c r="C378" s="1424"/>
      <c r="D378" s="1424"/>
      <c r="E378" s="1424"/>
      <c r="F378" s="1424"/>
      <c r="G378" s="1424"/>
      <c r="H378" s="1425"/>
      <c r="I378" s="1426"/>
      <c r="J378" s="1426"/>
    </row>
    <row r="379" ht="15.75" customHeight="1">
      <c r="A379" s="1424"/>
      <c r="B379" s="1424"/>
      <c r="C379" s="1424"/>
      <c r="D379" s="1424"/>
      <c r="E379" s="1424"/>
      <c r="F379" s="1424"/>
      <c r="G379" s="1424"/>
      <c r="H379" s="1425"/>
      <c r="I379" s="1426"/>
      <c r="J379" s="1426"/>
    </row>
    <row r="380" ht="15.75" customHeight="1">
      <c r="A380" s="1424"/>
      <c r="B380" s="1424"/>
      <c r="C380" s="1424"/>
      <c r="D380" s="1424"/>
      <c r="E380" s="1424"/>
      <c r="F380" s="1424"/>
      <c r="G380" s="1424"/>
      <c r="H380" s="1425"/>
      <c r="I380" s="1426"/>
      <c r="J380" s="1426"/>
    </row>
    <row r="381" ht="15.75" customHeight="1">
      <c r="A381" s="1424"/>
      <c r="B381" s="1424"/>
      <c r="C381" s="1424"/>
      <c r="D381" s="1424"/>
      <c r="E381" s="1424"/>
      <c r="F381" s="1424"/>
      <c r="G381" s="1424"/>
      <c r="H381" s="1425"/>
      <c r="I381" s="1426"/>
      <c r="J381" s="1426"/>
    </row>
    <row r="382" ht="15.75" customHeight="1">
      <c r="A382" s="1424"/>
      <c r="B382" s="1424"/>
      <c r="C382" s="1424"/>
      <c r="D382" s="1424"/>
      <c r="E382" s="1424"/>
      <c r="F382" s="1424"/>
      <c r="G382" s="1424"/>
      <c r="H382" s="1425"/>
      <c r="I382" s="1426"/>
      <c r="J382" s="1426"/>
    </row>
    <row r="383" ht="15.75" customHeight="1">
      <c r="A383" s="1424"/>
      <c r="B383" s="1424"/>
      <c r="C383" s="1424"/>
      <c r="D383" s="1424"/>
      <c r="E383" s="1424"/>
      <c r="F383" s="1424"/>
      <c r="G383" s="1424"/>
      <c r="H383" s="1425"/>
      <c r="I383" s="1426"/>
      <c r="J383" s="1426"/>
    </row>
    <row r="384" ht="15.75" customHeight="1">
      <c r="A384" s="1424"/>
      <c r="B384" s="1424"/>
      <c r="C384" s="1424"/>
      <c r="D384" s="1424"/>
      <c r="E384" s="1424"/>
      <c r="F384" s="1424"/>
      <c r="G384" s="1424"/>
      <c r="H384" s="1425"/>
      <c r="I384" s="1426"/>
      <c r="J384" s="1426"/>
    </row>
    <row r="385" ht="15.75" customHeight="1">
      <c r="A385" s="1424"/>
      <c r="B385" s="1424"/>
      <c r="C385" s="1424"/>
      <c r="D385" s="1424"/>
      <c r="E385" s="1424"/>
      <c r="F385" s="1424"/>
      <c r="G385" s="1424"/>
      <c r="H385" s="1425"/>
      <c r="I385" s="1426"/>
      <c r="J385" s="1426"/>
    </row>
    <row r="386" ht="15.75" customHeight="1">
      <c r="A386" s="1424"/>
      <c r="B386" s="1424"/>
      <c r="C386" s="1424"/>
      <c r="D386" s="1424"/>
      <c r="E386" s="1424"/>
      <c r="F386" s="1424"/>
      <c r="G386" s="1424"/>
      <c r="H386" s="1425"/>
      <c r="I386" s="1426"/>
      <c r="J386" s="1426"/>
    </row>
    <row r="387" ht="15.75" customHeight="1">
      <c r="A387" s="1424"/>
      <c r="B387" s="1424"/>
      <c r="C387" s="1424"/>
      <c r="D387" s="1424"/>
      <c r="E387" s="1424"/>
      <c r="F387" s="1424"/>
      <c r="G387" s="1424"/>
      <c r="H387" s="1425"/>
      <c r="I387" s="1426"/>
      <c r="J387" s="1426"/>
    </row>
    <row r="388" ht="15.75" customHeight="1">
      <c r="A388" s="1424"/>
      <c r="B388" s="1424"/>
      <c r="C388" s="1424"/>
      <c r="D388" s="1424"/>
      <c r="E388" s="1424"/>
      <c r="F388" s="1424"/>
      <c r="G388" s="1424"/>
      <c r="H388" s="1425"/>
      <c r="I388" s="1426"/>
      <c r="J388" s="1426"/>
    </row>
    <row r="389" ht="15.75" customHeight="1">
      <c r="A389" s="1424"/>
      <c r="B389" s="1424"/>
      <c r="C389" s="1424"/>
      <c r="D389" s="1424"/>
      <c r="E389" s="1424"/>
      <c r="F389" s="1424"/>
      <c r="G389" s="1424"/>
      <c r="H389" s="1425"/>
      <c r="I389" s="1426"/>
      <c r="J389" s="1426"/>
    </row>
    <row r="390" ht="15.75" customHeight="1">
      <c r="A390" s="1424"/>
      <c r="B390" s="1424"/>
      <c r="C390" s="1424"/>
      <c r="D390" s="1424"/>
      <c r="E390" s="1424"/>
      <c r="F390" s="1424"/>
      <c r="G390" s="1424"/>
      <c r="H390" s="1425"/>
      <c r="I390" s="1426"/>
      <c r="J390" s="1426"/>
    </row>
    <row r="391" ht="15.75" customHeight="1">
      <c r="A391" s="1424"/>
      <c r="B391" s="1424"/>
      <c r="C391" s="1424"/>
      <c r="D391" s="1424"/>
      <c r="E391" s="1424"/>
      <c r="F391" s="1424"/>
      <c r="G391" s="1424"/>
      <c r="H391" s="1425"/>
      <c r="I391" s="1426"/>
      <c r="J391" s="1426"/>
    </row>
    <row r="392" ht="15.75" customHeight="1">
      <c r="A392" s="1424"/>
      <c r="B392" s="1424"/>
      <c r="C392" s="1424"/>
      <c r="D392" s="1424"/>
      <c r="E392" s="1424"/>
      <c r="F392" s="1424"/>
      <c r="G392" s="1424"/>
      <c r="H392" s="1425"/>
      <c r="I392" s="1426"/>
      <c r="J392" s="1426"/>
    </row>
    <row r="393" ht="15.75" customHeight="1">
      <c r="A393" s="1424"/>
      <c r="B393" s="1424"/>
      <c r="C393" s="1424"/>
      <c r="D393" s="1424"/>
      <c r="E393" s="1424"/>
      <c r="F393" s="1424"/>
      <c r="G393" s="1424"/>
      <c r="H393" s="1425"/>
      <c r="I393" s="1426"/>
      <c r="J393" s="1426"/>
    </row>
    <row r="394" ht="15.75" customHeight="1">
      <c r="A394" s="1424"/>
      <c r="B394" s="1424"/>
      <c r="C394" s="1424"/>
      <c r="D394" s="1424"/>
      <c r="E394" s="1424"/>
      <c r="F394" s="1424"/>
      <c r="G394" s="1424"/>
      <c r="H394" s="1425"/>
      <c r="I394" s="1426"/>
      <c r="J394" s="1426"/>
    </row>
    <row r="395" ht="15.75" customHeight="1">
      <c r="A395" s="1424"/>
      <c r="B395" s="1424"/>
      <c r="C395" s="1424"/>
      <c r="D395" s="1424"/>
      <c r="E395" s="1424"/>
      <c r="F395" s="1424"/>
      <c r="G395" s="1424"/>
      <c r="H395" s="1425"/>
      <c r="I395" s="1426"/>
      <c r="J395" s="1426"/>
    </row>
    <row r="396" ht="15.75" customHeight="1">
      <c r="A396" s="1424"/>
      <c r="B396" s="1424"/>
      <c r="C396" s="1424"/>
      <c r="D396" s="1424"/>
      <c r="E396" s="1424"/>
      <c r="F396" s="1424"/>
      <c r="G396" s="1424"/>
      <c r="H396" s="1425"/>
      <c r="I396" s="1426"/>
      <c r="J396" s="1426"/>
    </row>
    <row r="397" ht="15.75" customHeight="1">
      <c r="A397" s="1424"/>
      <c r="B397" s="1424"/>
      <c r="C397" s="1424"/>
      <c r="D397" s="1424"/>
      <c r="E397" s="1424"/>
      <c r="F397" s="1424"/>
      <c r="G397" s="1424"/>
      <c r="H397" s="1425"/>
      <c r="I397" s="1426"/>
      <c r="J397" s="1426"/>
    </row>
    <row r="398" ht="15.75" customHeight="1">
      <c r="A398" s="1424"/>
      <c r="B398" s="1424"/>
      <c r="C398" s="1424"/>
      <c r="D398" s="1424"/>
      <c r="E398" s="1424"/>
      <c r="F398" s="1424"/>
      <c r="G398" s="1424"/>
      <c r="H398" s="1425"/>
      <c r="I398" s="1426"/>
      <c r="J398" s="1426"/>
    </row>
    <row r="399" ht="15.75" customHeight="1">
      <c r="A399" s="1424"/>
      <c r="B399" s="1424"/>
      <c r="C399" s="1424"/>
      <c r="D399" s="1424"/>
      <c r="E399" s="1424"/>
      <c r="F399" s="1424"/>
      <c r="G399" s="1424"/>
      <c r="H399" s="1425"/>
      <c r="I399" s="1426"/>
      <c r="J399" s="1426"/>
    </row>
    <row r="400" ht="15.75" customHeight="1">
      <c r="A400" s="1424"/>
      <c r="B400" s="1424"/>
      <c r="C400" s="1424"/>
      <c r="D400" s="1424"/>
      <c r="E400" s="1424"/>
      <c r="F400" s="1424"/>
      <c r="G400" s="1424"/>
      <c r="H400" s="1425"/>
      <c r="I400" s="1426"/>
      <c r="J400" s="1426"/>
    </row>
    <row r="401" ht="15.75" customHeight="1">
      <c r="A401" s="1424"/>
      <c r="B401" s="1424"/>
      <c r="C401" s="1424"/>
      <c r="D401" s="1424"/>
      <c r="E401" s="1424"/>
      <c r="F401" s="1424"/>
      <c r="G401" s="1424"/>
      <c r="H401" s="1425"/>
      <c r="I401" s="1426"/>
      <c r="J401" s="1426"/>
    </row>
    <row r="402" ht="15.75" customHeight="1">
      <c r="A402" s="1424"/>
      <c r="B402" s="1424"/>
      <c r="C402" s="1424"/>
      <c r="D402" s="1424"/>
      <c r="E402" s="1424"/>
      <c r="F402" s="1424"/>
      <c r="G402" s="1424"/>
      <c r="H402" s="1425"/>
      <c r="I402" s="1426"/>
      <c r="J402" s="1426"/>
    </row>
    <row r="403" ht="15.75" customHeight="1">
      <c r="A403" s="1424"/>
      <c r="B403" s="1424"/>
      <c r="C403" s="1424"/>
      <c r="D403" s="1424"/>
      <c r="E403" s="1424"/>
      <c r="F403" s="1424"/>
      <c r="G403" s="1424"/>
      <c r="H403" s="1425"/>
      <c r="I403" s="1426"/>
      <c r="J403" s="1426"/>
    </row>
    <row r="404" ht="15.75" customHeight="1">
      <c r="A404" s="1424"/>
      <c r="B404" s="1424"/>
      <c r="C404" s="1424"/>
      <c r="D404" s="1424"/>
      <c r="E404" s="1424"/>
      <c r="F404" s="1424"/>
      <c r="G404" s="1424"/>
      <c r="H404" s="1425"/>
      <c r="I404" s="1426"/>
      <c r="J404" s="1426"/>
    </row>
    <row r="405" ht="15.75" customHeight="1">
      <c r="A405" s="1424"/>
      <c r="B405" s="1424"/>
      <c r="C405" s="1424"/>
      <c r="D405" s="1424"/>
      <c r="E405" s="1424"/>
      <c r="F405" s="1424"/>
      <c r="G405" s="1424"/>
      <c r="H405" s="1425"/>
      <c r="I405" s="1426"/>
      <c r="J405" s="1426"/>
    </row>
    <row r="406" ht="15.75" customHeight="1">
      <c r="A406" s="1424"/>
      <c r="B406" s="1424"/>
      <c r="C406" s="1424"/>
      <c r="D406" s="1424"/>
      <c r="E406" s="1424"/>
      <c r="F406" s="1424"/>
      <c r="G406" s="1424"/>
      <c r="H406" s="1425"/>
      <c r="I406" s="1426"/>
      <c r="J406" s="1426"/>
    </row>
    <row r="407" ht="15.75" customHeight="1">
      <c r="A407" s="1424"/>
      <c r="B407" s="1424"/>
      <c r="C407" s="1424"/>
      <c r="D407" s="1424"/>
      <c r="E407" s="1424"/>
      <c r="F407" s="1424"/>
      <c r="G407" s="1424"/>
      <c r="H407" s="1425"/>
      <c r="I407" s="1426"/>
      <c r="J407" s="1426"/>
    </row>
    <row r="408" ht="15.75" customHeight="1">
      <c r="A408" s="1424"/>
      <c r="B408" s="1424"/>
      <c r="C408" s="1424"/>
      <c r="D408" s="1424"/>
      <c r="E408" s="1424"/>
      <c r="F408" s="1424"/>
      <c r="G408" s="1424"/>
      <c r="H408" s="1425"/>
      <c r="I408" s="1426"/>
      <c r="J408" s="1426"/>
    </row>
    <row r="409" ht="15.75" customHeight="1">
      <c r="A409" s="1424"/>
      <c r="B409" s="1424"/>
      <c r="C409" s="1424"/>
      <c r="D409" s="1424"/>
      <c r="E409" s="1424"/>
      <c r="F409" s="1424"/>
      <c r="G409" s="1424"/>
      <c r="H409" s="1425"/>
      <c r="I409" s="1426"/>
      <c r="J409" s="1426"/>
    </row>
    <row r="410" ht="15.75" customHeight="1">
      <c r="A410" s="1424"/>
      <c r="B410" s="1424"/>
      <c r="C410" s="1424"/>
      <c r="D410" s="1424"/>
      <c r="E410" s="1424"/>
      <c r="F410" s="1424"/>
      <c r="G410" s="1424"/>
      <c r="H410" s="1425"/>
      <c r="I410" s="1426"/>
      <c r="J410" s="1426"/>
    </row>
    <row r="411" ht="15.75" customHeight="1">
      <c r="A411" s="1424"/>
      <c r="B411" s="1424"/>
      <c r="C411" s="1424"/>
      <c r="D411" s="1424"/>
      <c r="E411" s="1424"/>
      <c r="F411" s="1424"/>
      <c r="G411" s="1424"/>
      <c r="H411" s="1425"/>
      <c r="I411" s="1426"/>
      <c r="J411" s="1426"/>
    </row>
    <row r="412" ht="15.75" customHeight="1">
      <c r="A412" s="1424"/>
      <c r="B412" s="1424"/>
      <c r="C412" s="1424"/>
      <c r="D412" s="1424"/>
      <c r="E412" s="1424"/>
      <c r="F412" s="1424"/>
      <c r="G412" s="1424"/>
      <c r="H412" s="1425"/>
      <c r="I412" s="1426"/>
      <c r="J412" s="1426"/>
    </row>
    <row r="413" ht="15.75" customHeight="1">
      <c r="A413" s="1424"/>
      <c r="B413" s="1424"/>
      <c r="C413" s="1424"/>
      <c r="D413" s="1424"/>
      <c r="E413" s="1424"/>
      <c r="F413" s="1424"/>
      <c r="G413" s="1424"/>
      <c r="H413" s="1425"/>
      <c r="I413" s="1426"/>
      <c r="J413" s="1426"/>
    </row>
    <row r="414" ht="15.75" customHeight="1">
      <c r="A414" s="1424"/>
      <c r="B414" s="1424"/>
      <c r="C414" s="1424"/>
      <c r="D414" s="1424"/>
      <c r="E414" s="1424"/>
      <c r="F414" s="1424"/>
      <c r="G414" s="1424"/>
      <c r="H414" s="1425"/>
      <c r="I414" s="1426"/>
      <c r="J414" s="1426"/>
    </row>
    <row r="415" ht="15.75" customHeight="1">
      <c r="A415" s="1424"/>
      <c r="B415" s="1424"/>
      <c r="C415" s="1424"/>
      <c r="D415" s="1424"/>
      <c r="E415" s="1424"/>
      <c r="F415" s="1424"/>
      <c r="G415" s="1424"/>
      <c r="H415" s="1425"/>
      <c r="I415" s="1426"/>
      <c r="J415" s="1426"/>
    </row>
    <row r="416" ht="15.75" customHeight="1">
      <c r="A416" s="1424"/>
      <c r="B416" s="1424"/>
      <c r="C416" s="1424"/>
      <c r="D416" s="1424"/>
      <c r="E416" s="1424"/>
      <c r="F416" s="1424"/>
      <c r="G416" s="1424"/>
      <c r="H416" s="1425"/>
      <c r="I416" s="1426"/>
      <c r="J416" s="1426"/>
    </row>
    <row r="417" ht="15.75" customHeight="1">
      <c r="A417" s="1424"/>
      <c r="B417" s="1424"/>
      <c r="C417" s="1424"/>
      <c r="D417" s="1424"/>
      <c r="E417" s="1424"/>
      <c r="F417" s="1424"/>
      <c r="G417" s="1424"/>
      <c r="H417" s="1425"/>
      <c r="I417" s="1426"/>
      <c r="J417" s="1426"/>
    </row>
    <row r="418" ht="15.75" customHeight="1">
      <c r="A418" s="1424"/>
      <c r="B418" s="1424"/>
      <c r="C418" s="1424"/>
      <c r="D418" s="1424"/>
      <c r="E418" s="1424"/>
      <c r="F418" s="1424"/>
      <c r="G418" s="1424"/>
      <c r="H418" s="1425"/>
      <c r="I418" s="1426"/>
      <c r="J418" s="1426"/>
    </row>
    <row r="419" ht="15.75" customHeight="1">
      <c r="A419" s="1424"/>
      <c r="B419" s="1424"/>
      <c r="C419" s="1424"/>
      <c r="D419" s="1424"/>
      <c r="E419" s="1424"/>
      <c r="F419" s="1424"/>
      <c r="G419" s="1424"/>
      <c r="H419" s="1425"/>
      <c r="I419" s="1426"/>
      <c r="J419" s="1426"/>
    </row>
    <row r="420" ht="15.75" customHeight="1">
      <c r="A420" s="1424"/>
      <c r="B420" s="1424"/>
      <c r="C420" s="1424"/>
      <c r="D420" s="1424"/>
      <c r="E420" s="1424"/>
      <c r="F420" s="1424"/>
      <c r="G420" s="1424"/>
      <c r="H420" s="1425"/>
      <c r="I420" s="1426"/>
      <c r="J420" s="1426"/>
    </row>
    <row r="421" ht="15.75" customHeight="1">
      <c r="A421" s="1424"/>
      <c r="B421" s="1424"/>
      <c r="C421" s="1424"/>
      <c r="D421" s="1424"/>
      <c r="E421" s="1424"/>
      <c r="F421" s="1424"/>
      <c r="G421" s="1424"/>
      <c r="H421" s="1425"/>
      <c r="I421" s="1426"/>
      <c r="J421" s="1426"/>
    </row>
    <row r="422" ht="15.75" customHeight="1">
      <c r="A422" s="1424"/>
      <c r="B422" s="1424"/>
      <c r="C422" s="1424"/>
      <c r="D422" s="1424"/>
      <c r="E422" s="1424"/>
      <c r="F422" s="1424"/>
      <c r="G422" s="1424"/>
      <c r="H422" s="1425"/>
      <c r="I422" s="1426"/>
      <c r="J422" s="1426"/>
    </row>
    <row r="423" ht="15.75" customHeight="1">
      <c r="A423" s="1424"/>
      <c r="B423" s="1424"/>
      <c r="C423" s="1424"/>
      <c r="D423" s="1424"/>
      <c r="E423" s="1424"/>
      <c r="F423" s="1424"/>
      <c r="G423" s="1424"/>
      <c r="H423" s="1425"/>
      <c r="I423" s="1426"/>
      <c r="J423" s="1426"/>
    </row>
    <row r="424" ht="15.75" customHeight="1">
      <c r="A424" s="1424"/>
      <c r="B424" s="1424"/>
      <c r="C424" s="1424"/>
      <c r="D424" s="1424"/>
      <c r="E424" s="1424"/>
      <c r="F424" s="1424"/>
      <c r="G424" s="1424"/>
      <c r="H424" s="1425"/>
      <c r="I424" s="1426"/>
      <c r="J424" s="1426"/>
    </row>
    <row r="425" ht="15.75" customHeight="1">
      <c r="A425" s="1424"/>
      <c r="B425" s="1424"/>
      <c r="C425" s="1424"/>
      <c r="D425" s="1424"/>
      <c r="E425" s="1424"/>
      <c r="F425" s="1424"/>
      <c r="G425" s="1424"/>
      <c r="H425" s="1425"/>
      <c r="I425" s="1426"/>
      <c r="J425" s="1426"/>
    </row>
    <row r="426" ht="15.75" customHeight="1">
      <c r="A426" s="1424"/>
      <c r="B426" s="1424"/>
      <c r="C426" s="1424"/>
      <c r="D426" s="1424"/>
      <c r="E426" s="1424"/>
      <c r="F426" s="1424"/>
      <c r="G426" s="1424"/>
      <c r="H426" s="1425"/>
      <c r="I426" s="1426"/>
      <c r="J426" s="1426"/>
    </row>
    <row r="427" ht="15.75" customHeight="1">
      <c r="A427" s="1424"/>
      <c r="B427" s="1424"/>
      <c r="C427" s="1424"/>
      <c r="D427" s="1424"/>
      <c r="E427" s="1424"/>
      <c r="F427" s="1424"/>
      <c r="G427" s="1424"/>
      <c r="H427" s="1425"/>
      <c r="I427" s="1426"/>
      <c r="J427" s="1426"/>
    </row>
    <row r="428" ht="15.75" customHeight="1">
      <c r="A428" s="1424"/>
      <c r="B428" s="1424"/>
      <c r="C428" s="1424"/>
      <c r="D428" s="1424"/>
      <c r="E428" s="1424"/>
      <c r="F428" s="1424"/>
      <c r="G428" s="1424"/>
      <c r="H428" s="1425"/>
      <c r="I428" s="1426"/>
      <c r="J428" s="1426"/>
    </row>
    <row r="429" ht="15.75" customHeight="1">
      <c r="A429" s="1424"/>
      <c r="B429" s="1424"/>
      <c r="C429" s="1424"/>
      <c r="D429" s="1424"/>
      <c r="E429" s="1424"/>
      <c r="F429" s="1424"/>
      <c r="G429" s="1424"/>
      <c r="H429" s="1425"/>
      <c r="I429" s="1426"/>
      <c r="J429" s="1426"/>
    </row>
    <row r="430" ht="15.75" customHeight="1">
      <c r="A430" s="1424"/>
      <c r="B430" s="1424"/>
      <c r="C430" s="1424"/>
      <c r="D430" s="1424"/>
      <c r="E430" s="1424"/>
      <c r="F430" s="1424"/>
      <c r="G430" s="1424"/>
      <c r="H430" s="1425"/>
      <c r="I430" s="1426"/>
      <c r="J430" s="1426"/>
    </row>
    <row r="431" ht="15.75" customHeight="1">
      <c r="A431" s="1424"/>
      <c r="B431" s="1424"/>
      <c r="C431" s="1424"/>
      <c r="D431" s="1424"/>
      <c r="E431" s="1424"/>
      <c r="F431" s="1424"/>
      <c r="G431" s="1424"/>
      <c r="H431" s="1425"/>
      <c r="I431" s="1426"/>
      <c r="J431" s="1426"/>
    </row>
    <row r="432" ht="15.75" customHeight="1">
      <c r="A432" s="1424"/>
      <c r="B432" s="1424"/>
      <c r="C432" s="1424"/>
      <c r="D432" s="1424"/>
      <c r="E432" s="1424"/>
      <c r="F432" s="1424"/>
      <c r="G432" s="1424"/>
      <c r="H432" s="1425"/>
      <c r="I432" s="1426"/>
      <c r="J432" s="1426"/>
    </row>
    <row r="433" ht="15.75" customHeight="1">
      <c r="A433" s="1424"/>
      <c r="B433" s="1424"/>
      <c r="C433" s="1424"/>
      <c r="D433" s="1424"/>
      <c r="E433" s="1424"/>
      <c r="F433" s="1424"/>
      <c r="G433" s="1424"/>
      <c r="H433" s="1425"/>
      <c r="I433" s="1426"/>
      <c r="J433" s="1426"/>
    </row>
    <row r="434" ht="15.75" customHeight="1">
      <c r="A434" s="1424"/>
      <c r="B434" s="1424"/>
      <c r="C434" s="1424"/>
      <c r="D434" s="1424"/>
      <c r="E434" s="1424"/>
      <c r="F434" s="1424"/>
      <c r="G434" s="1424"/>
      <c r="H434" s="1425"/>
      <c r="I434" s="1426"/>
      <c r="J434" s="1426"/>
    </row>
    <row r="435" ht="15.75" customHeight="1">
      <c r="A435" s="1424"/>
      <c r="B435" s="1424"/>
      <c r="C435" s="1424"/>
      <c r="D435" s="1424"/>
      <c r="E435" s="1424"/>
      <c r="F435" s="1424"/>
      <c r="G435" s="1424"/>
      <c r="H435" s="1425"/>
      <c r="I435" s="1426"/>
      <c r="J435" s="1426"/>
    </row>
    <row r="436" ht="15.75" customHeight="1">
      <c r="A436" s="1424"/>
      <c r="B436" s="1424"/>
      <c r="C436" s="1424"/>
      <c r="D436" s="1424"/>
      <c r="E436" s="1424"/>
      <c r="F436" s="1424"/>
      <c r="G436" s="1424"/>
      <c r="H436" s="1425"/>
      <c r="I436" s="1426"/>
      <c r="J436" s="1426"/>
    </row>
    <row r="437" ht="15.75" customHeight="1">
      <c r="A437" s="1424"/>
      <c r="B437" s="1424"/>
      <c r="C437" s="1424"/>
      <c r="D437" s="1424"/>
      <c r="E437" s="1424"/>
      <c r="F437" s="1424"/>
      <c r="G437" s="1424"/>
      <c r="H437" s="1425"/>
      <c r="I437" s="1426"/>
      <c r="J437" s="1426"/>
    </row>
    <row r="438" ht="15.75" customHeight="1">
      <c r="A438" s="1424"/>
      <c r="B438" s="1424"/>
      <c r="C438" s="1424"/>
      <c r="D438" s="1424"/>
      <c r="E438" s="1424"/>
      <c r="F438" s="1424"/>
      <c r="G438" s="1424"/>
      <c r="H438" s="1425"/>
      <c r="I438" s="1426"/>
      <c r="J438" s="1426"/>
    </row>
    <row r="439" ht="15.75" customHeight="1">
      <c r="A439" s="1424"/>
      <c r="B439" s="1424"/>
      <c r="C439" s="1424"/>
      <c r="D439" s="1424"/>
      <c r="E439" s="1424"/>
      <c r="F439" s="1424"/>
      <c r="G439" s="1424"/>
      <c r="H439" s="1425"/>
      <c r="I439" s="1426"/>
      <c r="J439" s="1426"/>
    </row>
    <row r="440" ht="15.75" customHeight="1">
      <c r="A440" s="1424"/>
      <c r="B440" s="1424"/>
      <c r="C440" s="1424"/>
      <c r="D440" s="1424"/>
      <c r="E440" s="1424"/>
      <c r="F440" s="1424"/>
      <c r="G440" s="1424"/>
      <c r="H440" s="1425"/>
      <c r="I440" s="1426"/>
      <c r="J440" s="1426"/>
    </row>
    <row r="441" ht="15.75" customHeight="1">
      <c r="A441" s="1424"/>
      <c r="B441" s="1424"/>
      <c r="C441" s="1424"/>
      <c r="D441" s="1424"/>
      <c r="E441" s="1424"/>
      <c r="F441" s="1424"/>
      <c r="G441" s="1424"/>
      <c r="H441" s="1425"/>
      <c r="I441" s="1426"/>
      <c r="J441" s="1426"/>
    </row>
    <row r="442" ht="15.75" customHeight="1">
      <c r="A442" s="1424"/>
      <c r="B442" s="1424"/>
      <c r="C442" s="1424"/>
      <c r="D442" s="1424"/>
      <c r="E442" s="1424"/>
      <c r="F442" s="1424"/>
      <c r="G442" s="1424"/>
      <c r="H442" s="1425"/>
      <c r="I442" s="1426"/>
      <c r="J442" s="1426"/>
    </row>
    <row r="443" ht="15.75" customHeight="1">
      <c r="A443" s="1424"/>
      <c r="B443" s="1424"/>
      <c r="C443" s="1424"/>
      <c r="D443" s="1424"/>
      <c r="E443" s="1424"/>
      <c r="F443" s="1424"/>
      <c r="G443" s="1424"/>
      <c r="H443" s="1425"/>
      <c r="I443" s="1426"/>
      <c r="J443" s="1426"/>
    </row>
    <row r="444" ht="15.75" customHeight="1">
      <c r="A444" s="1424"/>
      <c r="B444" s="1424"/>
      <c r="C444" s="1424"/>
      <c r="D444" s="1424"/>
      <c r="E444" s="1424"/>
      <c r="F444" s="1424"/>
      <c r="G444" s="1424"/>
      <c r="H444" s="1425"/>
      <c r="I444" s="1426"/>
      <c r="J444" s="1426"/>
    </row>
    <row r="445" ht="15.75" customHeight="1">
      <c r="A445" s="1424"/>
      <c r="B445" s="1424"/>
      <c r="C445" s="1424"/>
      <c r="D445" s="1424"/>
      <c r="E445" s="1424"/>
      <c r="F445" s="1424"/>
      <c r="G445" s="1424"/>
      <c r="H445" s="1425"/>
      <c r="I445" s="1426"/>
      <c r="J445" s="1426"/>
    </row>
    <row r="446" ht="15.75" customHeight="1">
      <c r="A446" s="1424"/>
      <c r="B446" s="1424"/>
      <c r="C446" s="1424"/>
      <c r="D446" s="1424"/>
      <c r="E446" s="1424"/>
      <c r="F446" s="1424"/>
      <c r="G446" s="1424"/>
      <c r="H446" s="1425"/>
      <c r="I446" s="1426"/>
      <c r="J446" s="1426"/>
    </row>
    <row r="447" ht="15.75" customHeight="1">
      <c r="A447" s="1424"/>
      <c r="B447" s="1424"/>
      <c r="C447" s="1424"/>
      <c r="D447" s="1424"/>
      <c r="E447" s="1424"/>
      <c r="F447" s="1424"/>
      <c r="G447" s="1424"/>
      <c r="H447" s="1425"/>
      <c r="I447" s="1426"/>
      <c r="J447" s="1426"/>
    </row>
    <row r="448" ht="15.75" customHeight="1">
      <c r="A448" s="1424"/>
      <c r="B448" s="1424"/>
      <c r="C448" s="1424"/>
      <c r="D448" s="1424"/>
      <c r="E448" s="1424"/>
      <c r="F448" s="1424"/>
      <c r="G448" s="1424"/>
      <c r="H448" s="1425"/>
      <c r="I448" s="1426"/>
      <c r="J448" s="1426"/>
    </row>
    <row r="449" ht="15.75" customHeight="1">
      <c r="A449" s="1424"/>
      <c r="B449" s="1424"/>
      <c r="C449" s="1424"/>
      <c r="D449" s="1424"/>
      <c r="E449" s="1424"/>
      <c r="F449" s="1424"/>
      <c r="G449" s="1424"/>
      <c r="H449" s="1425"/>
      <c r="I449" s="1426"/>
      <c r="J449" s="1426"/>
    </row>
    <row r="450" ht="15.75" customHeight="1">
      <c r="A450" s="1424"/>
      <c r="B450" s="1424"/>
      <c r="C450" s="1424"/>
      <c r="D450" s="1424"/>
      <c r="E450" s="1424"/>
      <c r="F450" s="1424"/>
      <c r="G450" s="1424"/>
      <c r="H450" s="1425"/>
      <c r="I450" s="1426"/>
      <c r="J450" s="1426"/>
    </row>
    <row r="451" ht="15.75" customHeight="1">
      <c r="A451" s="1424"/>
      <c r="B451" s="1424"/>
      <c r="C451" s="1424"/>
      <c r="D451" s="1424"/>
      <c r="E451" s="1424"/>
      <c r="F451" s="1424"/>
      <c r="G451" s="1424"/>
      <c r="H451" s="1425"/>
      <c r="I451" s="1426"/>
      <c r="J451" s="1426"/>
    </row>
    <row r="452" ht="15.75" customHeight="1">
      <c r="A452" s="1424"/>
      <c r="B452" s="1424"/>
      <c r="C452" s="1424"/>
      <c r="D452" s="1424"/>
      <c r="E452" s="1424"/>
      <c r="F452" s="1424"/>
      <c r="G452" s="1424"/>
      <c r="H452" s="1425"/>
      <c r="I452" s="1426"/>
      <c r="J452" s="1426"/>
    </row>
    <row r="453" ht="15.75" customHeight="1">
      <c r="A453" s="1424"/>
      <c r="B453" s="1424"/>
      <c r="C453" s="1424"/>
      <c r="D453" s="1424"/>
      <c r="E453" s="1424"/>
      <c r="F453" s="1424"/>
      <c r="G453" s="1424"/>
      <c r="H453" s="1425"/>
      <c r="I453" s="1426"/>
      <c r="J453" s="1426"/>
    </row>
    <row r="454" ht="15.75" customHeight="1">
      <c r="A454" s="1424"/>
      <c r="B454" s="1424"/>
      <c r="C454" s="1424"/>
      <c r="D454" s="1424"/>
      <c r="E454" s="1424"/>
      <c r="F454" s="1424"/>
      <c r="G454" s="1424"/>
      <c r="H454" s="1425"/>
      <c r="I454" s="1426"/>
      <c r="J454" s="1426"/>
    </row>
    <row r="455" ht="15.75" customHeight="1">
      <c r="A455" s="1424"/>
      <c r="B455" s="1424"/>
      <c r="C455" s="1424"/>
      <c r="D455" s="1424"/>
      <c r="E455" s="1424"/>
      <c r="F455" s="1424"/>
      <c r="G455" s="1424"/>
      <c r="H455" s="1425"/>
      <c r="I455" s="1426"/>
      <c r="J455" s="1426"/>
    </row>
    <row r="456" ht="15.75" customHeight="1">
      <c r="A456" s="1424"/>
      <c r="B456" s="1424"/>
      <c r="C456" s="1424"/>
      <c r="D456" s="1424"/>
      <c r="E456" s="1424"/>
      <c r="F456" s="1424"/>
      <c r="G456" s="1424"/>
      <c r="H456" s="1425"/>
      <c r="I456" s="1426"/>
      <c r="J456" s="1426"/>
    </row>
    <row r="457" ht="15.75" customHeight="1">
      <c r="A457" s="1424"/>
      <c r="B457" s="1424"/>
      <c r="C457" s="1424"/>
      <c r="D457" s="1424"/>
      <c r="E457" s="1424"/>
      <c r="F457" s="1424"/>
      <c r="G457" s="1424"/>
      <c r="H457" s="1425"/>
      <c r="I457" s="1426"/>
      <c r="J457" s="1426"/>
    </row>
    <row r="458" ht="15.75" customHeight="1">
      <c r="A458" s="1424"/>
      <c r="B458" s="1424"/>
      <c r="C458" s="1424"/>
      <c r="D458" s="1424"/>
      <c r="E458" s="1424"/>
      <c r="F458" s="1424"/>
      <c r="G458" s="1424"/>
      <c r="H458" s="1425"/>
      <c r="I458" s="1426"/>
      <c r="J458" s="1426"/>
    </row>
    <row r="459" ht="15.75" customHeight="1">
      <c r="A459" s="1424"/>
      <c r="B459" s="1424"/>
      <c r="C459" s="1424"/>
      <c r="D459" s="1424"/>
      <c r="E459" s="1424"/>
      <c r="F459" s="1424"/>
      <c r="G459" s="1424"/>
      <c r="H459" s="1425"/>
      <c r="I459" s="1426"/>
      <c r="J459" s="1426"/>
    </row>
    <row r="460" ht="15.75" customHeight="1">
      <c r="A460" s="1424"/>
      <c r="B460" s="1424"/>
      <c r="C460" s="1424"/>
      <c r="D460" s="1424"/>
      <c r="E460" s="1424"/>
      <c r="F460" s="1424"/>
      <c r="G460" s="1424"/>
      <c r="H460" s="1425"/>
      <c r="I460" s="1426"/>
      <c r="J460" s="1426"/>
    </row>
    <row r="461" ht="15.75" customHeight="1">
      <c r="A461" s="1424"/>
      <c r="B461" s="1424"/>
      <c r="C461" s="1424"/>
      <c r="D461" s="1424"/>
      <c r="E461" s="1424"/>
      <c r="F461" s="1424"/>
      <c r="G461" s="1424"/>
      <c r="H461" s="1425"/>
      <c r="I461" s="1426"/>
      <c r="J461" s="1426"/>
    </row>
    <row r="462" ht="15.75" customHeight="1">
      <c r="A462" s="1424"/>
      <c r="B462" s="1424"/>
      <c r="C462" s="1424"/>
      <c r="D462" s="1424"/>
      <c r="E462" s="1424"/>
      <c r="F462" s="1424"/>
      <c r="G462" s="1424"/>
      <c r="H462" s="1425"/>
      <c r="I462" s="1426"/>
      <c r="J462" s="1426"/>
    </row>
    <row r="463" ht="15.75" customHeight="1">
      <c r="A463" s="1424"/>
      <c r="B463" s="1424"/>
      <c r="C463" s="1424"/>
      <c r="D463" s="1424"/>
      <c r="E463" s="1424"/>
      <c r="F463" s="1424"/>
      <c r="G463" s="1424"/>
      <c r="H463" s="1425"/>
      <c r="I463" s="1426"/>
      <c r="J463" s="1426"/>
    </row>
    <row r="464" ht="15.75" customHeight="1">
      <c r="A464" s="1424"/>
      <c r="B464" s="1424"/>
      <c r="C464" s="1424"/>
      <c r="D464" s="1424"/>
      <c r="E464" s="1424"/>
      <c r="F464" s="1424"/>
      <c r="G464" s="1424"/>
      <c r="H464" s="1425"/>
      <c r="I464" s="1426"/>
      <c r="J464" s="1426"/>
    </row>
    <row r="465" ht="15.75" customHeight="1">
      <c r="A465" s="1424"/>
      <c r="B465" s="1424"/>
      <c r="C465" s="1424"/>
      <c r="D465" s="1424"/>
      <c r="E465" s="1424"/>
      <c r="F465" s="1424"/>
      <c r="G465" s="1424"/>
      <c r="H465" s="1425"/>
      <c r="I465" s="1426"/>
      <c r="J465" s="1426"/>
    </row>
    <row r="466" ht="15.75" customHeight="1">
      <c r="A466" s="1424"/>
      <c r="B466" s="1424"/>
      <c r="C466" s="1424"/>
      <c r="D466" s="1424"/>
      <c r="E466" s="1424"/>
      <c r="F466" s="1424"/>
      <c r="G466" s="1424"/>
      <c r="H466" s="1425"/>
      <c r="I466" s="1426"/>
      <c r="J466" s="1426"/>
    </row>
    <row r="467" ht="15.75" customHeight="1">
      <c r="A467" s="1424"/>
      <c r="B467" s="1424"/>
      <c r="C467" s="1424"/>
      <c r="D467" s="1424"/>
      <c r="E467" s="1424"/>
      <c r="F467" s="1424"/>
      <c r="G467" s="1424"/>
      <c r="H467" s="1425"/>
      <c r="I467" s="1426"/>
      <c r="J467" s="1426"/>
    </row>
    <row r="468" ht="15.75" customHeight="1">
      <c r="A468" s="1424"/>
      <c r="B468" s="1424"/>
      <c r="C468" s="1424"/>
      <c r="D468" s="1424"/>
      <c r="E468" s="1424"/>
      <c r="F468" s="1424"/>
      <c r="G468" s="1424"/>
      <c r="H468" s="1425"/>
      <c r="I468" s="1426"/>
      <c r="J468" s="1426"/>
    </row>
    <row r="469" ht="15.75" customHeight="1">
      <c r="A469" s="1424"/>
      <c r="B469" s="1424"/>
      <c r="C469" s="1424"/>
      <c r="D469" s="1424"/>
      <c r="E469" s="1424"/>
      <c r="F469" s="1424"/>
      <c r="G469" s="1424"/>
      <c r="H469" s="1425"/>
      <c r="I469" s="1426"/>
      <c r="J469" s="1426"/>
    </row>
    <row r="470" ht="15.75" customHeight="1">
      <c r="A470" s="1424"/>
      <c r="B470" s="1424"/>
      <c r="C470" s="1424"/>
      <c r="D470" s="1424"/>
      <c r="E470" s="1424"/>
      <c r="F470" s="1424"/>
      <c r="G470" s="1424"/>
      <c r="H470" s="1425"/>
      <c r="I470" s="1426"/>
      <c r="J470" s="1426"/>
    </row>
    <row r="471" ht="15.75" customHeight="1">
      <c r="A471" s="1424"/>
      <c r="B471" s="1424"/>
      <c r="C471" s="1424"/>
      <c r="D471" s="1424"/>
      <c r="E471" s="1424"/>
      <c r="F471" s="1424"/>
      <c r="G471" s="1424"/>
      <c r="H471" s="1425"/>
      <c r="I471" s="1426"/>
      <c r="J471" s="1426"/>
    </row>
    <row r="472" ht="15.75" customHeight="1">
      <c r="A472" s="1424"/>
      <c r="B472" s="1424"/>
      <c r="C472" s="1424"/>
      <c r="D472" s="1424"/>
      <c r="E472" s="1424"/>
      <c r="F472" s="1424"/>
      <c r="G472" s="1424"/>
      <c r="H472" s="1425"/>
      <c r="I472" s="1426"/>
      <c r="J472" s="1426"/>
    </row>
    <row r="473" ht="15.75" customHeight="1">
      <c r="A473" s="1424"/>
      <c r="B473" s="1424"/>
      <c r="C473" s="1424"/>
      <c r="D473" s="1424"/>
      <c r="E473" s="1424"/>
      <c r="F473" s="1424"/>
      <c r="G473" s="1424"/>
      <c r="H473" s="1425"/>
      <c r="I473" s="1426"/>
      <c r="J473" s="1426"/>
    </row>
    <row r="474" ht="15.75" customHeight="1">
      <c r="A474" s="1424"/>
      <c r="B474" s="1424"/>
      <c r="C474" s="1424"/>
      <c r="D474" s="1424"/>
      <c r="E474" s="1424"/>
      <c r="F474" s="1424"/>
      <c r="G474" s="1424"/>
      <c r="H474" s="1425"/>
      <c r="I474" s="1426"/>
      <c r="J474" s="1426"/>
    </row>
    <row r="475" ht="15.75" customHeight="1">
      <c r="A475" s="1424"/>
      <c r="B475" s="1424"/>
      <c r="C475" s="1424"/>
      <c r="D475" s="1424"/>
      <c r="E475" s="1424"/>
      <c r="F475" s="1424"/>
      <c r="G475" s="1424"/>
      <c r="H475" s="1425"/>
      <c r="I475" s="1426"/>
      <c r="J475" s="1426"/>
    </row>
    <row r="476" ht="15.75" customHeight="1">
      <c r="A476" s="1424"/>
      <c r="B476" s="1424"/>
      <c r="C476" s="1424"/>
      <c r="D476" s="1424"/>
      <c r="E476" s="1424"/>
      <c r="F476" s="1424"/>
      <c r="G476" s="1424"/>
      <c r="H476" s="1425"/>
      <c r="I476" s="1426"/>
      <c r="J476" s="1426"/>
    </row>
    <row r="477" ht="15.75" customHeight="1">
      <c r="A477" s="1424"/>
      <c r="B477" s="1424"/>
      <c r="C477" s="1424"/>
      <c r="D477" s="1424"/>
      <c r="E477" s="1424"/>
      <c r="F477" s="1424"/>
      <c r="G477" s="1424"/>
      <c r="H477" s="1425"/>
      <c r="I477" s="1426"/>
      <c r="J477" s="1426"/>
    </row>
    <row r="478" ht="15.75" customHeight="1">
      <c r="A478" s="1424"/>
      <c r="B478" s="1424"/>
      <c r="C478" s="1424"/>
      <c r="D478" s="1424"/>
      <c r="E478" s="1424"/>
      <c r="F478" s="1424"/>
      <c r="G478" s="1424"/>
      <c r="H478" s="1425"/>
      <c r="I478" s="1426"/>
      <c r="J478" s="1426"/>
    </row>
    <row r="479" ht="15.75" customHeight="1">
      <c r="A479" s="1424"/>
      <c r="B479" s="1424"/>
      <c r="C479" s="1424"/>
      <c r="D479" s="1424"/>
      <c r="E479" s="1424"/>
      <c r="F479" s="1424"/>
      <c r="G479" s="1424"/>
      <c r="H479" s="1425"/>
      <c r="I479" s="1426"/>
      <c r="J479" s="1426"/>
    </row>
    <row r="480" ht="15.75" customHeight="1">
      <c r="A480" s="1424"/>
      <c r="B480" s="1424"/>
      <c r="C480" s="1424"/>
      <c r="D480" s="1424"/>
      <c r="E480" s="1424"/>
      <c r="F480" s="1424"/>
      <c r="G480" s="1424"/>
      <c r="H480" s="1425"/>
      <c r="I480" s="1426"/>
      <c r="J480" s="1426"/>
    </row>
    <row r="481" ht="15.75" customHeight="1">
      <c r="A481" s="1424"/>
      <c r="B481" s="1424"/>
      <c r="C481" s="1424"/>
      <c r="D481" s="1424"/>
      <c r="E481" s="1424"/>
      <c r="F481" s="1424"/>
      <c r="G481" s="1424"/>
      <c r="H481" s="1425"/>
      <c r="I481" s="1426"/>
      <c r="J481" s="1426"/>
    </row>
    <row r="482" ht="15.75" customHeight="1">
      <c r="A482" s="1424"/>
      <c r="B482" s="1424"/>
      <c r="C482" s="1424"/>
      <c r="D482" s="1424"/>
      <c r="E482" s="1424"/>
      <c r="F482" s="1424"/>
      <c r="G482" s="1424"/>
      <c r="H482" s="1425"/>
      <c r="I482" s="1426"/>
      <c r="J482" s="1426"/>
    </row>
    <row r="483" ht="15.75" customHeight="1">
      <c r="A483" s="1424"/>
      <c r="B483" s="1424"/>
      <c r="C483" s="1424"/>
      <c r="D483" s="1424"/>
      <c r="E483" s="1424"/>
      <c r="F483" s="1424"/>
      <c r="G483" s="1424"/>
      <c r="H483" s="1425"/>
      <c r="I483" s="1426"/>
      <c r="J483" s="1426"/>
    </row>
    <row r="484" ht="15.75" customHeight="1">
      <c r="A484" s="1424"/>
      <c r="B484" s="1424"/>
      <c r="C484" s="1424"/>
      <c r="D484" s="1424"/>
      <c r="E484" s="1424"/>
      <c r="F484" s="1424"/>
      <c r="G484" s="1424"/>
      <c r="H484" s="1425"/>
      <c r="I484" s="1426"/>
      <c r="J484" s="1426"/>
    </row>
    <row r="485" ht="15.75" customHeight="1">
      <c r="A485" s="1424"/>
      <c r="B485" s="1424"/>
      <c r="C485" s="1424"/>
      <c r="D485" s="1424"/>
      <c r="E485" s="1424"/>
      <c r="F485" s="1424"/>
      <c r="G485" s="1424"/>
      <c r="H485" s="1425"/>
      <c r="I485" s="1426"/>
      <c r="J485" s="1426"/>
    </row>
    <row r="486" ht="15.75" customHeight="1">
      <c r="A486" s="1424"/>
      <c r="B486" s="1424"/>
      <c r="C486" s="1424"/>
      <c r="D486" s="1424"/>
      <c r="E486" s="1424"/>
      <c r="F486" s="1424"/>
      <c r="G486" s="1424"/>
      <c r="H486" s="1425"/>
      <c r="I486" s="1426"/>
      <c r="J486" s="1426"/>
    </row>
    <row r="487" ht="15.75" customHeight="1">
      <c r="A487" s="1424"/>
      <c r="B487" s="1424"/>
      <c r="C487" s="1424"/>
      <c r="D487" s="1424"/>
      <c r="E487" s="1424"/>
      <c r="F487" s="1424"/>
      <c r="G487" s="1424"/>
      <c r="H487" s="1425"/>
      <c r="I487" s="1426"/>
      <c r="J487" s="1426"/>
    </row>
    <row r="488" ht="15.75" customHeight="1">
      <c r="A488" s="1424"/>
      <c r="B488" s="1424"/>
      <c r="C488" s="1424"/>
      <c r="D488" s="1424"/>
      <c r="E488" s="1424"/>
      <c r="F488" s="1424"/>
      <c r="G488" s="1424"/>
      <c r="H488" s="1425"/>
      <c r="I488" s="1426"/>
      <c r="J488" s="1426"/>
    </row>
    <row r="489" ht="15.75" customHeight="1">
      <c r="A489" s="1424"/>
      <c r="B489" s="1424"/>
      <c r="C489" s="1424"/>
      <c r="D489" s="1424"/>
      <c r="E489" s="1424"/>
      <c r="F489" s="1424"/>
      <c r="G489" s="1424"/>
      <c r="H489" s="1425"/>
      <c r="I489" s="1426"/>
      <c r="J489" s="1426"/>
    </row>
    <row r="490" ht="15.75" customHeight="1">
      <c r="A490" s="1424"/>
      <c r="B490" s="1424"/>
      <c r="C490" s="1424"/>
      <c r="D490" s="1424"/>
      <c r="E490" s="1424"/>
      <c r="F490" s="1424"/>
      <c r="G490" s="1424"/>
      <c r="H490" s="1425"/>
      <c r="I490" s="1426"/>
      <c r="J490" s="1426"/>
    </row>
    <row r="491" ht="15.75" customHeight="1">
      <c r="A491" s="1424"/>
      <c r="B491" s="1424"/>
      <c r="C491" s="1424"/>
      <c r="D491" s="1424"/>
      <c r="E491" s="1424"/>
      <c r="F491" s="1424"/>
      <c r="G491" s="1424"/>
      <c r="H491" s="1425"/>
      <c r="I491" s="1426"/>
      <c r="J491" s="1426"/>
    </row>
    <row r="492" ht="15.75" customHeight="1">
      <c r="A492" s="1424"/>
      <c r="B492" s="1424"/>
      <c r="C492" s="1424"/>
      <c r="D492" s="1424"/>
      <c r="E492" s="1424"/>
      <c r="F492" s="1424"/>
      <c r="G492" s="1424"/>
      <c r="H492" s="1425"/>
      <c r="I492" s="1426"/>
      <c r="J492" s="1426"/>
    </row>
    <row r="493" ht="15.75" customHeight="1">
      <c r="A493" s="1424"/>
      <c r="B493" s="1424"/>
      <c r="C493" s="1424"/>
      <c r="D493" s="1424"/>
      <c r="E493" s="1424"/>
      <c r="F493" s="1424"/>
      <c r="G493" s="1424"/>
      <c r="H493" s="1425"/>
      <c r="I493" s="1426"/>
      <c r="J493" s="1426"/>
    </row>
    <row r="494" ht="15.75" customHeight="1">
      <c r="A494" s="1424"/>
      <c r="B494" s="1424"/>
      <c r="C494" s="1424"/>
      <c r="D494" s="1424"/>
      <c r="E494" s="1424"/>
      <c r="F494" s="1424"/>
      <c r="G494" s="1424"/>
      <c r="H494" s="1425"/>
      <c r="I494" s="1426"/>
      <c r="J494" s="1426"/>
    </row>
    <row r="495" ht="15.75" customHeight="1">
      <c r="A495" s="1424"/>
      <c r="B495" s="1424"/>
      <c r="C495" s="1424"/>
      <c r="D495" s="1424"/>
      <c r="E495" s="1424"/>
      <c r="F495" s="1424"/>
      <c r="G495" s="1424"/>
      <c r="H495" s="1425"/>
      <c r="I495" s="1426"/>
      <c r="J495" s="1426"/>
    </row>
    <row r="496" ht="15.75" customHeight="1">
      <c r="A496" s="1424"/>
      <c r="B496" s="1424"/>
      <c r="C496" s="1424"/>
      <c r="D496" s="1424"/>
      <c r="E496" s="1424"/>
      <c r="F496" s="1424"/>
      <c r="G496" s="1424"/>
      <c r="H496" s="1425"/>
      <c r="I496" s="1426"/>
      <c r="J496" s="1426"/>
    </row>
    <row r="497" ht="15.75" customHeight="1">
      <c r="A497" s="1424"/>
      <c r="B497" s="1424"/>
      <c r="C497" s="1424"/>
      <c r="D497" s="1424"/>
      <c r="E497" s="1424"/>
      <c r="F497" s="1424"/>
      <c r="G497" s="1424"/>
      <c r="H497" s="1425"/>
      <c r="I497" s="1426"/>
      <c r="J497" s="1426"/>
    </row>
    <row r="498" ht="15.75" customHeight="1">
      <c r="A498" s="1424"/>
      <c r="B498" s="1424"/>
      <c r="C498" s="1424"/>
      <c r="D498" s="1424"/>
      <c r="E498" s="1424"/>
      <c r="F498" s="1424"/>
      <c r="G498" s="1424"/>
      <c r="H498" s="1425"/>
      <c r="I498" s="1426"/>
      <c r="J498" s="1426"/>
    </row>
    <row r="499" ht="15.75" customHeight="1">
      <c r="A499" s="1424"/>
      <c r="B499" s="1424"/>
      <c r="C499" s="1424"/>
      <c r="D499" s="1424"/>
      <c r="E499" s="1424"/>
      <c r="F499" s="1424"/>
      <c r="G499" s="1424"/>
      <c r="H499" s="1425"/>
      <c r="I499" s="1426"/>
      <c r="J499" s="1426"/>
    </row>
    <row r="500" ht="15.75" customHeight="1">
      <c r="A500" s="1424"/>
      <c r="B500" s="1424"/>
      <c r="C500" s="1424"/>
      <c r="D500" s="1424"/>
      <c r="E500" s="1424"/>
      <c r="F500" s="1424"/>
      <c r="G500" s="1424"/>
      <c r="H500" s="1425"/>
      <c r="I500" s="1426"/>
      <c r="J500" s="1426"/>
    </row>
    <row r="501" ht="15.75" customHeight="1">
      <c r="A501" s="1424"/>
      <c r="B501" s="1424"/>
      <c r="C501" s="1424"/>
      <c r="D501" s="1424"/>
      <c r="E501" s="1424"/>
      <c r="F501" s="1424"/>
      <c r="G501" s="1424"/>
      <c r="H501" s="1425"/>
      <c r="I501" s="1426"/>
      <c r="J501" s="1426"/>
    </row>
    <row r="502" ht="15.75" customHeight="1">
      <c r="A502" s="1424"/>
      <c r="B502" s="1424"/>
      <c r="C502" s="1424"/>
      <c r="D502" s="1424"/>
      <c r="E502" s="1424"/>
      <c r="F502" s="1424"/>
      <c r="G502" s="1424"/>
      <c r="H502" s="1425"/>
      <c r="I502" s="1426"/>
      <c r="J502" s="1426"/>
    </row>
    <row r="503" ht="15.75" customHeight="1">
      <c r="A503" s="1424"/>
      <c r="B503" s="1424"/>
      <c r="C503" s="1424"/>
      <c r="D503" s="1424"/>
      <c r="E503" s="1424"/>
      <c r="F503" s="1424"/>
      <c r="G503" s="1424"/>
      <c r="H503" s="1425"/>
      <c r="I503" s="1426"/>
      <c r="J503" s="1426"/>
    </row>
    <row r="504" ht="15.75" customHeight="1">
      <c r="A504" s="1424"/>
      <c r="B504" s="1424"/>
      <c r="C504" s="1424"/>
      <c r="D504" s="1424"/>
      <c r="E504" s="1424"/>
      <c r="F504" s="1424"/>
      <c r="G504" s="1424"/>
      <c r="H504" s="1425"/>
      <c r="I504" s="1426"/>
      <c r="J504" s="1426"/>
    </row>
    <row r="505" ht="15.75" customHeight="1">
      <c r="A505" s="1424"/>
      <c r="B505" s="1424"/>
      <c r="C505" s="1424"/>
      <c r="D505" s="1424"/>
      <c r="E505" s="1424"/>
      <c r="F505" s="1424"/>
      <c r="G505" s="1424"/>
      <c r="H505" s="1425"/>
      <c r="I505" s="1426"/>
      <c r="J505" s="1426"/>
    </row>
    <row r="506" ht="15.75" customHeight="1">
      <c r="A506" s="1424"/>
      <c r="B506" s="1424"/>
      <c r="C506" s="1424"/>
      <c r="D506" s="1424"/>
      <c r="E506" s="1424"/>
      <c r="F506" s="1424"/>
      <c r="G506" s="1424"/>
      <c r="H506" s="1425"/>
      <c r="I506" s="1426"/>
      <c r="J506" s="1426"/>
    </row>
    <row r="507" ht="15.75" customHeight="1">
      <c r="A507" s="1424"/>
      <c r="B507" s="1424"/>
      <c r="C507" s="1424"/>
      <c r="D507" s="1424"/>
      <c r="E507" s="1424"/>
      <c r="F507" s="1424"/>
      <c r="G507" s="1424"/>
      <c r="H507" s="1425"/>
      <c r="I507" s="1426"/>
      <c r="J507" s="1426"/>
    </row>
    <row r="508" ht="15.75" customHeight="1">
      <c r="A508" s="1424"/>
      <c r="B508" s="1424"/>
      <c r="C508" s="1424"/>
      <c r="D508" s="1424"/>
      <c r="E508" s="1424"/>
      <c r="F508" s="1424"/>
      <c r="G508" s="1424"/>
      <c r="H508" s="1425"/>
      <c r="I508" s="1426"/>
      <c r="J508" s="1426"/>
    </row>
    <row r="509" ht="15.75" customHeight="1">
      <c r="A509" s="1424"/>
      <c r="B509" s="1424"/>
      <c r="C509" s="1424"/>
      <c r="D509" s="1424"/>
      <c r="E509" s="1424"/>
      <c r="F509" s="1424"/>
      <c r="G509" s="1424"/>
      <c r="H509" s="1425"/>
      <c r="I509" s="1426"/>
      <c r="J509" s="1426"/>
    </row>
    <row r="510" ht="15.75" customHeight="1">
      <c r="A510" s="1424"/>
      <c r="B510" s="1424"/>
      <c r="C510" s="1424"/>
      <c r="D510" s="1424"/>
      <c r="E510" s="1424"/>
      <c r="F510" s="1424"/>
      <c r="G510" s="1424"/>
      <c r="H510" s="1425"/>
      <c r="I510" s="1426"/>
      <c r="J510" s="1426"/>
    </row>
    <row r="511" ht="15.75" customHeight="1">
      <c r="A511" s="1424"/>
      <c r="B511" s="1424"/>
      <c r="C511" s="1424"/>
      <c r="D511" s="1424"/>
      <c r="E511" s="1424"/>
      <c r="F511" s="1424"/>
      <c r="G511" s="1424"/>
      <c r="H511" s="1425"/>
      <c r="I511" s="1426"/>
      <c r="J511" s="1426"/>
    </row>
    <row r="512" ht="15.75" customHeight="1">
      <c r="A512" s="1424"/>
      <c r="B512" s="1424"/>
      <c r="C512" s="1424"/>
      <c r="D512" s="1424"/>
      <c r="E512" s="1424"/>
      <c r="F512" s="1424"/>
      <c r="G512" s="1424"/>
      <c r="H512" s="1425"/>
      <c r="I512" s="1426"/>
      <c r="J512" s="1426"/>
    </row>
    <row r="513" ht="15.75" customHeight="1">
      <c r="A513" s="1424"/>
      <c r="B513" s="1424"/>
      <c r="C513" s="1424"/>
      <c r="D513" s="1424"/>
      <c r="E513" s="1424"/>
      <c r="F513" s="1424"/>
      <c r="G513" s="1424"/>
      <c r="H513" s="1425"/>
      <c r="I513" s="1426"/>
      <c r="J513" s="1426"/>
    </row>
    <row r="514" ht="15.75" customHeight="1">
      <c r="A514" s="1424"/>
      <c r="B514" s="1424"/>
      <c r="C514" s="1424"/>
      <c r="D514" s="1424"/>
      <c r="E514" s="1424"/>
      <c r="F514" s="1424"/>
      <c r="G514" s="1424"/>
      <c r="H514" s="1425"/>
      <c r="I514" s="1426"/>
      <c r="J514" s="1426"/>
    </row>
    <row r="515" ht="15.75" customHeight="1">
      <c r="A515" s="1424"/>
      <c r="B515" s="1424"/>
      <c r="C515" s="1424"/>
      <c r="D515" s="1424"/>
      <c r="E515" s="1424"/>
      <c r="F515" s="1424"/>
      <c r="G515" s="1424"/>
      <c r="H515" s="1425"/>
      <c r="I515" s="1426"/>
      <c r="J515" s="1426"/>
    </row>
    <row r="516" ht="15.75" customHeight="1">
      <c r="A516" s="1424"/>
      <c r="B516" s="1424"/>
      <c r="C516" s="1424"/>
      <c r="D516" s="1424"/>
      <c r="E516" s="1424"/>
      <c r="F516" s="1424"/>
      <c r="G516" s="1424"/>
      <c r="H516" s="1425"/>
      <c r="I516" s="1426"/>
      <c r="J516" s="1426"/>
    </row>
    <row r="517" ht="15.75" customHeight="1">
      <c r="A517" s="1424"/>
      <c r="B517" s="1424"/>
      <c r="C517" s="1424"/>
      <c r="D517" s="1424"/>
      <c r="E517" s="1424"/>
      <c r="F517" s="1424"/>
      <c r="G517" s="1424"/>
      <c r="H517" s="1425"/>
      <c r="I517" s="1426"/>
      <c r="J517" s="1426"/>
    </row>
    <row r="518" ht="15.75" customHeight="1">
      <c r="A518" s="1424"/>
      <c r="B518" s="1424"/>
      <c r="C518" s="1424"/>
      <c r="D518" s="1424"/>
      <c r="E518" s="1424"/>
      <c r="F518" s="1424"/>
      <c r="G518" s="1424"/>
      <c r="H518" s="1425"/>
      <c r="I518" s="1426"/>
      <c r="J518" s="1426"/>
    </row>
    <row r="519" ht="15.75" customHeight="1">
      <c r="A519" s="1424"/>
      <c r="B519" s="1424"/>
      <c r="C519" s="1424"/>
      <c r="D519" s="1424"/>
      <c r="E519" s="1424"/>
      <c r="F519" s="1424"/>
      <c r="G519" s="1424"/>
      <c r="H519" s="1425"/>
      <c r="I519" s="1426"/>
      <c r="J519" s="1426"/>
    </row>
    <row r="520" ht="15.75" customHeight="1">
      <c r="A520" s="1424"/>
      <c r="B520" s="1424"/>
      <c r="C520" s="1424"/>
      <c r="D520" s="1424"/>
      <c r="E520" s="1424"/>
      <c r="F520" s="1424"/>
      <c r="G520" s="1424"/>
      <c r="H520" s="1425"/>
      <c r="I520" s="1426"/>
      <c r="J520" s="1426"/>
    </row>
    <row r="521" ht="15.75" customHeight="1">
      <c r="A521" s="1424"/>
      <c r="B521" s="1424"/>
      <c r="C521" s="1424"/>
      <c r="D521" s="1424"/>
      <c r="E521" s="1424"/>
      <c r="F521" s="1424"/>
      <c r="G521" s="1424"/>
      <c r="H521" s="1425"/>
      <c r="I521" s="1426"/>
      <c r="J521" s="1426"/>
    </row>
    <row r="522" ht="15.75" customHeight="1">
      <c r="A522" s="1424"/>
      <c r="B522" s="1424"/>
      <c r="C522" s="1424"/>
      <c r="D522" s="1424"/>
      <c r="E522" s="1424"/>
      <c r="F522" s="1424"/>
      <c r="G522" s="1424"/>
      <c r="H522" s="1425"/>
      <c r="I522" s="1426"/>
      <c r="J522" s="1426"/>
    </row>
    <row r="523" ht="15.75" customHeight="1">
      <c r="A523" s="1424"/>
      <c r="B523" s="1424"/>
      <c r="C523" s="1424"/>
      <c r="D523" s="1424"/>
      <c r="E523" s="1424"/>
      <c r="F523" s="1424"/>
      <c r="G523" s="1424"/>
      <c r="H523" s="1425"/>
      <c r="I523" s="1426"/>
      <c r="J523" s="1426"/>
    </row>
    <row r="524" ht="15.75" customHeight="1">
      <c r="A524" s="1424"/>
      <c r="B524" s="1424"/>
      <c r="C524" s="1424"/>
      <c r="D524" s="1424"/>
      <c r="E524" s="1424"/>
      <c r="F524" s="1424"/>
      <c r="G524" s="1424"/>
      <c r="H524" s="1425"/>
      <c r="I524" s="1426"/>
      <c r="J524" s="1426"/>
    </row>
    <row r="525" ht="15.75" customHeight="1">
      <c r="A525" s="1424"/>
      <c r="B525" s="1424"/>
      <c r="C525" s="1424"/>
      <c r="D525" s="1424"/>
      <c r="E525" s="1424"/>
      <c r="F525" s="1424"/>
      <c r="G525" s="1424"/>
      <c r="H525" s="1425"/>
      <c r="I525" s="1426"/>
      <c r="J525" s="1426"/>
    </row>
    <row r="526" ht="15.75" customHeight="1">
      <c r="A526" s="1424"/>
      <c r="B526" s="1424"/>
      <c r="C526" s="1424"/>
      <c r="D526" s="1424"/>
      <c r="E526" s="1424"/>
      <c r="F526" s="1424"/>
      <c r="G526" s="1424"/>
      <c r="H526" s="1425"/>
      <c r="I526" s="1426"/>
      <c r="J526" s="1426"/>
    </row>
    <row r="527" ht="15.75" customHeight="1">
      <c r="A527" s="1424"/>
      <c r="B527" s="1424"/>
      <c r="C527" s="1424"/>
      <c r="D527" s="1424"/>
      <c r="E527" s="1424"/>
      <c r="F527" s="1424"/>
      <c r="G527" s="1424"/>
      <c r="H527" s="1425"/>
      <c r="I527" s="1426"/>
      <c r="J527" s="1426"/>
    </row>
    <row r="528" ht="15.75" customHeight="1">
      <c r="A528" s="1424"/>
      <c r="B528" s="1424"/>
      <c r="C528" s="1424"/>
      <c r="D528" s="1424"/>
      <c r="E528" s="1424"/>
      <c r="F528" s="1424"/>
      <c r="G528" s="1424"/>
      <c r="H528" s="1425"/>
      <c r="I528" s="1426"/>
      <c r="J528" s="1426"/>
    </row>
    <row r="529" ht="15.75" customHeight="1">
      <c r="A529" s="1424"/>
      <c r="B529" s="1424"/>
      <c r="C529" s="1424"/>
      <c r="D529" s="1424"/>
      <c r="E529" s="1424"/>
      <c r="F529" s="1424"/>
      <c r="G529" s="1424"/>
      <c r="H529" s="1425"/>
      <c r="I529" s="1426"/>
      <c r="J529" s="1426"/>
    </row>
    <row r="530" ht="15.75" customHeight="1">
      <c r="A530" s="1424"/>
      <c r="B530" s="1424"/>
      <c r="C530" s="1424"/>
      <c r="D530" s="1424"/>
      <c r="E530" s="1424"/>
      <c r="F530" s="1424"/>
      <c r="G530" s="1424"/>
      <c r="H530" s="1425"/>
      <c r="I530" s="1426"/>
      <c r="J530" s="1426"/>
    </row>
    <row r="531" ht="15.75" customHeight="1">
      <c r="A531" s="1424"/>
      <c r="B531" s="1424"/>
      <c r="C531" s="1424"/>
      <c r="D531" s="1424"/>
      <c r="E531" s="1424"/>
      <c r="F531" s="1424"/>
      <c r="G531" s="1424"/>
      <c r="H531" s="1425"/>
      <c r="I531" s="1426"/>
      <c r="J531" s="1426"/>
    </row>
    <row r="532" ht="15.75" customHeight="1">
      <c r="A532" s="1424"/>
      <c r="B532" s="1424"/>
      <c r="C532" s="1424"/>
      <c r="D532" s="1424"/>
      <c r="E532" s="1424"/>
      <c r="F532" s="1424"/>
      <c r="G532" s="1424"/>
      <c r="H532" s="1425"/>
      <c r="I532" s="1426"/>
      <c r="J532" s="1426"/>
    </row>
    <row r="533" ht="15.75" customHeight="1">
      <c r="A533" s="1424"/>
      <c r="B533" s="1424"/>
      <c r="C533" s="1424"/>
      <c r="D533" s="1424"/>
      <c r="E533" s="1424"/>
      <c r="F533" s="1424"/>
      <c r="G533" s="1424"/>
      <c r="H533" s="1425"/>
      <c r="I533" s="1426"/>
      <c r="J533" s="1426"/>
    </row>
    <row r="534" ht="15.75" customHeight="1">
      <c r="A534" s="1424"/>
      <c r="B534" s="1424"/>
      <c r="C534" s="1424"/>
      <c r="D534" s="1424"/>
      <c r="E534" s="1424"/>
      <c r="F534" s="1424"/>
      <c r="G534" s="1424"/>
      <c r="H534" s="1425"/>
      <c r="I534" s="1426"/>
      <c r="J534" s="1426"/>
    </row>
    <row r="535" ht="15.75" customHeight="1">
      <c r="A535" s="1424"/>
      <c r="B535" s="1424"/>
      <c r="C535" s="1424"/>
      <c r="D535" s="1424"/>
      <c r="E535" s="1424"/>
      <c r="F535" s="1424"/>
      <c r="G535" s="1424"/>
      <c r="H535" s="1425"/>
      <c r="I535" s="1426"/>
      <c r="J535" s="1426"/>
    </row>
    <row r="536" ht="15.75" customHeight="1">
      <c r="A536" s="1424"/>
      <c r="B536" s="1424"/>
      <c r="C536" s="1424"/>
      <c r="D536" s="1424"/>
      <c r="E536" s="1424"/>
      <c r="F536" s="1424"/>
      <c r="G536" s="1424"/>
      <c r="H536" s="1425"/>
      <c r="I536" s="1426"/>
      <c r="J536" s="1426"/>
    </row>
    <row r="537" ht="15.75" customHeight="1">
      <c r="A537" s="1424"/>
      <c r="B537" s="1424"/>
      <c r="C537" s="1424"/>
      <c r="D537" s="1424"/>
      <c r="E537" s="1424"/>
      <c r="F537" s="1424"/>
      <c r="G537" s="1424"/>
      <c r="H537" s="1425"/>
      <c r="I537" s="1426"/>
      <c r="J537" s="1426"/>
    </row>
    <row r="538" ht="15.75" customHeight="1">
      <c r="A538" s="1424"/>
      <c r="B538" s="1424"/>
      <c r="C538" s="1424"/>
      <c r="D538" s="1424"/>
      <c r="E538" s="1424"/>
      <c r="F538" s="1424"/>
      <c r="G538" s="1424"/>
      <c r="H538" s="1425"/>
      <c r="I538" s="1426"/>
      <c r="J538" s="1426"/>
    </row>
    <row r="539" ht="15.75" customHeight="1">
      <c r="A539" s="1424"/>
      <c r="B539" s="1424"/>
      <c r="C539" s="1424"/>
      <c r="D539" s="1424"/>
      <c r="E539" s="1424"/>
      <c r="F539" s="1424"/>
      <c r="G539" s="1424"/>
      <c r="H539" s="1425"/>
      <c r="I539" s="1426"/>
      <c r="J539" s="1426"/>
    </row>
    <row r="540" ht="15.75" customHeight="1">
      <c r="A540" s="1424"/>
      <c r="B540" s="1424"/>
      <c r="C540" s="1424"/>
      <c r="D540" s="1424"/>
      <c r="E540" s="1424"/>
      <c r="F540" s="1424"/>
      <c r="G540" s="1424"/>
      <c r="H540" s="1425"/>
      <c r="I540" s="1426"/>
      <c r="J540" s="1426"/>
    </row>
    <row r="541" ht="15.75" customHeight="1">
      <c r="A541" s="1424"/>
      <c r="B541" s="1424"/>
      <c r="C541" s="1424"/>
      <c r="D541" s="1424"/>
      <c r="E541" s="1424"/>
      <c r="F541" s="1424"/>
      <c r="G541" s="1424"/>
      <c r="H541" s="1425"/>
      <c r="I541" s="1426"/>
      <c r="J541" s="1426"/>
    </row>
    <row r="542" ht="15.75" customHeight="1">
      <c r="A542" s="1424"/>
      <c r="B542" s="1424"/>
      <c r="C542" s="1424"/>
      <c r="D542" s="1424"/>
      <c r="E542" s="1424"/>
      <c r="F542" s="1424"/>
      <c r="G542" s="1424"/>
      <c r="H542" s="1425"/>
      <c r="I542" s="1426"/>
      <c r="J542" s="1426"/>
    </row>
    <row r="543" ht="15.75" customHeight="1">
      <c r="A543" s="1424"/>
      <c r="B543" s="1424"/>
      <c r="C543" s="1424"/>
      <c r="D543" s="1424"/>
      <c r="E543" s="1424"/>
      <c r="F543" s="1424"/>
      <c r="G543" s="1424"/>
      <c r="H543" s="1425"/>
      <c r="I543" s="1426"/>
      <c r="J543" s="1426"/>
    </row>
    <row r="544" ht="15.75" customHeight="1">
      <c r="A544" s="1424"/>
      <c r="B544" s="1424"/>
      <c r="C544" s="1424"/>
      <c r="D544" s="1424"/>
      <c r="E544" s="1424"/>
      <c r="F544" s="1424"/>
      <c r="G544" s="1424"/>
      <c r="H544" s="1425"/>
      <c r="I544" s="1426"/>
      <c r="J544" s="1426"/>
    </row>
    <row r="545" ht="15.75" customHeight="1">
      <c r="A545" s="1424"/>
      <c r="B545" s="1424"/>
      <c r="C545" s="1424"/>
      <c r="D545" s="1424"/>
      <c r="E545" s="1424"/>
      <c r="F545" s="1424"/>
      <c r="G545" s="1424"/>
      <c r="H545" s="1425"/>
      <c r="I545" s="1426"/>
      <c r="J545" s="1426"/>
    </row>
    <row r="546" ht="15.75" customHeight="1">
      <c r="A546" s="1424"/>
      <c r="B546" s="1424"/>
      <c r="C546" s="1424"/>
      <c r="D546" s="1424"/>
      <c r="E546" s="1424"/>
      <c r="F546" s="1424"/>
      <c r="G546" s="1424"/>
      <c r="H546" s="1425"/>
      <c r="I546" s="1426"/>
      <c r="J546" s="1426"/>
    </row>
    <row r="547" ht="15.75" customHeight="1">
      <c r="A547" s="1424"/>
      <c r="B547" s="1424"/>
      <c r="C547" s="1424"/>
      <c r="D547" s="1424"/>
      <c r="E547" s="1424"/>
      <c r="F547" s="1424"/>
      <c r="G547" s="1424"/>
      <c r="H547" s="1425"/>
      <c r="I547" s="1426"/>
      <c r="J547" s="1426"/>
    </row>
    <row r="548" ht="15.75" customHeight="1">
      <c r="A548" s="1424"/>
      <c r="B548" s="1424"/>
      <c r="C548" s="1424"/>
      <c r="D548" s="1424"/>
      <c r="E548" s="1424"/>
      <c r="F548" s="1424"/>
      <c r="G548" s="1424"/>
      <c r="H548" s="1425"/>
      <c r="I548" s="1426"/>
      <c r="J548" s="1426"/>
    </row>
    <row r="549" ht="15.75" customHeight="1">
      <c r="A549" s="1424"/>
      <c r="B549" s="1424"/>
      <c r="C549" s="1424"/>
      <c r="D549" s="1424"/>
      <c r="E549" s="1424"/>
      <c r="F549" s="1424"/>
      <c r="G549" s="1424"/>
      <c r="H549" s="1425"/>
      <c r="I549" s="1426"/>
      <c r="J549" s="1426"/>
    </row>
    <row r="550" ht="15.75" customHeight="1">
      <c r="A550" s="1424"/>
      <c r="B550" s="1424"/>
      <c r="C550" s="1424"/>
      <c r="D550" s="1424"/>
      <c r="E550" s="1424"/>
      <c r="F550" s="1424"/>
      <c r="G550" s="1424"/>
      <c r="H550" s="1425"/>
      <c r="I550" s="1426"/>
      <c r="J550" s="1426"/>
    </row>
    <row r="551" ht="15.75" customHeight="1">
      <c r="A551" s="1424"/>
      <c r="B551" s="1424"/>
      <c r="C551" s="1424"/>
      <c r="D551" s="1424"/>
      <c r="E551" s="1424"/>
      <c r="F551" s="1424"/>
      <c r="G551" s="1424"/>
      <c r="H551" s="1425"/>
      <c r="I551" s="1426"/>
      <c r="J551" s="1426"/>
    </row>
    <row r="552" ht="15.75" customHeight="1">
      <c r="A552" s="1424"/>
      <c r="B552" s="1424"/>
      <c r="C552" s="1424"/>
      <c r="D552" s="1424"/>
      <c r="E552" s="1424"/>
      <c r="F552" s="1424"/>
      <c r="G552" s="1424"/>
      <c r="H552" s="1425"/>
      <c r="I552" s="1426"/>
      <c r="J552" s="1426"/>
    </row>
    <row r="553" ht="15.75" customHeight="1">
      <c r="A553" s="1424"/>
      <c r="B553" s="1424"/>
      <c r="C553" s="1424"/>
      <c r="D553" s="1424"/>
      <c r="E553" s="1424"/>
      <c r="F553" s="1424"/>
      <c r="G553" s="1424"/>
      <c r="H553" s="1425"/>
      <c r="I553" s="1426"/>
      <c r="J553" s="1426"/>
    </row>
    <row r="554" ht="15.75" customHeight="1">
      <c r="A554" s="1424"/>
      <c r="B554" s="1424"/>
      <c r="C554" s="1424"/>
      <c r="D554" s="1424"/>
      <c r="E554" s="1424"/>
      <c r="F554" s="1424"/>
      <c r="G554" s="1424"/>
      <c r="H554" s="1425"/>
      <c r="I554" s="1426"/>
      <c r="J554" s="1426"/>
    </row>
    <row r="555" ht="15.75" customHeight="1">
      <c r="A555" s="1424"/>
      <c r="B555" s="1424"/>
      <c r="C555" s="1424"/>
      <c r="D555" s="1424"/>
      <c r="E555" s="1424"/>
      <c r="F555" s="1424"/>
      <c r="G555" s="1424"/>
      <c r="H555" s="1425"/>
      <c r="I555" s="1426"/>
      <c r="J555" s="1426"/>
    </row>
    <row r="556" ht="15.75" customHeight="1">
      <c r="A556" s="1424"/>
      <c r="B556" s="1424"/>
      <c r="C556" s="1424"/>
      <c r="D556" s="1424"/>
      <c r="E556" s="1424"/>
      <c r="F556" s="1424"/>
      <c r="G556" s="1424"/>
      <c r="H556" s="1425"/>
      <c r="I556" s="1426"/>
      <c r="J556" s="1426"/>
    </row>
    <row r="557" ht="15.75" customHeight="1">
      <c r="A557" s="1424"/>
      <c r="B557" s="1424"/>
      <c r="C557" s="1424"/>
      <c r="D557" s="1424"/>
      <c r="E557" s="1424"/>
      <c r="F557" s="1424"/>
      <c r="G557" s="1424"/>
      <c r="H557" s="1425"/>
      <c r="I557" s="1426"/>
      <c r="J557" s="1426"/>
    </row>
    <row r="558" ht="15.75" customHeight="1">
      <c r="A558" s="1424"/>
      <c r="B558" s="1424"/>
      <c r="C558" s="1424"/>
      <c r="D558" s="1424"/>
      <c r="E558" s="1424"/>
      <c r="F558" s="1424"/>
      <c r="G558" s="1424"/>
      <c r="H558" s="1425"/>
      <c r="I558" s="1426"/>
      <c r="J558" s="1426"/>
    </row>
    <row r="559" ht="15.75" customHeight="1">
      <c r="A559" s="1424"/>
      <c r="B559" s="1424"/>
      <c r="C559" s="1424"/>
      <c r="D559" s="1424"/>
      <c r="E559" s="1424"/>
      <c r="F559" s="1424"/>
      <c r="G559" s="1424"/>
      <c r="H559" s="1425"/>
      <c r="I559" s="1426"/>
      <c r="J559" s="1426"/>
    </row>
    <row r="560" ht="15.75" customHeight="1">
      <c r="A560" s="1424"/>
      <c r="B560" s="1424"/>
      <c r="C560" s="1424"/>
      <c r="D560" s="1424"/>
      <c r="E560" s="1424"/>
      <c r="F560" s="1424"/>
      <c r="G560" s="1424"/>
      <c r="H560" s="1425"/>
      <c r="I560" s="1426"/>
      <c r="J560" s="1426"/>
    </row>
    <row r="561" ht="15.75" customHeight="1">
      <c r="A561" s="1424"/>
      <c r="B561" s="1424"/>
      <c r="C561" s="1424"/>
      <c r="D561" s="1424"/>
      <c r="E561" s="1424"/>
      <c r="F561" s="1424"/>
      <c r="G561" s="1424"/>
      <c r="H561" s="1425"/>
      <c r="I561" s="1426"/>
      <c r="J561" s="1426"/>
    </row>
    <row r="562" ht="15.75" customHeight="1">
      <c r="A562" s="1424"/>
      <c r="B562" s="1424"/>
      <c r="C562" s="1424"/>
      <c r="D562" s="1424"/>
      <c r="E562" s="1424"/>
      <c r="F562" s="1424"/>
      <c r="G562" s="1424"/>
      <c r="H562" s="1425"/>
      <c r="I562" s="1426"/>
      <c r="J562" s="1426"/>
    </row>
    <row r="563" ht="15.75" customHeight="1">
      <c r="A563" s="1424"/>
      <c r="B563" s="1424"/>
      <c r="C563" s="1424"/>
      <c r="D563" s="1424"/>
      <c r="E563" s="1424"/>
      <c r="F563" s="1424"/>
      <c r="G563" s="1424"/>
      <c r="H563" s="1425"/>
      <c r="I563" s="1426"/>
      <c r="J563" s="1426"/>
    </row>
    <row r="564" ht="15.75" customHeight="1">
      <c r="A564" s="1424"/>
      <c r="B564" s="1424"/>
      <c r="C564" s="1424"/>
      <c r="D564" s="1424"/>
      <c r="E564" s="1424"/>
      <c r="F564" s="1424"/>
      <c r="G564" s="1424"/>
      <c r="H564" s="1425"/>
      <c r="I564" s="1426"/>
      <c r="J564" s="1426"/>
    </row>
    <row r="565" ht="15.75" customHeight="1">
      <c r="A565" s="1424"/>
      <c r="B565" s="1424"/>
      <c r="C565" s="1424"/>
      <c r="D565" s="1424"/>
      <c r="E565" s="1424"/>
      <c r="F565" s="1424"/>
      <c r="G565" s="1424"/>
      <c r="H565" s="1425"/>
      <c r="I565" s="1426"/>
      <c r="J565" s="1426"/>
    </row>
    <row r="566" ht="15.75" customHeight="1">
      <c r="A566" s="1424"/>
      <c r="B566" s="1424"/>
      <c r="C566" s="1424"/>
      <c r="D566" s="1424"/>
      <c r="E566" s="1424"/>
      <c r="F566" s="1424"/>
      <c r="G566" s="1424"/>
      <c r="H566" s="1425"/>
      <c r="I566" s="1426"/>
      <c r="J566" s="1426"/>
    </row>
    <row r="567" ht="15.75" customHeight="1">
      <c r="A567" s="1424"/>
      <c r="B567" s="1424"/>
      <c r="C567" s="1424"/>
      <c r="D567" s="1424"/>
      <c r="E567" s="1424"/>
      <c r="F567" s="1424"/>
      <c r="G567" s="1424"/>
      <c r="H567" s="1425"/>
      <c r="I567" s="1426"/>
      <c r="J567" s="1426"/>
    </row>
    <row r="568" ht="15.75" customHeight="1">
      <c r="A568" s="1424"/>
      <c r="B568" s="1424"/>
      <c r="C568" s="1424"/>
      <c r="D568" s="1424"/>
      <c r="E568" s="1424"/>
      <c r="F568" s="1424"/>
      <c r="G568" s="1424"/>
      <c r="H568" s="1425"/>
      <c r="I568" s="1426"/>
      <c r="J568" s="1426"/>
    </row>
    <row r="569" ht="15.75" customHeight="1">
      <c r="A569" s="1424"/>
      <c r="B569" s="1424"/>
      <c r="C569" s="1424"/>
      <c r="D569" s="1424"/>
      <c r="E569" s="1424"/>
      <c r="F569" s="1424"/>
      <c r="G569" s="1424"/>
      <c r="H569" s="1425"/>
      <c r="I569" s="1426"/>
      <c r="J569" s="1426"/>
    </row>
    <row r="570" ht="15.75" customHeight="1">
      <c r="A570" s="1424"/>
      <c r="B570" s="1424"/>
      <c r="C570" s="1424"/>
      <c r="D570" s="1424"/>
      <c r="E570" s="1424"/>
      <c r="F570" s="1424"/>
      <c r="G570" s="1424"/>
      <c r="H570" s="1425"/>
      <c r="I570" s="1426"/>
      <c r="J570" s="1426"/>
    </row>
    <row r="571" ht="15.75" customHeight="1">
      <c r="A571" s="1424"/>
      <c r="B571" s="1424"/>
      <c r="C571" s="1424"/>
      <c r="D571" s="1424"/>
      <c r="E571" s="1424"/>
      <c r="F571" s="1424"/>
      <c r="G571" s="1424"/>
      <c r="H571" s="1425"/>
      <c r="I571" s="1426"/>
      <c r="J571" s="1426"/>
    </row>
    <row r="572" ht="15.75" customHeight="1">
      <c r="A572" s="1424"/>
      <c r="B572" s="1424"/>
      <c r="C572" s="1424"/>
      <c r="D572" s="1424"/>
      <c r="E572" s="1424"/>
      <c r="F572" s="1424"/>
      <c r="G572" s="1424"/>
      <c r="H572" s="1425"/>
      <c r="I572" s="1426"/>
      <c r="J572" s="1426"/>
    </row>
    <row r="573" ht="15.75" customHeight="1">
      <c r="A573" s="1424"/>
      <c r="B573" s="1424"/>
      <c r="C573" s="1424"/>
      <c r="D573" s="1424"/>
      <c r="E573" s="1424"/>
      <c r="F573" s="1424"/>
      <c r="G573" s="1424"/>
      <c r="H573" s="1425"/>
      <c r="I573" s="1426"/>
      <c r="J573" s="1426"/>
    </row>
    <row r="574" ht="15.75" customHeight="1">
      <c r="A574" s="1424"/>
      <c r="B574" s="1424"/>
      <c r="C574" s="1424"/>
      <c r="D574" s="1424"/>
      <c r="E574" s="1424"/>
      <c r="F574" s="1424"/>
      <c r="G574" s="1424"/>
      <c r="H574" s="1425"/>
      <c r="I574" s="1426"/>
      <c r="J574" s="1426"/>
    </row>
    <row r="575" ht="15.75" customHeight="1">
      <c r="A575" s="1424"/>
      <c r="B575" s="1424"/>
      <c r="C575" s="1424"/>
      <c r="D575" s="1424"/>
      <c r="E575" s="1424"/>
      <c r="F575" s="1424"/>
      <c r="G575" s="1424"/>
      <c r="H575" s="1425"/>
      <c r="I575" s="1426"/>
      <c r="J575" s="1426"/>
    </row>
    <row r="576" ht="15.75" customHeight="1">
      <c r="A576" s="1424"/>
      <c r="B576" s="1424"/>
      <c r="C576" s="1424"/>
      <c r="D576" s="1424"/>
      <c r="E576" s="1424"/>
      <c r="F576" s="1424"/>
      <c r="G576" s="1424"/>
      <c r="H576" s="1425"/>
      <c r="I576" s="1426"/>
      <c r="J576" s="1426"/>
    </row>
    <row r="577" ht="15.75" customHeight="1">
      <c r="A577" s="1424"/>
      <c r="B577" s="1424"/>
      <c r="C577" s="1424"/>
      <c r="D577" s="1424"/>
      <c r="E577" s="1424"/>
      <c r="F577" s="1424"/>
      <c r="G577" s="1424"/>
      <c r="H577" s="1425"/>
      <c r="I577" s="1426"/>
      <c r="J577" s="1426"/>
    </row>
    <row r="578" ht="15.75" customHeight="1">
      <c r="A578" s="1424"/>
      <c r="B578" s="1424"/>
      <c r="C578" s="1424"/>
      <c r="D578" s="1424"/>
      <c r="E578" s="1424"/>
      <c r="F578" s="1424"/>
      <c r="G578" s="1424"/>
      <c r="H578" s="1425"/>
      <c r="I578" s="1426"/>
      <c r="J578" s="1426"/>
    </row>
    <row r="579" ht="15.75" customHeight="1">
      <c r="A579" s="1424"/>
      <c r="B579" s="1424"/>
      <c r="C579" s="1424"/>
      <c r="D579" s="1424"/>
      <c r="E579" s="1424"/>
      <c r="F579" s="1424"/>
      <c r="G579" s="1424"/>
      <c r="H579" s="1425"/>
      <c r="I579" s="1426"/>
      <c r="J579" s="1426"/>
    </row>
    <row r="580" ht="15.75" customHeight="1">
      <c r="A580" s="1424"/>
      <c r="B580" s="1424"/>
      <c r="C580" s="1424"/>
      <c r="D580" s="1424"/>
      <c r="E580" s="1424"/>
      <c r="F580" s="1424"/>
      <c r="G580" s="1424"/>
      <c r="H580" s="1425"/>
      <c r="I580" s="1426"/>
      <c r="J580" s="1426"/>
    </row>
    <row r="581" ht="15.75" customHeight="1">
      <c r="A581" s="1424"/>
      <c r="B581" s="1424"/>
      <c r="C581" s="1424"/>
      <c r="D581" s="1424"/>
      <c r="E581" s="1424"/>
      <c r="F581" s="1424"/>
      <c r="G581" s="1424"/>
      <c r="H581" s="1425"/>
      <c r="I581" s="1426"/>
      <c r="J581" s="1426"/>
    </row>
    <row r="582" ht="15.75" customHeight="1">
      <c r="A582" s="1424"/>
      <c r="B582" s="1424"/>
      <c r="C582" s="1424"/>
      <c r="D582" s="1424"/>
      <c r="E582" s="1424"/>
      <c r="F582" s="1424"/>
      <c r="G582" s="1424"/>
      <c r="H582" s="1425"/>
      <c r="I582" s="1426"/>
      <c r="J582" s="1426"/>
    </row>
    <row r="583" ht="15.75" customHeight="1">
      <c r="A583" s="1424"/>
      <c r="B583" s="1424"/>
      <c r="C583" s="1424"/>
      <c r="D583" s="1424"/>
      <c r="E583" s="1424"/>
      <c r="F583" s="1424"/>
      <c r="G583" s="1424"/>
      <c r="H583" s="1425"/>
      <c r="I583" s="1426"/>
      <c r="J583" s="1426"/>
    </row>
    <row r="584" ht="15.75" customHeight="1">
      <c r="A584" s="1424"/>
      <c r="B584" s="1424"/>
      <c r="C584" s="1424"/>
      <c r="D584" s="1424"/>
      <c r="E584" s="1424"/>
      <c r="F584" s="1424"/>
      <c r="G584" s="1424"/>
      <c r="H584" s="1425"/>
      <c r="I584" s="1426"/>
      <c r="J584" s="1426"/>
    </row>
    <row r="585" ht="15.75" customHeight="1">
      <c r="A585" s="1424"/>
      <c r="B585" s="1424"/>
      <c r="C585" s="1424"/>
      <c r="D585" s="1424"/>
      <c r="E585" s="1424"/>
      <c r="F585" s="1424"/>
      <c r="G585" s="1424"/>
      <c r="H585" s="1425"/>
      <c r="I585" s="1426"/>
      <c r="J585" s="1426"/>
    </row>
    <row r="586" ht="15.75" customHeight="1">
      <c r="A586" s="1424"/>
      <c r="B586" s="1424"/>
      <c r="C586" s="1424"/>
      <c r="D586" s="1424"/>
      <c r="E586" s="1424"/>
      <c r="F586" s="1424"/>
      <c r="G586" s="1424"/>
      <c r="H586" s="1425"/>
      <c r="I586" s="1426"/>
      <c r="J586" s="1426"/>
    </row>
    <row r="587" ht="15.75" customHeight="1">
      <c r="A587" s="1424"/>
      <c r="B587" s="1424"/>
      <c r="C587" s="1424"/>
      <c r="D587" s="1424"/>
      <c r="E587" s="1424"/>
      <c r="F587" s="1424"/>
      <c r="G587" s="1424"/>
      <c r="H587" s="1425"/>
      <c r="I587" s="1426"/>
      <c r="J587" s="1426"/>
    </row>
    <row r="588" ht="15.75" customHeight="1">
      <c r="A588" s="1424"/>
      <c r="B588" s="1424"/>
      <c r="C588" s="1424"/>
      <c r="D588" s="1424"/>
      <c r="E588" s="1424"/>
      <c r="F588" s="1424"/>
      <c r="G588" s="1424"/>
      <c r="H588" s="1425"/>
      <c r="I588" s="1426"/>
      <c r="J588" s="1426"/>
    </row>
    <row r="589" ht="15.75" customHeight="1">
      <c r="A589" s="1424"/>
      <c r="B589" s="1424"/>
      <c r="C589" s="1424"/>
      <c r="D589" s="1424"/>
      <c r="E589" s="1424"/>
      <c r="F589" s="1424"/>
      <c r="G589" s="1424"/>
      <c r="H589" s="1425"/>
      <c r="I589" s="1426"/>
      <c r="J589" s="1426"/>
    </row>
    <row r="590" ht="15.75" customHeight="1">
      <c r="A590" s="1424"/>
      <c r="B590" s="1424"/>
      <c r="C590" s="1424"/>
      <c r="D590" s="1424"/>
      <c r="E590" s="1424"/>
      <c r="F590" s="1424"/>
      <c r="G590" s="1424"/>
      <c r="H590" s="1425"/>
      <c r="I590" s="1426"/>
      <c r="J590" s="1426"/>
    </row>
    <row r="591" ht="15.75" customHeight="1">
      <c r="A591" s="1424"/>
      <c r="B591" s="1424"/>
      <c r="C591" s="1424"/>
      <c r="D591" s="1424"/>
      <c r="E591" s="1424"/>
      <c r="F591" s="1424"/>
      <c r="G591" s="1424"/>
      <c r="H591" s="1425"/>
      <c r="I591" s="1426"/>
      <c r="J591" s="1426"/>
    </row>
    <row r="592" ht="15.75" customHeight="1">
      <c r="A592" s="1424"/>
      <c r="B592" s="1424"/>
      <c r="C592" s="1424"/>
      <c r="D592" s="1424"/>
      <c r="E592" s="1424"/>
      <c r="F592" s="1424"/>
      <c r="G592" s="1424"/>
      <c r="H592" s="1425"/>
      <c r="I592" s="1426"/>
      <c r="J592" s="1426"/>
    </row>
    <row r="593" ht="15.75" customHeight="1">
      <c r="A593" s="1424"/>
      <c r="B593" s="1424"/>
      <c r="C593" s="1424"/>
      <c r="D593" s="1424"/>
      <c r="E593" s="1424"/>
      <c r="F593" s="1424"/>
      <c r="G593" s="1424"/>
      <c r="H593" s="1425"/>
      <c r="I593" s="1426"/>
      <c r="J593" s="1426"/>
    </row>
    <row r="594" ht="15.75" customHeight="1">
      <c r="A594" s="1424"/>
      <c r="B594" s="1424"/>
      <c r="C594" s="1424"/>
      <c r="D594" s="1424"/>
      <c r="E594" s="1424"/>
      <c r="F594" s="1424"/>
      <c r="G594" s="1424"/>
      <c r="H594" s="1425"/>
      <c r="I594" s="1426"/>
      <c r="J594" s="1426"/>
    </row>
    <row r="595" ht="15.75" customHeight="1">
      <c r="A595" s="1424"/>
      <c r="B595" s="1424"/>
      <c r="C595" s="1424"/>
      <c r="D595" s="1424"/>
      <c r="E595" s="1424"/>
      <c r="F595" s="1424"/>
      <c r="G595" s="1424"/>
      <c r="H595" s="1425"/>
      <c r="I595" s="1426"/>
      <c r="J595" s="1426"/>
    </row>
    <row r="596" ht="15.75" customHeight="1">
      <c r="A596" s="1424"/>
      <c r="B596" s="1424"/>
      <c r="C596" s="1424"/>
      <c r="D596" s="1424"/>
      <c r="E596" s="1424"/>
      <c r="F596" s="1424"/>
      <c r="G596" s="1424"/>
      <c r="H596" s="1425"/>
      <c r="I596" s="1426"/>
      <c r="J596" s="1426"/>
    </row>
    <row r="597" ht="15.75" customHeight="1">
      <c r="A597" s="1424"/>
      <c r="B597" s="1424"/>
      <c r="C597" s="1424"/>
      <c r="D597" s="1424"/>
      <c r="E597" s="1424"/>
      <c r="F597" s="1424"/>
      <c r="G597" s="1424"/>
      <c r="H597" s="1425"/>
      <c r="I597" s="1426"/>
      <c r="J597" s="1426"/>
    </row>
    <row r="598" ht="15.75" customHeight="1">
      <c r="A598" s="1424"/>
      <c r="B598" s="1424"/>
      <c r="C598" s="1424"/>
      <c r="D598" s="1424"/>
      <c r="E598" s="1424"/>
      <c r="F598" s="1424"/>
      <c r="G598" s="1424"/>
      <c r="H598" s="1425"/>
      <c r="I598" s="1426"/>
      <c r="J598" s="1426"/>
    </row>
    <row r="599" ht="15.75" customHeight="1">
      <c r="A599" s="1424"/>
      <c r="B599" s="1424"/>
      <c r="C599" s="1424"/>
      <c r="D599" s="1424"/>
      <c r="E599" s="1424"/>
      <c r="F599" s="1424"/>
      <c r="G599" s="1424"/>
      <c r="H599" s="1425"/>
      <c r="I599" s="1426"/>
      <c r="J599" s="1426"/>
    </row>
    <row r="600" ht="15.75" customHeight="1">
      <c r="A600" s="1424"/>
      <c r="B600" s="1424"/>
      <c r="C600" s="1424"/>
      <c r="D600" s="1424"/>
      <c r="E600" s="1424"/>
      <c r="F600" s="1424"/>
      <c r="G600" s="1424"/>
      <c r="H600" s="1425"/>
      <c r="I600" s="1426"/>
      <c r="J600" s="1426"/>
    </row>
    <row r="601" ht="15.75" customHeight="1">
      <c r="A601" s="1424"/>
      <c r="B601" s="1424"/>
      <c r="C601" s="1424"/>
      <c r="D601" s="1424"/>
      <c r="E601" s="1424"/>
      <c r="F601" s="1424"/>
      <c r="G601" s="1424"/>
      <c r="H601" s="1425"/>
      <c r="I601" s="1426"/>
      <c r="J601" s="1426"/>
    </row>
    <row r="602" ht="15.75" customHeight="1">
      <c r="A602" s="1424"/>
      <c r="B602" s="1424"/>
      <c r="C602" s="1424"/>
      <c r="D602" s="1424"/>
      <c r="E602" s="1424"/>
      <c r="F602" s="1424"/>
      <c r="G602" s="1424"/>
      <c r="H602" s="1425"/>
      <c r="I602" s="1426"/>
      <c r="J602" s="1426"/>
    </row>
    <row r="603" ht="15.75" customHeight="1">
      <c r="A603" s="1424"/>
      <c r="B603" s="1424"/>
      <c r="C603" s="1424"/>
      <c r="D603" s="1424"/>
      <c r="E603" s="1424"/>
      <c r="F603" s="1424"/>
      <c r="G603" s="1424"/>
      <c r="H603" s="1425"/>
      <c r="I603" s="1426"/>
      <c r="J603" s="1426"/>
    </row>
    <row r="604" ht="15.75" customHeight="1">
      <c r="A604" s="1424"/>
      <c r="B604" s="1424"/>
      <c r="C604" s="1424"/>
      <c r="D604" s="1424"/>
      <c r="E604" s="1424"/>
      <c r="F604" s="1424"/>
      <c r="G604" s="1424"/>
      <c r="H604" s="1425"/>
      <c r="I604" s="1426"/>
      <c r="J604" s="1426"/>
    </row>
    <row r="605" ht="15.75" customHeight="1">
      <c r="A605" s="1424"/>
      <c r="B605" s="1424"/>
      <c r="C605" s="1424"/>
      <c r="D605" s="1424"/>
      <c r="E605" s="1424"/>
      <c r="F605" s="1424"/>
      <c r="G605" s="1424"/>
      <c r="H605" s="1425"/>
      <c r="I605" s="1426"/>
      <c r="J605" s="1426"/>
    </row>
    <row r="606" ht="15.75" customHeight="1">
      <c r="A606" s="1424"/>
      <c r="B606" s="1424"/>
      <c r="C606" s="1424"/>
      <c r="D606" s="1424"/>
      <c r="E606" s="1424"/>
      <c r="F606" s="1424"/>
      <c r="G606" s="1424"/>
      <c r="H606" s="1425"/>
      <c r="I606" s="1426"/>
      <c r="J606" s="1426"/>
    </row>
    <row r="607" ht="15.75" customHeight="1">
      <c r="A607" s="1424"/>
      <c r="B607" s="1424"/>
      <c r="C607" s="1424"/>
      <c r="D607" s="1424"/>
      <c r="E607" s="1424"/>
      <c r="F607" s="1424"/>
      <c r="G607" s="1424"/>
      <c r="H607" s="1425"/>
      <c r="I607" s="1426"/>
      <c r="J607" s="1426"/>
    </row>
    <row r="608" ht="15.75" customHeight="1">
      <c r="A608" s="1424"/>
      <c r="B608" s="1424"/>
      <c r="C608" s="1424"/>
      <c r="D608" s="1424"/>
      <c r="E608" s="1424"/>
      <c r="F608" s="1424"/>
      <c r="G608" s="1424"/>
      <c r="H608" s="1425"/>
      <c r="I608" s="1426"/>
      <c r="J608" s="1426"/>
    </row>
    <row r="609" ht="15.75" customHeight="1">
      <c r="A609" s="1424"/>
      <c r="B609" s="1424"/>
      <c r="C609" s="1424"/>
      <c r="D609" s="1424"/>
      <c r="E609" s="1424"/>
      <c r="F609" s="1424"/>
      <c r="G609" s="1424"/>
      <c r="H609" s="1425"/>
      <c r="I609" s="1426"/>
      <c r="J609" s="1426"/>
    </row>
    <row r="610" ht="15.75" customHeight="1">
      <c r="A610" s="1424"/>
      <c r="B610" s="1424"/>
      <c r="C610" s="1424"/>
      <c r="D610" s="1424"/>
      <c r="E610" s="1424"/>
      <c r="F610" s="1424"/>
      <c r="G610" s="1424"/>
      <c r="H610" s="1425"/>
      <c r="I610" s="1426"/>
      <c r="J610" s="1426"/>
    </row>
    <row r="611" ht="15.75" customHeight="1">
      <c r="A611" s="1424"/>
      <c r="B611" s="1424"/>
      <c r="C611" s="1424"/>
      <c r="D611" s="1424"/>
      <c r="E611" s="1424"/>
      <c r="F611" s="1424"/>
      <c r="G611" s="1424"/>
      <c r="H611" s="1425"/>
      <c r="I611" s="1426"/>
      <c r="J611" s="1426"/>
    </row>
    <row r="612" ht="15.75" customHeight="1">
      <c r="A612" s="1424"/>
      <c r="B612" s="1424"/>
      <c r="C612" s="1424"/>
      <c r="D612" s="1424"/>
      <c r="E612" s="1424"/>
      <c r="F612" s="1424"/>
      <c r="G612" s="1424"/>
      <c r="H612" s="1425"/>
      <c r="I612" s="1426"/>
      <c r="J612" s="1426"/>
    </row>
    <row r="613" ht="15.75" customHeight="1">
      <c r="A613" s="1424"/>
      <c r="B613" s="1424"/>
      <c r="C613" s="1424"/>
      <c r="D613" s="1424"/>
      <c r="E613" s="1424"/>
      <c r="F613" s="1424"/>
      <c r="G613" s="1424"/>
      <c r="H613" s="1425"/>
      <c r="I613" s="1426"/>
      <c r="J613" s="1426"/>
    </row>
    <row r="614" ht="15.75" customHeight="1">
      <c r="A614" s="1424"/>
      <c r="B614" s="1424"/>
      <c r="C614" s="1424"/>
      <c r="D614" s="1424"/>
      <c r="E614" s="1424"/>
      <c r="F614" s="1424"/>
      <c r="G614" s="1424"/>
      <c r="H614" s="1425"/>
      <c r="I614" s="1426"/>
      <c r="J614" s="1426"/>
    </row>
    <row r="615" ht="15.75" customHeight="1">
      <c r="A615" s="1424"/>
      <c r="B615" s="1424"/>
      <c r="C615" s="1424"/>
      <c r="D615" s="1424"/>
      <c r="E615" s="1424"/>
      <c r="F615" s="1424"/>
      <c r="G615" s="1424"/>
      <c r="H615" s="1425"/>
      <c r="I615" s="1426"/>
      <c r="J615" s="1426"/>
    </row>
    <row r="616" ht="15.75" customHeight="1">
      <c r="A616" s="1424"/>
      <c r="B616" s="1424"/>
      <c r="C616" s="1424"/>
      <c r="D616" s="1424"/>
      <c r="E616" s="1424"/>
      <c r="F616" s="1424"/>
      <c r="G616" s="1424"/>
      <c r="H616" s="1425"/>
      <c r="I616" s="1426"/>
      <c r="J616" s="1426"/>
    </row>
    <row r="617" ht="15.75" customHeight="1">
      <c r="A617" s="1424"/>
      <c r="B617" s="1424"/>
      <c r="C617" s="1424"/>
      <c r="D617" s="1424"/>
      <c r="E617" s="1424"/>
      <c r="F617" s="1424"/>
      <c r="G617" s="1424"/>
      <c r="H617" s="1425"/>
      <c r="I617" s="1426"/>
      <c r="J617" s="1426"/>
    </row>
    <row r="618" ht="15.75" customHeight="1">
      <c r="A618" s="1424"/>
      <c r="B618" s="1424"/>
      <c r="C618" s="1424"/>
      <c r="D618" s="1424"/>
      <c r="E618" s="1424"/>
      <c r="F618" s="1424"/>
      <c r="G618" s="1424"/>
      <c r="H618" s="1425"/>
      <c r="I618" s="1426"/>
      <c r="J618" s="1426"/>
    </row>
    <row r="619" ht="15.75" customHeight="1">
      <c r="A619" s="1424"/>
      <c r="B619" s="1424"/>
      <c r="C619" s="1424"/>
      <c r="D619" s="1424"/>
      <c r="E619" s="1424"/>
      <c r="F619" s="1424"/>
      <c r="G619" s="1424"/>
      <c r="H619" s="1425"/>
      <c r="I619" s="1426"/>
      <c r="J619" s="1426"/>
    </row>
    <row r="620" ht="15.75" customHeight="1">
      <c r="A620" s="1424"/>
      <c r="B620" s="1424"/>
      <c r="C620" s="1424"/>
      <c r="D620" s="1424"/>
      <c r="E620" s="1424"/>
      <c r="F620" s="1424"/>
      <c r="G620" s="1424"/>
      <c r="H620" s="1425"/>
      <c r="I620" s="1426"/>
      <c r="J620" s="1426"/>
    </row>
    <row r="621" ht="15.75" customHeight="1">
      <c r="A621" s="1424"/>
      <c r="B621" s="1424"/>
      <c r="C621" s="1424"/>
      <c r="D621" s="1424"/>
      <c r="E621" s="1424"/>
      <c r="F621" s="1424"/>
      <c r="G621" s="1424"/>
      <c r="H621" s="1425"/>
      <c r="I621" s="1426"/>
      <c r="J621" s="1426"/>
    </row>
    <row r="622" ht="15.75" customHeight="1">
      <c r="A622" s="1424"/>
      <c r="B622" s="1424"/>
      <c r="C622" s="1424"/>
      <c r="D622" s="1424"/>
      <c r="E622" s="1424"/>
      <c r="F622" s="1424"/>
      <c r="G622" s="1424"/>
      <c r="H622" s="1425"/>
      <c r="I622" s="1426"/>
      <c r="J622" s="1426"/>
    </row>
    <row r="623" ht="15.75" customHeight="1">
      <c r="A623" s="1424"/>
      <c r="B623" s="1424"/>
      <c r="C623" s="1424"/>
      <c r="D623" s="1424"/>
      <c r="E623" s="1424"/>
      <c r="F623" s="1424"/>
      <c r="G623" s="1424"/>
      <c r="H623" s="1425"/>
      <c r="I623" s="1426"/>
      <c r="J623" s="1426"/>
    </row>
    <row r="624" ht="15.75" customHeight="1">
      <c r="A624" s="1424"/>
      <c r="B624" s="1424"/>
      <c r="C624" s="1424"/>
      <c r="D624" s="1424"/>
      <c r="E624" s="1424"/>
      <c r="F624" s="1424"/>
      <c r="G624" s="1424"/>
      <c r="H624" s="1425"/>
      <c r="I624" s="1426"/>
      <c r="J624" s="1426"/>
    </row>
    <row r="625" ht="15.75" customHeight="1">
      <c r="A625" s="1424"/>
      <c r="B625" s="1424"/>
      <c r="C625" s="1424"/>
      <c r="D625" s="1424"/>
      <c r="E625" s="1424"/>
      <c r="F625" s="1424"/>
      <c r="G625" s="1424"/>
      <c r="H625" s="1425"/>
      <c r="I625" s="1426"/>
      <c r="J625" s="1426"/>
    </row>
    <row r="626" ht="15.75" customHeight="1">
      <c r="A626" s="1424"/>
      <c r="B626" s="1424"/>
      <c r="C626" s="1424"/>
      <c r="D626" s="1424"/>
      <c r="E626" s="1424"/>
      <c r="F626" s="1424"/>
      <c r="G626" s="1424"/>
      <c r="H626" s="1425"/>
      <c r="I626" s="1426"/>
      <c r="J626" s="1426"/>
    </row>
    <row r="627" ht="15.75" customHeight="1">
      <c r="A627" s="1424"/>
      <c r="B627" s="1424"/>
      <c r="C627" s="1424"/>
      <c r="D627" s="1424"/>
      <c r="E627" s="1424"/>
      <c r="F627" s="1424"/>
      <c r="G627" s="1424"/>
      <c r="H627" s="1425"/>
      <c r="I627" s="1426"/>
      <c r="J627" s="1426"/>
    </row>
    <row r="628" ht="15.75" customHeight="1">
      <c r="A628" s="1424"/>
      <c r="B628" s="1424"/>
      <c r="C628" s="1424"/>
      <c r="D628" s="1424"/>
      <c r="E628" s="1424"/>
      <c r="F628" s="1424"/>
      <c r="G628" s="1424"/>
      <c r="H628" s="1425"/>
      <c r="I628" s="1426"/>
      <c r="J628" s="1426"/>
    </row>
    <row r="629" ht="15.75" customHeight="1">
      <c r="A629" s="1424"/>
      <c r="B629" s="1424"/>
      <c r="C629" s="1424"/>
      <c r="D629" s="1424"/>
      <c r="E629" s="1424"/>
      <c r="F629" s="1424"/>
      <c r="G629" s="1424"/>
      <c r="H629" s="1425"/>
      <c r="I629" s="1426"/>
      <c r="J629" s="1426"/>
    </row>
    <row r="630" ht="15.75" customHeight="1">
      <c r="A630" s="1424"/>
      <c r="B630" s="1424"/>
      <c r="C630" s="1424"/>
      <c r="D630" s="1424"/>
      <c r="E630" s="1424"/>
      <c r="F630" s="1424"/>
      <c r="G630" s="1424"/>
      <c r="H630" s="1425"/>
      <c r="I630" s="1426"/>
      <c r="J630" s="1426"/>
    </row>
    <row r="631" ht="15.75" customHeight="1">
      <c r="A631" s="1424"/>
      <c r="B631" s="1424"/>
      <c r="C631" s="1424"/>
      <c r="D631" s="1424"/>
      <c r="E631" s="1424"/>
      <c r="F631" s="1424"/>
      <c r="G631" s="1424"/>
      <c r="H631" s="1425"/>
      <c r="I631" s="1426"/>
      <c r="J631" s="1426"/>
    </row>
    <row r="632" ht="15.75" customHeight="1">
      <c r="A632" s="1424"/>
      <c r="B632" s="1424"/>
      <c r="C632" s="1424"/>
      <c r="D632" s="1424"/>
      <c r="E632" s="1424"/>
      <c r="F632" s="1424"/>
      <c r="G632" s="1424"/>
      <c r="H632" s="1425"/>
      <c r="I632" s="1426"/>
      <c r="J632" s="1426"/>
    </row>
    <row r="633" ht="15.75" customHeight="1">
      <c r="A633" s="1424"/>
      <c r="B633" s="1424"/>
      <c r="C633" s="1424"/>
      <c r="D633" s="1424"/>
      <c r="E633" s="1424"/>
      <c r="F633" s="1424"/>
      <c r="G633" s="1424"/>
      <c r="H633" s="1425"/>
      <c r="I633" s="1426"/>
      <c r="J633" s="1426"/>
    </row>
    <row r="634" ht="15.75" customHeight="1">
      <c r="A634" s="1424"/>
      <c r="B634" s="1424"/>
      <c r="C634" s="1424"/>
      <c r="D634" s="1424"/>
      <c r="E634" s="1424"/>
      <c r="F634" s="1424"/>
      <c r="G634" s="1424"/>
      <c r="H634" s="1425"/>
      <c r="I634" s="1426"/>
      <c r="J634" s="1426"/>
    </row>
    <row r="635" ht="15.75" customHeight="1">
      <c r="A635" s="1424"/>
      <c r="B635" s="1424"/>
      <c r="C635" s="1424"/>
      <c r="D635" s="1424"/>
      <c r="E635" s="1424"/>
      <c r="F635" s="1424"/>
      <c r="G635" s="1424"/>
      <c r="H635" s="1425"/>
      <c r="I635" s="1426"/>
      <c r="J635" s="1426"/>
    </row>
    <row r="636" ht="15.75" customHeight="1">
      <c r="A636" s="1424"/>
      <c r="B636" s="1424"/>
      <c r="C636" s="1424"/>
      <c r="D636" s="1424"/>
      <c r="E636" s="1424"/>
      <c r="F636" s="1424"/>
      <c r="G636" s="1424"/>
      <c r="H636" s="1425"/>
      <c r="I636" s="1426"/>
      <c r="J636" s="1426"/>
    </row>
    <row r="637" ht="15.75" customHeight="1">
      <c r="A637" s="1424"/>
      <c r="B637" s="1424"/>
      <c r="C637" s="1424"/>
      <c r="D637" s="1424"/>
      <c r="E637" s="1424"/>
      <c r="F637" s="1424"/>
      <c r="G637" s="1424"/>
      <c r="H637" s="1425"/>
      <c r="I637" s="1426"/>
      <c r="J637" s="1426"/>
    </row>
    <row r="638" ht="15.75" customHeight="1">
      <c r="A638" s="1424"/>
      <c r="B638" s="1424"/>
      <c r="C638" s="1424"/>
      <c r="D638" s="1424"/>
      <c r="E638" s="1424"/>
      <c r="F638" s="1424"/>
      <c r="G638" s="1424"/>
      <c r="H638" s="1425"/>
      <c r="I638" s="1426"/>
      <c r="J638" s="1426"/>
    </row>
    <row r="639" ht="15.75" customHeight="1">
      <c r="A639" s="1424"/>
      <c r="B639" s="1424"/>
      <c r="C639" s="1424"/>
      <c r="D639" s="1424"/>
      <c r="E639" s="1424"/>
      <c r="F639" s="1424"/>
      <c r="G639" s="1424"/>
      <c r="H639" s="1425"/>
      <c r="I639" s="1426"/>
      <c r="J639" s="1426"/>
    </row>
    <row r="640" ht="15.75" customHeight="1">
      <c r="A640" s="1424"/>
      <c r="B640" s="1424"/>
      <c r="C640" s="1424"/>
      <c r="D640" s="1424"/>
      <c r="E640" s="1424"/>
      <c r="F640" s="1424"/>
      <c r="G640" s="1424"/>
      <c r="H640" s="1425"/>
      <c r="I640" s="1426"/>
      <c r="J640" s="1426"/>
    </row>
    <row r="641" ht="15.75" customHeight="1">
      <c r="A641" s="1424"/>
      <c r="B641" s="1424"/>
      <c r="C641" s="1424"/>
      <c r="D641" s="1424"/>
      <c r="E641" s="1424"/>
      <c r="F641" s="1424"/>
      <c r="G641" s="1424"/>
      <c r="H641" s="1425"/>
      <c r="I641" s="1426"/>
      <c r="J641" s="1426"/>
    </row>
    <row r="642" ht="15.75" customHeight="1">
      <c r="A642" s="1424"/>
      <c r="B642" s="1424"/>
      <c r="C642" s="1424"/>
      <c r="D642" s="1424"/>
      <c r="E642" s="1424"/>
      <c r="F642" s="1424"/>
      <c r="G642" s="1424"/>
      <c r="H642" s="1425"/>
      <c r="I642" s="1426"/>
      <c r="J642" s="1426"/>
    </row>
    <row r="643" ht="15.75" customHeight="1">
      <c r="A643" s="1424"/>
      <c r="B643" s="1424"/>
      <c r="C643" s="1424"/>
      <c r="D643" s="1424"/>
      <c r="E643" s="1424"/>
      <c r="F643" s="1424"/>
      <c r="G643" s="1424"/>
      <c r="H643" s="1425"/>
      <c r="I643" s="1426"/>
      <c r="J643" s="1426"/>
    </row>
    <row r="644" ht="15.75" customHeight="1">
      <c r="A644" s="1424"/>
      <c r="B644" s="1424"/>
      <c r="C644" s="1424"/>
      <c r="D644" s="1424"/>
      <c r="E644" s="1424"/>
      <c r="F644" s="1424"/>
      <c r="G644" s="1424"/>
      <c r="H644" s="1425"/>
      <c r="I644" s="1426"/>
      <c r="J644" s="1426"/>
    </row>
    <row r="645" ht="15.75" customHeight="1">
      <c r="A645" s="1424"/>
      <c r="B645" s="1424"/>
      <c r="C645" s="1424"/>
      <c r="D645" s="1424"/>
      <c r="E645" s="1424"/>
      <c r="F645" s="1424"/>
      <c r="G645" s="1424"/>
      <c r="H645" s="1425"/>
      <c r="I645" s="1426"/>
      <c r="J645" s="1426"/>
    </row>
    <row r="646" ht="15.75" customHeight="1">
      <c r="A646" s="1424"/>
      <c r="B646" s="1424"/>
      <c r="C646" s="1424"/>
      <c r="D646" s="1424"/>
      <c r="E646" s="1424"/>
      <c r="F646" s="1424"/>
      <c r="G646" s="1424"/>
      <c r="H646" s="1425"/>
      <c r="I646" s="1426"/>
      <c r="J646" s="1426"/>
    </row>
    <row r="647" ht="15.75" customHeight="1">
      <c r="A647" s="1424"/>
      <c r="B647" s="1424"/>
      <c r="C647" s="1424"/>
      <c r="D647" s="1424"/>
      <c r="E647" s="1424"/>
      <c r="F647" s="1424"/>
      <c r="G647" s="1424"/>
      <c r="H647" s="1425"/>
      <c r="I647" s="1426"/>
      <c r="J647" s="1426"/>
    </row>
    <row r="648" ht="15.75" customHeight="1">
      <c r="A648" s="1424"/>
      <c r="B648" s="1424"/>
      <c r="C648" s="1424"/>
      <c r="D648" s="1424"/>
      <c r="E648" s="1424"/>
      <c r="F648" s="1424"/>
      <c r="G648" s="1424"/>
      <c r="H648" s="1425"/>
      <c r="I648" s="1426"/>
      <c r="J648" s="1426"/>
    </row>
    <row r="649" ht="15.75" customHeight="1">
      <c r="A649" s="1424"/>
      <c r="B649" s="1424"/>
      <c r="C649" s="1424"/>
      <c r="D649" s="1424"/>
      <c r="E649" s="1424"/>
      <c r="F649" s="1424"/>
      <c r="G649" s="1424"/>
      <c r="H649" s="1425"/>
      <c r="I649" s="1426"/>
      <c r="J649" s="1426"/>
    </row>
    <row r="650" ht="15.75" customHeight="1">
      <c r="A650" s="1424"/>
      <c r="B650" s="1424"/>
      <c r="C650" s="1424"/>
      <c r="D650" s="1424"/>
      <c r="E650" s="1424"/>
      <c r="F650" s="1424"/>
      <c r="G650" s="1424"/>
      <c r="H650" s="1425"/>
      <c r="I650" s="1426"/>
      <c r="J650" s="1426"/>
    </row>
    <row r="651" ht="15.75" customHeight="1">
      <c r="A651" s="1424"/>
      <c r="B651" s="1424"/>
      <c r="C651" s="1424"/>
      <c r="D651" s="1424"/>
      <c r="E651" s="1424"/>
      <c r="F651" s="1424"/>
      <c r="G651" s="1424"/>
      <c r="H651" s="1425"/>
      <c r="I651" s="1426"/>
      <c r="J651" s="1426"/>
    </row>
    <row r="652" ht="15.75" customHeight="1">
      <c r="A652" s="1424"/>
      <c r="B652" s="1424"/>
      <c r="C652" s="1424"/>
      <c r="D652" s="1424"/>
      <c r="E652" s="1424"/>
      <c r="F652" s="1424"/>
      <c r="G652" s="1424"/>
      <c r="H652" s="1425"/>
      <c r="I652" s="1426"/>
      <c r="J652" s="1426"/>
    </row>
    <row r="653" ht="15.75" customHeight="1">
      <c r="A653" s="1424"/>
      <c r="B653" s="1424"/>
      <c r="C653" s="1424"/>
      <c r="D653" s="1424"/>
      <c r="E653" s="1424"/>
      <c r="F653" s="1424"/>
      <c r="G653" s="1424"/>
      <c r="H653" s="1425"/>
      <c r="I653" s="1426"/>
      <c r="J653" s="1426"/>
    </row>
    <row r="654" ht="15.75" customHeight="1">
      <c r="A654" s="1424"/>
      <c r="B654" s="1424"/>
      <c r="C654" s="1424"/>
      <c r="D654" s="1424"/>
      <c r="E654" s="1424"/>
      <c r="F654" s="1424"/>
      <c r="G654" s="1424"/>
      <c r="H654" s="1425"/>
      <c r="I654" s="1426"/>
      <c r="J654" s="1426"/>
    </row>
    <row r="655" ht="15.75" customHeight="1">
      <c r="A655" s="1424"/>
      <c r="B655" s="1424"/>
      <c r="C655" s="1424"/>
      <c r="D655" s="1424"/>
      <c r="E655" s="1424"/>
      <c r="F655" s="1424"/>
      <c r="G655" s="1424"/>
      <c r="H655" s="1425"/>
      <c r="I655" s="1426"/>
      <c r="J655" s="1426"/>
    </row>
    <row r="656" ht="15.75" customHeight="1">
      <c r="A656" s="1424"/>
      <c r="B656" s="1424"/>
      <c r="C656" s="1424"/>
      <c r="D656" s="1424"/>
      <c r="E656" s="1424"/>
      <c r="F656" s="1424"/>
      <c r="G656" s="1424"/>
      <c r="H656" s="1425"/>
      <c r="I656" s="1426"/>
      <c r="J656" s="1426"/>
    </row>
    <row r="657" ht="15.75" customHeight="1">
      <c r="A657" s="1424"/>
      <c r="B657" s="1424"/>
      <c r="C657" s="1424"/>
      <c r="D657" s="1424"/>
      <c r="E657" s="1424"/>
      <c r="F657" s="1424"/>
      <c r="G657" s="1424"/>
      <c r="H657" s="1425"/>
      <c r="I657" s="1426"/>
      <c r="J657" s="1426"/>
    </row>
    <row r="658" ht="15.75" customHeight="1">
      <c r="A658" s="1424"/>
      <c r="B658" s="1424"/>
      <c r="C658" s="1424"/>
      <c r="D658" s="1424"/>
      <c r="E658" s="1424"/>
      <c r="F658" s="1424"/>
      <c r="G658" s="1424"/>
      <c r="H658" s="1425"/>
      <c r="I658" s="1426"/>
      <c r="J658" s="1426"/>
    </row>
    <row r="659" ht="15.75" customHeight="1">
      <c r="A659" s="1424"/>
      <c r="B659" s="1424"/>
      <c r="C659" s="1424"/>
      <c r="D659" s="1424"/>
      <c r="E659" s="1424"/>
      <c r="F659" s="1424"/>
      <c r="G659" s="1424"/>
      <c r="H659" s="1425"/>
      <c r="I659" s="1426"/>
      <c r="J659" s="1426"/>
    </row>
    <row r="660" ht="15.75" customHeight="1">
      <c r="A660" s="1424"/>
      <c r="B660" s="1424"/>
      <c r="C660" s="1424"/>
      <c r="D660" s="1424"/>
      <c r="E660" s="1424"/>
      <c r="F660" s="1424"/>
      <c r="G660" s="1424"/>
      <c r="H660" s="1425"/>
      <c r="I660" s="1426"/>
      <c r="J660" s="1426"/>
    </row>
    <row r="661" ht="15.75" customHeight="1">
      <c r="A661" s="1424"/>
      <c r="B661" s="1424"/>
      <c r="C661" s="1424"/>
      <c r="D661" s="1424"/>
      <c r="E661" s="1424"/>
      <c r="F661" s="1424"/>
      <c r="G661" s="1424"/>
      <c r="H661" s="1425"/>
      <c r="I661" s="1426"/>
      <c r="J661" s="1426"/>
    </row>
    <row r="662" ht="15.75" customHeight="1">
      <c r="A662" s="1424"/>
      <c r="B662" s="1424"/>
      <c r="C662" s="1424"/>
      <c r="D662" s="1424"/>
      <c r="E662" s="1424"/>
      <c r="F662" s="1424"/>
      <c r="G662" s="1424"/>
      <c r="H662" s="1425"/>
      <c r="I662" s="1426"/>
      <c r="J662" s="1426"/>
    </row>
    <row r="663" ht="15.75" customHeight="1">
      <c r="A663" s="1424"/>
      <c r="B663" s="1424"/>
      <c r="C663" s="1424"/>
      <c r="D663" s="1424"/>
      <c r="E663" s="1424"/>
      <c r="F663" s="1424"/>
      <c r="G663" s="1424"/>
      <c r="H663" s="1425"/>
      <c r="I663" s="1426"/>
      <c r="J663" s="1426"/>
    </row>
    <row r="664" ht="15.75" customHeight="1">
      <c r="A664" s="1424"/>
      <c r="B664" s="1424"/>
      <c r="C664" s="1424"/>
      <c r="D664" s="1424"/>
      <c r="E664" s="1424"/>
      <c r="F664" s="1424"/>
      <c r="G664" s="1424"/>
      <c r="H664" s="1425"/>
      <c r="I664" s="1426"/>
      <c r="J664" s="1426"/>
    </row>
    <row r="665" ht="15.75" customHeight="1">
      <c r="A665" s="1424"/>
      <c r="B665" s="1424"/>
      <c r="C665" s="1424"/>
      <c r="D665" s="1424"/>
      <c r="E665" s="1424"/>
      <c r="F665" s="1424"/>
      <c r="G665" s="1424"/>
      <c r="H665" s="1425"/>
      <c r="I665" s="1426"/>
      <c r="J665" s="1426"/>
    </row>
    <row r="666" ht="15.75" customHeight="1">
      <c r="A666" s="1424"/>
      <c r="B666" s="1424"/>
      <c r="C666" s="1424"/>
      <c r="D666" s="1424"/>
      <c r="E666" s="1424"/>
      <c r="F666" s="1424"/>
      <c r="G666" s="1424"/>
      <c r="H666" s="1425"/>
      <c r="I666" s="1426"/>
      <c r="J666" s="1426"/>
    </row>
    <row r="667" ht="15.75" customHeight="1">
      <c r="A667" s="1424"/>
      <c r="B667" s="1424"/>
      <c r="C667" s="1424"/>
      <c r="D667" s="1424"/>
      <c r="E667" s="1424"/>
      <c r="F667" s="1424"/>
      <c r="G667" s="1424"/>
      <c r="H667" s="1425"/>
      <c r="I667" s="1426"/>
      <c r="J667" s="1426"/>
    </row>
    <row r="668" ht="15.75" customHeight="1">
      <c r="A668" s="1424"/>
      <c r="B668" s="1424"/>
      <c r="C668" s="1424"/>
      <c r="D668" s="1424"/>
      <c r="E668" s="1424"/>
      <c r="F668" s="1424"/>
      <c r="G668" s="1424"/>
      <c r="H668" s="1425"/>
      <c r="I668" s="1426"/>
      <c r="J668" s="1426"/>
    </row>
    <row r="669" ht="15.75" customHeight="1">
      <c r="A669" s="1424"/>
      <c r="B669" s="1424"/>
      <c r="C669" s="1424"/>
      <c r="D669" s="1424"/>
      <c r="E669" s="1424"/>
      <c r="F669" s="1424"/>
      <c r="G669" s="1424"/>
      <c r="H669" s="1425"/>
      <c r="I669" s="1426"/>
      <c r="J669" s="1426"/>
    </row>
    <row r="670" ht="15.75" customHeight="1">
      <c r="A670" s="1424"/>
      <c r="B670" s="1424"/>
      <c r="C670" s="1424"/>
      <c r="D670" s="1424"/>
      <c r="E670" s="1424"/>
      <c r="F670" s="1424"/>
      <c r="G670" s="1424"/>
      <c r="H670" s="1425"/>
      <c r="I670" s="1426"/>
      <c r="J670" s="1426"/>
    </row>
    <row r="671" ht="15.75" customHeight="1">
      <c r="A671" s="1424"/>
      <c r="B671" s="1424"/>
      <c r="C671" s="1424"/>
      <c r="D671" s="1424"/>
      <c r="E671" s="1424"/>
      <c r="F671" s="1424"/>
      <c r="G671" s="1424"/>
      <c r="H671" s="1425"/>
      <c r="I671" s="1426"/>
      <c r="J671" s="1426"/>
    </row>
    <row r="672" ht="15.75" customHeight="1">
      <c r="A672" s="1424"/>
      <c r="B672" s="1424"/>
      <c r="C672" s="1424"/>
      <c r="D672" s="1424"/>
      <c r="E672" s="1424"/>
      <c r="F672" s="1424"/>
      <c r="G672" s="1424"/>
      <c r="H672" s="1425"/>
      <c r="I672" s="1426"/>
      <c r="J672" s="1426"/>
    </row>
    <row r="673" ht="15.75" customHeight="1">
      <c r="A673" s="1424"/>
      <c r="B673" s="1424"/>
      <c r="C673" s="1424"/>
      <c r="D673" s="1424"/>
      <c r="E673" s="1424"/>
      <c r="F673" s="1424"/>
      <c r="G673" s="1424"/>
      <c r="H673" s="1425"/>
      <c r="I673" s="1426"/>
      <c r="J673" s="1426"/>
    </row>
    <row r="674" ht="15.75" customHeight="1">
      <c r="A674" s="1424"/>
      <c r="B674" s="1424"/>
      <c r="C674" s="1424"/>
      <c r="D674" s="1424"/>
      <c r="E674" s="1424"/>
      <c r="F674" s="1424"/>
      <c r="G674" s="1424"/>
      <c r="H674" s="1425"/>
      <c r="I674" s="1426"/>
      <c r="J674" s="1426"/>
    </row>
    <row r="675" ht="15.75" customHeight="1">
      <c r="A675" s="1424"/>
      <c r="B675" s="1424"/>
      <c r="C675" s="1424"/>
      <c r="D675" s="1424"/>
      <c r="E675" s="1424"/>
      <c r="F675" s="1424"/>
      <c r="G675" s="1424"/>
      <c r="H675" s="1425"/>
      <c r="I675" s="1426"/>
      <c r="J675" s="1426"/>
    </row>
    <row r="676" ht="15.75" customHeight="1">
      <c r="A676" s="1424"/>
      <c r="B676" s="1424"/>
      <c r="C676" s="1424"/>
      <c r="D676" s="1424"/>
      <c r="E676" s="1424"/>
      <c r="F676" s="1424"/>
      <c r="G676" s="1424"/>
      <c r="H676" s="1425"/>
      <c r="I676" s="1426"/>
      <c r="J676" s="1426"/>
    </row>
    <row r="677" ht="15.75" customHeight="1">
      <c r="A677" s="1424"/>
      <c r="B677" s="1424"/>
      <c r="C677" s="1424"/>
      <c r="D677" s="1424"/>
      <c r="E677" s="1424"/>
      <c r="F677" s="1424"/>
      <c r="G677" s="1424"/>
      <c r="H677" s="1425"/>
      <c r="I677" s="1426"/>
      <c r="J677" s="1426"/>
    </row>
    <row r="678" ht="15.75" customHeight="1">
      <c r="A678" s="1424"/>
      <c r="B678" s="1424"/>
      <c r="C678" s="1424"/>
      <c r="D678" s="1424"/>
      <c r="E678" s="1424"/>
      <c r="F678" s="1424"/>
      <c r="G678" s="1424"/>
      <c r="H678" s="1425"/>
      <c r="I678" s="1426"/>
      <c r="J678" s="1426"/>
    </row>
    <row r="679" ht="15.75" customHeight="1">
      <c r="A679" s="1424"/>
      <c r="B679" s="1424"/>
      <c r="C679" s="1424"/>
      <c r="D679" s="1424"/>
      <c r="E679" s="1424"/>
      <c r="F679" s="1424"/>
      <c r="G679" s="1424"/>
      <c r="H679" s="1425"/>
      <c r="I679" s="1426"/>
      <c r="J679" s="1426"/>
    </row>
    <row r="680" ht="15.75" customHeight="1">
      <c r="A680" s="1424"/>
      <c r="B680" s="1424"/>
      <c r="C680" s="1424"/>
      <c r="D680" s="1424"/>
      <c r="E680" s="1424"/>
      <c r="F680" s="1424"/>
      <c r="G680" s="1424"/>
      <c r="H680" s="1425"/>
      <c r="I680" s="1426"/>
      <c r="J680" s="1426"/>
    </row>
    <row r="681" ht="15.75" customHeight="1">
      <c r="A681" s="1424"/>
      <c r="B681" s="1424"/>
      <c r="C681" s="1424"/>
      <c r="D681" s="1424"/>
      <c r="E681" s="1424"/>
      <c r="F681" s="1424"/>
      <c r="G681" s="1424"/>
      <c r="H681" s="1425"/>
      <c r="I681" s="1426"/>
      <c r="J681" s="1426"/>
    </row>
    <row r="682" ht="15.75" customHeight="1">
      <c r="A682" s="1424"/>
      <c r="B682" s="1424"/>
      <c r="C682" s="1424"/>
      <c r="D682" s="1424"/>
      <c r="E682" s="1424"/>
      <c r="F682" s="1424"/>
      <c r="G682" s="1424"/>
      <c r="H682" s="1425"/>
      <c r="I682" s="1426"/>
      <c r="J682" s="1426"/>
    </row>
    <row r="683" ht="15.75" customHeight="1">
      <c r="A683" s="1424"/>
      <c r="B683" s="1424"/>
      <c r="C683" s="1424"/>
      <c r="D683" s="1424"/>
      <c r="E683" s="1424"/>
      <c r="F683" s="1424"/>
      <c r="G683" s="1424"/>
      <c r="H683" s="1425"/>
      <c r="I683" s="1426"/>
      <c r="J683" s="1426"/>
    </row>
    <row r="684" ht="15.75" customHeight="1">
      <c r="A684" s="1424"/>
      <c r="B684" s="1424"/>
      <c r="C684" s="1424"/>
      <c r="D684" s="1424"/>
      <c r="E684" s="1424"/>
      <c r="F684" s="1424"/>
      <c r="G684" s="1424"/>
      <c r="H684" s="1425"/>
      <c r="I684" s="1426"/>
      <c r="J684" s="1426"/>
    </row>
    <row r="685" ht="15.75" customHeight="1">
      <c r="A685" s="1424"/>
      <c r="B685" s="1424"/>
      <c r="C685" s="1424"/>
      <c r="D685" s="1424"/>
      <c r="E685" s="1424"/>
      <c r="F685" s="1424"/>
      <c r="G685" s="1424"/>
      <c r="H685" s="1425"/>
      <c r="I685" s="1426"/>
      <c r="J685" s="1426"/>
    </row>
    <row r="686" ht="15.75" customHeight="1">
      <c r="A686" s="1424"/>
      <c r="B686" s="1424"/>
      <c r="C686" s="1424"/>
      <c r="D686" s="1424"/>
      <c r="E686" s="1424"/>
      <c r="F686" s="1424"/>
      <c r="G686" s="1424"/>
      <c r="H686" s="1425"/>
      <c r="I686" s="1426"/>
      <c r="J686" s="1426"/>
    </row>
    <row r="687" ht="15.75" customHeight="1">
      <c r="A687" s="1424"/>
      <c r="B687" s="1424"/>
      <c r="C687" s="1424"/>
      <c r="D687" s="1424"/>
      <c r="E687" s="1424"/>
      <c r="F687" s="1424"/>
      <c r="G687" s="1424"/>
      <c r="H687" s="1425"/>
      <c r="I687" s="1426"/>
      <c r="J687" s="1426"/>
    </row>
    <row r="688" ht="15.75" customHeight="1">
      <c r="A688" s="1424"/>
      <c r="B688" s="1424"/>
      <c r="C688" s="1424"/>
      <c r="D688" s="1424"/>
      <c r="E688" s="1424"/>
      <c r="F688" s="1424"/>
      <c r="G688" s="1424"/>
      <c r="H688" s="1425"/>
      <c r="I688" s="1426"/>
      <c r="J688" s="1426"/>
    </row>
    <row r="689" ht="15.75" customHeight="1">
      <c r="A689" s="1424"/>
      <c r="B689" s="1424"/>
      <c r="C689" s="1424"/>
      <c r="D689" s="1424"/>
      <c r="E689" s="1424"/>
      <c r="F689" s="1424"/>
      <c r="G689" s="1424"/>
      <c r="H689" s="1425"/>
      <c r="I689" s="1426"/>
      <c r="J689" s="1426"/>
    </row>
    <row r="690" ht="15.75" customHeight="1">
      <c r="A690" s="1424"/>
      <c r="B690" s="1424"/>
      <c r="C690" s="1424"/>
      <c r="D690" s="1424"/>
      <c r="E690" s="1424"/>
      <c r="F690" s="1424"/>
      <c r="G690" s="1424"/>
      <c r="H690" s="1425"/>
      <c r="I690" s="1426"/>
      <c r="J690" s="1426"/>
    </row>
    <row r="691" ht="15.75" customHeight="1">
      <c r="A691" s="1424"/>
      <c r="B691" s="1424"/>
      <c r="C691" s="1424"/>
      <c r="D691" s="1424"/>
      <c r="E691" s="1424"/>
      <c r="F691" s="1424"/>
      <c r="G691" s="1424"/>
      <c r="H691" s="1425"/>
      <c r="I691" s="1426"/>
      <c r="J691" s="1426"/>
    </row>
    <row r="692" ht="15.75" customHeight="1">
      <c r="A692" s="1424"/>
      <c r="B692" s="1424"/>
      <c r="C692" s="1424"/>
      <c r="D692" s="1424"/>
      <c r="E692" s="1424"/>
      <c r="F692" s="1424"/>
      <c r="G692" s="1424"/>
      <c r="H692" s="1425"/>
      <c r="I692" s="1426"/>
      <c r="J692" s="1426"/>
    </row>
    <row r="693" ht="15.75" customHeight="1">
      <c r="A693" s="1424"/>
      <c r="B693" s="1424"/>
      <c r="C693" s="1424"/>
      <c r="D693" s="1424"/>
      <c r="E693" s="1424"/>
      <c r="F693" s="1424"/>
      <c r="G693" s="1424"/>
      <c r="H693" s="1425"/>
      <c r="I693" s="1426"/>
      <c r="J693" s="1426"/>
    </row>
    <row r="694" ht="15.75" customHeight="1">
      <c r="A694" s="1424"/>
      <c r="B694" s="1424"/>
      <c r="C694" s="1424"/>
      <c r="D694" s="1424"/>
      <c r="E694" s="1424"/>
      <c r="F694" s="1424"/>
      <c r="G694" s="1424"/>
      <c r="H694" s="1425"/>
      <c r="I694" s="1426"/>
      <c r="J694" s="1426"/>
    </row>
    <row r="695" ht="15.75" customHeight="1">
      <c r="A695" s="1424"/>
      <c r="B695" s="1424"/>
      <c r="C695" s="1424"/>
      <c r="D695" s="1424"/>
      <c r="E695" s="1424"/>
      <c r="F695" s="1424"/>
      <c r="G695" s="1424"/>
      <c r="H695" s="1425"/>
      <c r="I695" s="1426"/>
      <c r="J695" s="1426"/>
    </row>
    <row r="696" ht="15.75" customHeight="1">
      <c r="A696" s="1424"/>
      <c r="B696" s="1424"/>
      <c r="C696" s="1424"/>
      <c r="D696" s="1424"/>
      <c r="E696" s="1424"/>
      <c r="F696" s="1424"/>
      <c r="G696" s="1424"/>
      <c r="H696" s="1425"/>
      <c r="I696" s="1426"/>
      <c r="J696" s="1426"/>
    </row>
    <row r="697" ht="15.75" customHeight="1">
      <c r="A697" s="1424"/>
      <c r="B697" s="1424"/>
      <c r="C697" s="1424"/>
      <c r="D697" s="1424"/>
      <c r="E697" s="1424"/>
      <c r="F697" s="1424"/>
      <c r="G697" s="1424"/>
      <c r="H697" s="1425"/>
      <c r="I697" s="1426"/>
      <c r="J697" s="1426"/>
    </row>
    <row r="698" ht="15.75" customHeight="1">
      <c r="A698" s="1424"/>
      <c r="B698" s="1424"/>
      <c r="C698" s="1424"/>
      <c r="D698" s="1424"/>
      <c r="E698" s="1424"/>
      <c r="F698" s="1424"/>
      <c r="G698" s="1424"/>
      <c r="H698" s="1425"/>
      <c r="I698" s="1426"/>
      <c r="J698" s="1426"/>
    </row>
    <row r="699" ht="15.75" customHeight="1">
      <c r="A699" s="1424"/>
      <c r="B699" s="1424"/>
      <c r="C699" s="1424"/>
      <c r="D699" s="1424"/>
      <c r="E699" s="1424"/>
      <c r="F699" s="1424"/>
      <c r="G699" s="1424"/>
      <c r="H699" s="1425"/>
      <c r="I699" s="1426"/>
      <c r="J699" s="1426"/>
    </row>
    <row r="700" ht="15.75" customHeight="1">
      <c r="A700" s="1424"/>
      <c r="B700" s="1424"/>
      <c r="C700" s="1424"/>
      <c r="D700" s="1424"/>
      <c r="E700" s="1424"/>
      <c r="F700" s="1424"/>
      <c r="G700" s="1424"/>
      <c r="H700" s="1425"/>
      <c r="I700" s="1426"/>
      <c r="J700" s="1426"/>
    </row>
    <row r="701" ht="15.75" customHeight="1">
      <c r="A701" s="1424"/>
      <c r="B701" s="1424"/>
      <c r="C701" s="1424"/>
      <c r="D701" s="1424"/>
      <c r="E701" s="1424"/>
      <c r="F701" s="1424"/>
      <c r="G701" s="1424"/>
      <c r="H701" s="1425"/>
      <c r="I701" s="1426"/>
      <c r="J701" s="1426"/>
    </row>
    <row r="702" ht="15.75" customHeight="1">
      <c r="A702" s="1424"/>
      <c r="B702" s="1424"/>
      <c r="C702" s="1424"/>
      <c r="D702" s="1424"/>
      <c r="E702" s="1424"/>
      <c r="F702" s="1424"/>
      <c r="G702" s="1424"/>
      <c r="H702" s="1425"/>
      <c r="I702" s="1426"/>
      <c r="J702" s="1426"/>
    </row>
    <row r="703" ht="15.75" customHeight="1">
      <c r="A703" s="1424"/>
      <c r="B703" s="1424"/>
      <c r="C703" s="1424"/>
      <c r="D703" s="1424"/>
      <c r="E703" s="1424"/>
      <c r="F703" s="1424"/>
      <c r="G703" s="1424"/>
      <c r="H703" s="1425"/>
      <c r="I703" s="1426"/>
      <c r="J703" s="1426"/>
    </row>
    <row r="704" ht="15.75" customHeight="1">
      <c r="A704" s="1424"/>
      <c r="B704" s="1424"/>
      <c r="C704" s="1424"/>
      <c r="D704" s="1424"/>
      <c r="E704" s="1424"/>
      <c r="F704" s="1424"/>
      <c r="G704" s="1424"/>
      <c r="H704" s="1425"/>
      <c r="I704" s="1426"/>
      <c r="J704" s="1426"/>
    </row>
    <row r="705" ht="15.75" customHeight="1">
      <c r="A705" s="1424"/>
      <c r="B705" s="1424"/>
      <c r="C705" s="1424"/>
      <c r="D705" s="1424"/>
      <c r="E705" s="1424"/>
      <c r="F705" s="1424"/>
      <c r="G705" s="1424"/>
      <c r="H705" s="1425"/>
      <c r="I705" s="1426"/>
      <c r="J705" s="1426"/>
    </row>
    <row r="706" ht="15.75" customHeight="1">
      <c r="A706" s="1424"/>
      <c r="B706" s="1424"/>
      <c r="C706" s="1424"/>
      <c r="D706" s="1424"/>
      <c r="E706" s="1424"/>
      <c r="F706" s="1424"/>
      <c r="G706" s="1424"/>
      <c r="H706" s="1425"/>
      <c r="I706" s="1426"/>
      <c r="J706" s="1426"/>
    </row>
    <row r="707" ht="15.75" customHeight="1">
      <c r="A707" s="1424"/>
      <c r="B707" s="1424"/>
      <c r="C707" s="1424"/>
      <c r="D707" s="1424"/>
      <c r="E707" s="1424"/>
      <c r="F707" s="1424"/>
      <c r="G707" s="1424"/>
      <c r="H707" s="1425"/>
      <c r="I707" s="1426"/>
      <c r="J707" s="1426"/>
    </row>
    <row r="708" ht="15.75" customHeight="1">
      <c r="A708" s="1424"/>
      <c r="B708" s="1424"/>
      <c r="C708" s="1424"/>
      <c r="D708" s="1424"/>
      <c r="E708" s="1424"/>
      <c r="F708" s="1424"/>
      <c r="G708" s="1424"/>
      <c r="H708" s="1425"/>
      <c r="I708" s="1426"/>
      <c r="J708" s="1426"/>
    </row>
    <row r="709" ht="15.75" customHeight="1">
      <c r="A709" s="1424"/>
      <c r="B709" s="1424"/>
      <c r="C709" s="1424"/>
      <c r="D709" s="1424"/>
      <c r="E709" s="1424"/>
      <c r="F709" s="1424"/>
      <c r="G709" s="1424"/>
      <c r="H709" s="1425"/>
      <c r="I709" s="1426"/>
      <c r="J709" s="1426"/>
    </row>
    <row r="710" ht="15.75" customHeight="1">
      <c r="A710" s="1424"/>
      <c r="B710" s="1424"/>
      <c r="C710" s="1424"/>
      <c r="D710" s="1424"/>
      <c r="E710" s="1424"/>
      <c r="F710" s="1424"/>
      <c r="G710" s="1424"/>
      <c r="H710" s="1425"/>
      <c r="I710" s="1426"/>
      <c r="J710" s="1426"/>
    </row>
    <row r="711" ht="15.75" customHeight="1">
      <c r="A711" s="1424"/>
      <c r="B711" s="1424"/>
      <c r="C711" s="1424"/>
      <c r="D711" s="1424"/>
      <c r="E711" s="1424"/>
      <c r="F711" s="1424"/>
      <c r="G711" s="1424"/>
      <c r="H711" s="1425"/>
      <c r="I711" s="1426"/>
      <c r="J711" s="1426"/>
    </row>
    <row r="712" ht="15.75" customHeight="1">
      <c r="A712" s="1424"/>
      <c r="B712" s="1424"/>
      <c r="C712" s="1424"/>
      <c r="D712" s="1424"/>
      <c r="E712" s="1424"/>
      <c r="F712" s="1424"/>
      <c r="G712" s="1424"/>
      <c r="H712" s="1425"/>
      <c r="I712" s="1426"/>
      <c r="J712" s="1426"/>
    </row>
    <row r="713" ht="15.75" customHeight="1">
      <c r="A713" s="1424"/>
      <c r="B713" s="1424"/>
      <c r="C713" s="1424"/>
      <c r="D713" s="1424"/>
      <c r="E713" s="1424"/>
      <c r="F713" s="1424"/>
      <c r="G713" s="1424"/>
      <c r="H713" s="1425"/>
      <c r="I713" s="1426"/>
      <c r="J713" s="1426"/>
    </row>
    <row r="714" ht="15.75" customHeight="1">
      <c r="A714" s="1424"/>
      <c r="B714" s="1424"/>
      <c r="C714" s="1424"/>
      <c r="D714" s="1424"/>
      <c r="E714" s="1424"/>
      <c r="F714" s="1424"/>
      <c r="G714" s="1424"/>
      <c r="H714" s="1425"/>
      <c r="I714" s="1426"/>
      <c r="J714" s="1426"/>
    </row>
    <row r="715" ht="15.75" customHeight="1">
      <c r="A715" s="1424"/>
      <c r="B715" s="1424"/>
      <c r="C715" s="1424"/>
      <c r="D715" s="1424"/>
      <c r="E715" s="1424"/>
      <c r="F715" s="1424"/>
      <c r="G715" s="1424"/>
      <c r="H715" s="1425"/>
      <c r="I715" s="1426"/>
      <c r="J715" s="1426"/>
    </row>
    <row r="716" ht="15.75" customHeight="1">
      <c r="A716" s="1424"/>
      <c r="B716" s="1424"/>
      <c r="C716" s="1424"/>
      <c r="D716" s="1424"/>
      <c r="E716" s="1424"/>
      <c r="F716" s="1424"/>
      <c r="G716" s="1424"/>
      <c r="H716" s="1425"/>
      <c r="I716" s="1426"/>
      <c r="J716" s="1426"/>
    </row>
    <row r="717" ht="15.75" customHeight="1">
      <c r="A717" s="1424"/>
      <c r="B717" s="1424"/>
      <c r="C717" s="1424"/>
      <c r="D717" s="1424"/>
      <c r="E717" s="1424"/>
      <c r="F717" s="1424"/>
      <c r="G717" s="1424"/>
      <c r="H717" s="1425"/>
      <c r="I717" s="1426"/>
      <c r="J717" s="1426"/>
    </row>
    <row r="718" ht="15.75" customHeight="1">
      <c r="A718" s="1424"/>
      <c r="B718" s="1424"/>
      <c r="C718" s="1424"/>
      <c r="D718" s="1424"/>
      <c r="E718" s="1424"/>
      <c r="F718" s="1424"/>
      <c r="G718" s="1424"/>
      <c r="H718" s="1425"/>
      <c r="I718" s="1426"/>
      <c r="J718" s="1426"/>
    </row>
    <row r="719" ht="15.75" customHeight="1">
      <c r="A719" s="1424"/>
      <c r="B719" s="1424"/>
      <c r="C719" s="1424"/>
      <c r="D719" s="1424"/>
      <c r="E719" s="1424"/>
      <c r="F719" s="1424"/>
      <c r="G719" s="1424"/>
      <c r="H719" s="1425"/>
      <c r="I719" s="1426"/>
      <c r="J719" s="1426"/>
    </row>
    <row r="720" ht="15.75" customHeight="1">
      <c r="A720" s="1424"/>
      <c r="B720" s="1424"/>
      <c r="C720" s="1424"/>
      <c r="D720" s="1424"/>
      <c r="E720" s="1424"/>
      <c r="F720" s="1424"/>
      <c r="G720" s="1424"/>
      <c r="H720" s="1425"/>
      <c r="I720" s="1426"/>
      <c r="J720" s="1426"/>
    </row>
    <row r="721" ht="15.75" customHeight="1">
      <c r="A721" s="1424"/>
      <c r="B721" s="1424"/>
      <c r="C721" s="1424"/>
      <c r="D721" s="1424"/>
      <c r="E721" s="1424"/>
      <c r="F721" s="1424"/>
      <c r="G721" s="1424"/>
      <c r="H721" s="1425"/>
      <c r="I721" s="1426"/>
      <c r="J721" s="1426"/>
    </row>
    <row r="722" ht="15.75" customHeight="1">
      <c r="A722" s="1424"/>
      <c r="B722" s="1424"/>
      <c r="C722" s="1424"/>
      <c r="D722" s="1424"/>
      <c r="E722" s="1424"/>
      <c r="F722" s="1424"/>
      <c r="G722" s="1424"/>
      <c r="H722" s="1425"/>
      <c r="I722" s="1426"/>
      <c r="J722" s="1426"/>
    </row>
    <row r="723" ht="15.75" customHeight="1">
      <c r="A723" s="1424"/>
      <c r="B723" s="1424"/>
      <c r="C723" s="1424"/>
      <c r="D723" s="1424"/>
      <c r="E723" s="1424"/>
      <c r="F723" s="1424"/>
      <c r="G723" s="1424"/>
      <c r="H723" s="1425"/>
      <c r="I723" s="1426"/>
      <c r="J723" s="1426"/>
    </row>
    <row r="724" ht="15.75" customHeight="1">
      <c r="A724" s="1424"/>
      <c r="B724" s="1424"/>
      <c r="C724" s="1424"/>
      <c r="D724" s="1424"/>
      <c r="E724" s="1424"/>
      <c r="F724" s="1424"/>
      <c r="G724" s="1424"/>
      <c r="H724" s="1425"/>
      <c r="I724" s="1426"/>
      <c r="J724" s="1426"/>
    </row>
    <row r="725" ht="15.75" customHeight="1">
      <c r="A725" s="1424"/>
      <c r="B725" s="1424"/>
      <c r="C725" s="1424"/>
      <c r="D725" s="1424"/>
      <c r="E725" s="1424"/>
      <c r="F725" s="1424"/>
      <c r="G725" s="1424"/>
      <c r="H725" s="1425"/>
      <c r="I725" s="1426"/>
      <c r="J725" s="1426"/>
    </row>
    <row r="726" ht="15.75" customHeight="1">
      <c r="A726" s="1424"/>
      <c r="B726" s="1424"/>
      <c r="C726" s="1424"/>
      <c r="D726" s="1424"/>
      <c r="E726" s="1424"/>
      <c r="F726" s="1424"/>
      <c r="G726" s="1424"/>
      <c r="H726" s="1425"/>
      <c r="I726" s="1426"/>
      <c r="J726" s="1426"/>
    </row>
    <row r="727" ht="15.75" customHeight="1">
      <c r="A727" s="1424"/>
      <c r="B727" s="1424"/>
      <c r="C727" s="1424"/>
      <c r="D727" s="1424"/>
      <c r="E727" s="1424"/>
      <c r="F727" s="1424"/>
      <c r="G727" s="1424"/>
      <c r="H727" s="1425"/>
      <c r="I727" s="1426"/>
      <c r="J727" s="1426"/>
    </row>
    <row r="728" ht="15.75" customHeight="1">
      <c r="A728" s="1424"/>
      <c r="B728" s="1424"/>
      <c r="C728" s="1424"/>
      <c r="D728" s="1424"/>
      <c r="E728" s="1424"/>
      <c r="F728" s="1424"/>
      <c r="G728" s="1424"/>
      <c r="H728" s="1425"/>
      <c r="I728" s="1426"/>
      <c r="J728" s="1426"/>
    </row>
    <row r="729" ht="15.75" customHeight="1">
      <c r="A729" s="1424"/>
      <c r="B729" s="1424"/>
      <c r="C729" s="1424"/>
      <c r="D729" s="1424"/>
      <c r="E729" s="1424"/>
      <c r="F729" s="1424"/>
      <c r="G729" s="1424"/>
      <c r="H729" s="1425"/>
      <c r="I729" s="1426"/>
      <c r="J729" s="1426"/>
    </row>
    <row r="730" ht="15.75" customHeight="1">
      <c r="A730" s="1424"/>
      <c r="B730" s="1424"/>
      <c r="C730" s="1424"/>
      <c r="D730" s="1424"/>
      <c r="E730" s="1424"/>
      <c r="F730" s="1424"/>
      <c r="G730" s="1424"/>
      <c r="H730" s="1425"/>
      <c r="I730" s="1426"/>
      <c r="J730" s="1426"/>
    </row>
    <row r="731" ht="15.75" customHeight="1">
      <c r="A731" s="1424"/>
      <c r="B731" s="1424"/>
      <c r="C731" s="1424"/>
      <c r="D731" s="1424"/>
      <c r="E731" s="1424"/>
      <c r="F731" s="1424"/>
      <c r="G731" s="1424"/>
      <c r="H731" s="1425"/>
      <c r="I731" s="1426"/>
      <c r="J731" s="1426"/>
    </row>
    <row r="732" ht="15.75" customHeight="1">
      <c r="A732" s="1424"/>
      <c r="B732" s="1424"/>
      <c r="C732" s="1424"/>
      <c r="D732" s="1424"/>
      <c r="E732" s="1424"/>
      <c r="F732" s="1424"/>
      <c r="G732" s="1424"/>
      <c r="H732" s="1425"/>
      <c r="I732" s="1426"/>
      <c r="J732" s="1426"/>
    </row>
    <row r="733" ht="15.75" customHeight="1">
      <c r="A733" s="1424"/>
      <c r="B733" s="1424"/>
      <c r="C733" s="1424"/>
      <c r="D733" s="1424"/>
      <c r="E733" s="1424"/>
      <c r="F733" s="1424"/>
      <c r="G733" s="1424"/>
      <c r="H733" s="1425"/>
      <c r="I733" s="1426"/>
      <c r="J733" s="1426"/>
    </row>
    <row r="734" ht="15.75" customHeight="1">
      <c r="A734" s="1424"/>
      <c r="B734" s="1424"/>
      <c r="C734" s="1424"/>
      <c r="D734" s="1424"/>
      <c r="E734" s="1424"/>
      <c r="F734" s="1424"/>
      <c r="G734" s="1424"/>
      <c r="H734" s="1425"/>
      <c r="I734" s="1426"/>
      <c r="J734" s="1426"/>
    </row>
    <row r="735" ht="15.75" customHeight="1">
      <c r="A735" s="1424"/>
      <c r="B735" s="1424"/>
      <c r="C735" s="1424"/>
      <c r="D735" s="1424"/>
      <c r="E735" s="1424"/>
      <c r="F735" s="1424"/>
      <c r="G735" s="1424"/>
      <c r="H735" s="1425"/>
      <c r="I735" s="1426"/>
      <c r="J735" s="1426"/>
    </row>
    <row r="736" ht="15.75" customHeight="1">
      <c r="A736" s="1424"/>
      <c r="B736" s="1424"/>
      <c r="C736" s="1424"/>
      <c r="D736" s="1424"/>
      <c r="E736" s="1424"/>
      <c r="F736" s="1424"/>
      <c r="G736" s="1424"/>
      <c r="H736" s="1425"/>
      <c r="I736" s="1426"/>
      <c r="J736" s="1426"/>
    </row>
    <row r="737" ht="15.75" customHeight="1">
      <c r="A737" s="1424"/>
      <c r="B737" s="1424"/>
      <c r="C737" s="1424"/>
      <c r="D737" s="1424"/>
      <c r="E737" s="1424"/>
      <c r="F737" s="1424"/>
      <c r="G737" s="1424"/>
      <c r="H737" s="1425"/>
      <c r="I737" s="1426"/>
      <c r="J737" s="1426"/>
    </row>
    <row r="738" ht="15.75" customHeight="1">
      <c r="A738" s="1424"/>
      <c r="B738" s="1424"/>
      <c r="C738" s="1424"/>
      <c r="D738" s="1424"/>
      <c r="E738" s="1424"/>
      <c r="F738" s="1424"/>
      <c r="G738" s="1424"/>
      <c r="H738" s="1425"/>
      <c r="I738" s="1426"/>
      <c r="J738" s="1426"/>
    </row>
    <row r="739" ht="15.75" customHeight="1">
      <c r="A739" s="1424"/>
      <c r="B739" s="1424"/>
      <c r="C739" s="1424"/>
      <c r="D739" s="1424"/>
      <c r="E739" s="1424"/>
      <c r="F739" s="1424"/>
      <c r="G739" s="1424"/>
      <c r="H739" s="1425"/>
      <c r="I739" s="1426"/>
      <c r="J739" s="1426"/>
    </row>
    <row r="740" ht="15.75" customHeight="1">
      <c r="A740" s="1424"/>
      <c r="B740" s="1424"/>
      <c r="C740" s="1424"/>
      <c r="D740" s="1424"/>
      <c r="E740" s="1424"/>
      <c r="F740" s="1424"/>
      <c r="G740" s="1424"/>
      <c r="H740" s="1425"/>
      <c r="I740" s="1426"/>
      <c r="J740" s="1426"/>
    </row>
    <row r="741" ht="15.75" customHeight="1">
      <c r="A741" s="1424"/>
      <c r="B741" s="1424"/>
      <c r="C741" s="1424"/>
      <c r="D741" s="1424"/>
      <c r="E741" s="1424"/>
      <c r="F741" s="1424"/>
      <c r="G741" s="1424"/>
      <c r="H741" s="1425"/>
      <c r="I741" s="1426"/>
      <c r="J741" s="1426"/>
    </row>
    <row r="742" ht="15.75" customHeight="1">
      <c r="A742" s="1424"/>
      <c r="B742" s="1424"/>
      <c r="C742" s="1424"/>
      <c r="D742" s="1424"/>
      <c r="E742" s="1424"/>
      <c r="F742" s="1424"/>
      <c r="G742" s="1424"/>
      <c r="H742" s="1425"/>
      <c r="I742" s="1426"/>
      <c r="J742" s="1426"/>
    </row>
    <row r="743" ht="15.75" customHeight="1">
      <c r="A743" s="1424"/>
      <c r="B743" s="1424"/>
      <c r="C743" s="1424"/>
      <c r="D743" s="1424"/>
      <c r="E743" s="1424"/>
      <c r="F743" s="1424"/>
      <c r="G743" s="1424"/>
      <c r="H743" s="1425"/>
      <c r="I743" s="1426"/>
      <c r="J743" s="1426"/>
    </row>
    <row r="744" ht="15.75" customHeight="1">
      <c r="A744" s="1424"/>
      <c r="B744" s="1424"/>
      <c r="C744" s="1424"/>
      <c r="D744" s="1424"/>
      <c r="E744" s="1424"/>
      <c r="F744" s="1424"/>
      <c r="G744" s="1424"/>
      <c r="H744" s="1425"/>
      <c r="I744" s="1426"/>
      <c r="J744" s="1426"/>
    </row>
    <row r="745" ht="15.75" customHeight="1">
      <c r="A745" s="1424"/>
      <c r="B745" s="1424"/>
      <c r="C745" s="1424"/>
      <c r="D745" s="1424"/>
      <c r="E745" s="1424"/>
      <c r="F745" s="1424"/>
      <c r="G745" s="1424"/>
      <c r="H745" s="1425"/>
      <c r="I745" s="1426"/>
      <c r="J745" s="1426"/>
    </row>
    <row r="746" ht="15.75" customHeight="1">
      <c r="A746" s="1424"/>
      <c r="B746" s="1424"/>
      <c r="C746" s="1424"/>
      <c r="D746" s="1424"/>
      <c r="E746" s="1424"/>
      <c r="F746" s="1424"/>
      <c r="G746" s="1424"/>
      <c r="H746" s="1425"/>
      <c r="I746" s="1426"/>
      <c r="J746" s="1426"/>
    </row>
    <row r="747" ht="15.75" customHeight="1">
      <c r="A747" s="1424"/>
      <c r="B747" s="1424"/>
      <c r="C747" s="1424"/>
      <c r="D747" s="1424"/>
      <c r="E747" s="1424"/>
      <c r="F747" s="1424"/>
      <c r="G747" s="1424"/>
      <c r="H747" s="1425"/>
      <c r="I747" s="1426"/>
      <c r="J747" s="1426"/>
    </row>
    <row r="748" ht="15.75" customHeight="1">
      <c r="A748" s="1424"/>
      <c r="B748" s="1424"/>
      <c r="C748" s="1424"/>
      <c r="D748" s="1424"/>
      <c r="E748" s="1424"/>
      <c r="F748" s="1424"/>
      <c r="G748" s="1424"/>
      <c r="H748" s="1425"/>
      <c r="I748" s="1426"/>
      <c r="J748" s="1426"/>
    </row>
    <row r="749" ht="15.75" customHeight="1">
      <c r="A749" s="1424"/>
      <c r="B749" s="1424"/>
      <c r="C749" s="1424"/>
      <c r="D749" s="1424"/>
      <c r="E749" s="1424"/>
      <c r="F749" s="1424"/>
      <c r="G749" s="1424"/>
      <c r="H749" s="1425"/>
      <c r="I749" s="1426"/>
      <c r="J749" s="1426"/>
    </row>
    <row r="750" ht="15.75" customHeight="1">
      <c r="A750" s="1424"/>
      <c r="B750" s="1424"/>
      <c r="C750" s="1424"/>
      <c r="D750" s="1424"/>
      <c r="E750" s="1424"/>
      <c r="F750" s="1424"/>
      <c r="G750" s="1424"/>
      <c r="H750" s="1425"/>
      <c r="I750" s="1426"/>
      <c r="J750" s="1426"/>
    </row>
    <row r="751" ht="15.75" customHeight="1">
      <c r="A751" s="1424"/>
      <c r="B751" s="1424"/>
      <c r="C751" s="1424"/>
      <c r="D751" s="1424"/>
      <c r="E751" s="1424"/>
      <c r="F751" s="1424"/>
      <c r="G751" s="1424"/>
      <c r="H751" s="1425"/>
      <c r="I751" s="1426"/>
      <c r="J751" s="1426"/>
    </row>
    <row r="752" ht="15.75" customHeight="1">
      <c r="A752" s="1424"/>
      <c r="B752" s="1424"/>
      <c r="C752" s="1424"/>
      <c r="D752" s="1424"/>
      <c r="E752" s="1424"/>
      <c r="F752" s="1424"/>
      <c r="G752" s="1424"/>
      <c r="H752" s="1425"/>
      <c r="I752" s="1426"/>
      <c r="J752" s="1426"/>
    </row>
    <row r="753" ht="15.75" customHeight="1">
      <c r="A753" s="1424"/>
      <c r="B753" s="1424"/>
      <c r="C753" s="1424"/>
      <c r="D753" s="1424"/>
      <c r="E753" s="1424"/>
      <c r="F753" s="1424"/>
      <c r="G753" s="1424"/>
      <c r="H753" s="1425"/>
      <c r="I753" s="1426"/>
      <c r="J753" s="1426"/>
    </row>
    <row r="754" ht="15.75" customHeight="1">
      <c r="A754" s="1424"/>
      <c r="B754" s="1424"/>
      <c r="C754" s="1424"/>
      <c r="D754" s="1424"/>
      <c r="E754" s="1424"/>
      <c r="F754" s="1424"/>
      <c r="G754" s="1424"/>
      <c r="H754" s="1425"/>
      <c r="I754" s="1426"/>
      <c r="J754" s="1426"/>
    </row>
    <row r="755" ht="15.75" customHeight="1">
      <c r="A755" s="1424"/>
      <c r="B755" s="1424"/>
      <c r="C755" s="1424"/>
      <c r="D755" s="1424"/>
      <c r="E755" s="1424"/>
      <c r="F755" s="1424"/>
      <c r="G755" s="1424"/>
      <c r="H755" s="1425"/>
      <c r="I755" s="1426"/>
      <c r="J755" s="1426"/>
    </row>
    <row r="756" ht="15.75" customHeight="1">
      <c r="A756" s="1424"/>
      <c r="B756" s="1424"/>
      <c r="C756" s="1424"/>
      <c r="D756" s="1424"/>
      <c r="E756" s="1424"/>
      <c r="F756" s="1424"/>
      <c r="G756" s="1424"/>
      <c r="H756" s="1425"/>
      <c r="I756" s="1426"/>
      <c r="J756" s="1426"/>
    </row>
    <row r="757" ht="15.75" customHeight="1">
      <c r="A757" s="1424"/>
      <c r="B757" s="1424"/>
      <c r="C757" s="1424"/>
      <c r="D757" s="1424"/>
      <c r="E757" s="1424"/>
      <c r="F757" s="1424"/>
      <c r="G757" s="1424"/>
      <c r="H757" s="1425"/>
      <c r="I757" s="1426"/>
      <c r="J757" s="1426"/>
    </row>
    <row r="758" ht="15.75" customHeight="1">
      <c r="A758" s="1424"/>
      <c r="B758" s="1424"/>
      <c r="C758" s="1424"/>
      <c r="D758" s="1424"/>
      <c r="E758" s="1424"/>
      <c r="F758" s="1424"/>
      <c r="G758" s="1424"/>
      <c r="H758" s="1425"/>
      <c r="I758" s="1426"/>
      <c r="J758" s="1426"/>
    </row>
    <row r="759" ht="15.75" customHeight="1">
      <c r="A759" s="1424"/>
      <c r="B759" s="1424"/>
      <c r="C759" s="1424"/>
      <c r="D759" s="1424"/>
      <c r="E759" s="1424"/>
      <c r="F759" s="1424"/>
      <c r="G759" s="1424"/>
      <c r="H759" s="1425"/>
      <c r="I759" s="1426"/>
      <c r="J759" s="1426"/>
    </row>
    <row r="760" ht="15.75" customHeight="1">
      <c r="A760" s="1424"/>
      <c r="B760" s="1424"/>
      <c r="C760" s="1424"/>
      <c r="D760" s="1424"/>
      <c r="E760" s="1424"/>
      <c r="F760" s="1424"/>
      <c r="G760" s="1424"/>
      <c r="H760" s="1425"/>
      <c r="I760" s="1426"/>
      <c r="J760" s="1426"/>
    </row>
    <row r="761" ht="15.75" customHeight="1">
      <c r="A761" s="1424"/>
      <c r="B761" s="1424"/>
      <c r="C761" s="1424"/>
      <c r="D761" s="1424"/>
      <c r="E761" s="1424"/>
      <c r="F761" s="1424"/>
      <c r="G761" s="1424"/>
      <c r="H761" s="1425"/>
      <c r="I761" s="1426"/>
      <c r="J761" s="1426"/>
    </row>
    <row r="762" ht="15.75" customHeight="1">
      <c r="A762" s="1424"/>
      <c r="B762" s="1424"/>
      <c r="C762" s="1424"/>
      <c r="D762" s="1424"/>
      <c r="E762" s="1424"/>
      <c r="F762" s="1424"/>
      <c r="G762" s="1424"/>
      <c r="H762" s="1425"/>
      <c r="I762" s="1426"/>
      <c r="J762" s="1426"/>
    </row>
    <row r="763" ht="15.75" customHeight="1">
      <c r="A763" s="1424"/>
      <c r="B763" s="1424"/>
      <c r="C763" s="1424"/>
      <c r="D763" s="1424"/>
      <c r="E763" s="1424"/>
      <c r="F763" s="1424"/>
      <c r="G763" s="1424"/>
      <c r="H763" s="1425"/>
      <c r="I763" s="1426"/>
      <c r="J763" s="1426"/>
    </row>
    <row r="764" ht="15.75" customHeight="1">
      <c r="A764" s="1424"/>
      <c r="B764" s="1424"/>
      <c r="C764" s="1424"/>
      <c r="D764" s="1424"/>
      <c r="E764" s="1424"/>
      <c r="F764" s="1424"/>
      <c r="G764" s="1424"/>
      <c r="H764" s="1425"/>
      <c r="I764" s="1426"/>
      <c r="J764" s="1426"/>
    </row>
    <row r="765" ht="15.75" customHeight="1">
      <c r="A765" s="1424"/>
      <c r="B765" s="1424"/>
      <c r="C765" s="1424"/>
      <c r="D765" s="1424"/>
      <c r="E765" s="1424"/>
      <c r="F765" s="1424"/>
      <c r="G765" s="1424"/>
      <c r="H765" s="1425"/>
      <c r="I765" s="1426"/>
      <c r="J765" s="1426"/>
    </row>
    <row r="766" ht="15.75" customHeight="1">
      <c r="A766" s="1424"/>
      <c r="B766" s="1424"/>
      <c r="C766" s="1424"/>
      <c r="D766" s="1424"/>
      <c r="E766" s="1424"/>
      <c r="F766" s="1424"/>
      <c r="G766" s="1424"/>
      <c r="H766" s="1425"/>
      <c r="I766" s="1426"/>
      <c r="J766" s="1426"/>
    </row>
    <row r="767" ht="15.75" customHeight="1">
      <c r="A767" s="1424"/>
      <c r="B767" s="1424"/>
      <c r="C767" s="1424"/>
      <c r="D767" s="1424"/>
      <c r="E767" s="1424"/>
      <c r="F767" s="1424"/>
      <c r="G767" s="1424"/>
      <c r="H767" s="1425"/>
      <c r="I767" s="1426"/>
      <c r="J767" s="1426"/>
    </row>
    <row r="768" ht="15.75" customHeight="1">
      <c r="A768" s="1424"/>
      <c r="B768" s="1424"/>
      <c r="C768" s="1424"/>
      <c r="D768" s="1424"/>
      <c r="E768" s="1424"/>
      <c r="F768" s="1424"/>
      <c r="G768" s="1424"/>
      <c r="H768" s="1425"/>
      <c r="I768" s="1426"/>
      <c r="J768" s="1426"/>
    </row>
    <row r="769" ht="15.75" customHeight="1">
      <c r="A769" s="1424"/>
      <c r="B769" s="1424"/>
      <c r="C769" s="1424"/>
      <c r="D769" s="1424"/>
      <c r="E769" s="1424"/>
      <c r="F769" s="1424"/>
      <c r="G769" s="1424"/>
      <c r="H769" s="1425"/>
      <c r="I769" s="1426"/>
      <c r="J769" s="1426"/>
    </row>
    <row r="770" ht="15.75" customHeight="1">
      <c r="A770" s="1424"/>
      <c r="B770" s="1424"/>
      <c r="C770" s="1424"/>
      <c r="D770" s="1424"/>
      <c r="E770" s="1424"/>
      <c r="F770" s="1424"/>
      <c r="G770" s="1424"/>
      <c r="H770" s="1425"/>
      <c r="I770" s="1426"/>
      <c r="J770" s="1426"/>
    </row>
    <row r="771" ht="15.75" customHeight="1">
      <c r="A771" s="1424"/>
      <c r="B771" s="1424"/>
      <c r="C771" s="1424"/>
      <c r="D771" s="1424"/>
      <c r="E771" s="1424"/>
      <c r="F771" s="1424"/>
      <c r="G771" s="1424"/>
      <c r="H771" s="1425"/>
      <c r="I771" s="1426"/>
      <c r="J771" s="1426"/>
    </row>
    <row r="772" ht="15.75" customHeight="1">
      <c r="A772" s="1424"/>
      <c r="B772" s="1424"/>
      <c r="C772" s="1424"/>
      <c r="D772" s="1424"/>
      <c r="E772" s="1424"/>
      <c r="F772" s="1424"/>
      <c r="G772" s="1424"/>
      <c r="H772" s="1425"/>
      <c r="I772" s="1426"/>
      <c r="J772" s="1426"/>
    </row>
    <row r="773" ht="15.75" customHeight="1">
      <c r="A773" s="1424"/>
      <c r="B773" s="1424"/>
      <c r="C773" s="1424"/>
      <c r="D773" s="1424"/>
      <c r="E773" s="1424"/>
      <c r="F773" s="1424"/>
      <c r="G773" s="1424"/>
      <c r="H773" s="1425"/>
      <c r="I773" s="1426"/>
      <c r="J773" s="1426"/>
    </row>
    <row r="774" ht="15.75" customHeight="1">
      <c r="A774" s="1424"/>
      <c r="B774" s="1424"/>
      <c r="C774" s="1424"/>
      <c r="D774" s="1424"/>
      <c r="E774" s="1424"/>
      <c r="F774" s="1424"/>
      <c r="G774" s="1424"/>
      <c r="H774" s="1425"/>
      <c r="I774" s="1426"/>
      <c r="J774" s="1426"/>
    </row>
    <row r="775" ht="15.75" customHeight="1">
      <c r="A775" s="1424"/>
      <c r="B775" s="1424"/>
      <c r="C775" s="1424"/>
      <c r="D775" s="1424"/>
      <c r="E775" s="1424"/>
      <c r="F775" s="1424"/>
      <c r="G775" s="1424"/>
      <c r="H775" s="1425"/>
      <c r="I775" s="1426"/>
      <c r="J775" s="1426"/>
    </row>
    <row r="776" ht="15.75" customHeight="1">
      <c r="A776" s="1424"/>
      <c r="B776" s="1424"/>
      <c r="C776" s="1424"/>
      <c r="D776" s="1424"/>
      <c r="E776" s="1424"/>
      <c r="F776" s="1424"/>
      <c r="G776" s="1424"/>
      <c r="H776" s="1425"/>
      <c r="I776" s="1426"/>
      <c r="J776" s="1426"/>
    </row>
    <row r="777" ht="15.75" customHeight="1">
      <c r="A777" s="1424"/>
      <c r="B777" s="1424"/>
      <c r="C777" s="1424"/>
      <c r="D777" s="1424"/>
      <c r="E777" s="1424"/>
      <c r="F777" s="1424"/>
      <c r="G777" s="1424"/>
      <c r="H777" s="1425"/>
      <c r="I777" s="1426"/>
      <c r="J777" s="1426"/>
    </row>
    <row r="778" ht="15.75" customHeight="1">
      <c r="A778" s="1424"/>
      <c r="B778" s="1424"/>
      <c r="C778" s="1424"/>
      <c r="D778" s="1424"/>
      <c r="E778" s="1424"/>
      <c r="F778" s="1424"/>
      <c r="G778" s="1424"/>
      <c r="H778" s="1425"/>
      <c r="I778" s="1426"/>
      <c r="J778" s="1426"/>
    </row>
    <row r="779" ht="15.75" customHeight="1">
      <c r="A779" s="1424"/>
      <c r="B779" s="1424"/>
      <c r="C779" s="1424"/>
      <c r="D779" s="1424"/>
      <c r="E779" s="1424"/>
      <c r="F779" s="1424"/>
      <c r="G779" s="1424"/>
      <c r="H779" s="1425"/>
      <c r="I779" s="1426"/>
      <c r="J779" s="1426"/>
    </row>
    <row r="780" ht="15.75" customHeight="1">
      <c r="A780" s="1424"/>
      <c r="B780" s="1424"/>
      <c r="C780" s="1424"/>
      <c r="D780" s="1424"/>
      <c r="E780" s="1424"/>
      <c r="F780" s="1424"/>
      <c r="G780" s="1424"/>
      <c r="H780" s="1425"/>
      <c r="I780" s="1426"/>
      <c r="J780" s="1426"/>
    </row>
    <row r="781" ht="15.75" customHeight="1">
      <c r="A781" s="1424"/>
      <c r="B781" s="1424"/>
      <c r="C781" s="1424"/>
      <c r="D781" s="1424"/>
      <c r="E781" s="1424"/>
      <c r="F781" s="1424"/>
      <c r="G781" s="1424"/>
      <c r="H781" s="1425"/>
      <c r="I781" s="1426"/>
      <c r="J781" s="1426"/>
    </row>
    <row r="782" ht="15.75" customHeight="1">
      <c r="A782" s="1424"/>
      <c r="B782" s="1424"/>
      <c r="C782" s="1424"/>
      <c r="D782" s="1424"/>
      <c r="E782" s="1424"/>
      <c r="F782" s="1424"/>
      <c r="G782" s="1424"/>
      <c r="H782" s="1425"/>
      <c r="I782" s="1426"/>
      <c r="J782" s="1426"/>
    </row>
    <row r="783" ht="15.75" customHeight="1">
      <c r="A783" s="1424"/>
      <c r="B783" s="1424"/>
      <c r="C783" s="1424"/>
      <c r="D783" s="1424"/>
      <c r="E783" s="1424"/>
      <c r="F783" s="1424"/>
      <c r="G783" s="1424"/>
      <c r="H783" s="1425"/>
      <c r="I783" s="1426"/>
      <c r="J783" s="1426"/>
    </row>
    <row r="784" ht="15.75" customHeight="1">
      <c r="A784" s="1424"/>
      <c r="B784" s="1424"/>
      <c r="C784" s="1424"/>
      <c r="D784" s="1424"/>
      <c r="E784" s="1424"/>
      <c r="F784" s="1424"/>
      <c r="G784" s="1424"/>
      <c r="H784" s="1425"/>
      <c r="I784" s="1426"/>
      <c r="J784" s="1426"/>
    </row>
    <row r="785" ht="15.75" customHeight="1">
      <c r="A785" s="1424"/>
      <c r="B785" s="1424"/>
      <c r="C785" s="1424"/>
      <c r="D785" s="1424"/>
      <c r="E785" s="1424"/>
      <c r="F785" s="1424"/>
      <c r="G785" s="1424"/>
      <c r="H785" s="1425"/>
      <c r="I785" s="1426"/>
      <c r="J785" s="1426"/>
    </row>
    <row r="786" ht="15.75" customHeight="1">
      <c r="A786" s="1424"/>
      <c r="B786" s="1424"/>
      <c r="C786" s="1424"/>
      <c r="D786" s="1424"/>
      <c r="E786" s="1424"/>
      <c r="F786" s="1424"/>
      <c r="G786" s="1424"/>
      <c r="H786" s="1425"/>
      <c r="I786" s="1426"/>
      <c r="J786" s="1426"/>
    </row>
    <row r="787" ht="15.75" customHeight="1">
      <c r="A787" s="1424"/>
      <c r="B787" s="1424"/>
      <c r="C787" s="1424"/>
      <c r="D787" s="1424"/>
      <c r="E787" s="1424"/>
      <c r="F787" s="1424"/>
      <c r="G787" s="1424"/>
      <c r="H787" s="1425"/>
      <c r="I787" s="1426"/>
      <c r="J787" s="1426"/>
    </row>
    <row r="788" ht="15.75" customHeight="1">
      <c r="A788" s="1424"/>
      <c r="B788" s="1424"/>
      <c r="C788" s="1424"/>
      <c r="D788" s="1424"/>
      <c r="E788" s="1424"/>
      <c r="F788" s="1424"/>
      <c r="G788" s="1424"/>
      <c r="H788" s="1425"/>
      <c r="I788" s="1426"/>
      <c r="J788" s="1426"/>
    </row>
    <row r="789" ht="15.75" customHeight="1">
      <c r="A789" s="1424"/>
      <c r="B789" s="1424"/>
      <c r="C789" s="1424"/>
      <c r="D789" s="1424"/>
      <c r="E789" s="1424"/>
      <c r="F789" s="1424"/>
      <c r="G789" s="1424"/>
      <c r="H789" s="1425"/>
      <c r="I789" s="1426"/>
      <c r="J789" s="1426"/>
    </row>
    <row r="790" ht="15.75" customHeight="1">
      <c r="A790" s="1424"/>
      <c r="B790" s="1424"/>
      <c r="C790" s="1424"/>
      <c r="D790" s="1424"/>
      <c r="E790" s="1424"/>
      <c r="F790" s="1424"/>
      <c r="G790" s="1424"/>
      <c r="H790" s="1425"/>
      <c r="I790" s="1426"/>
      <c r="J790" s="1426"/>
    </row>
    <row r="791" ht="15.75" customHeight="1">
      <c r="A791" s="1424"/>
      <c r="B791" s="1424"/>
      <c r="C791" s="1424"/>
      <c r="D791" s="1424"/>
      <c r="E791" s="1424"/>
      <c r="F791" s="1424"/>
      <c r="G791" s="1424"/>
      <c r="H791" s="1425"/>
      <c r="I791" s="1426"/>
      <c r="J791" s="1426"/>
    </row>
    <row r="792" ht="15.75" customHeight="1">
      <c r="A792" s="1424"/>
      <c r="B792" s="1424"/>
      <c r="C792" s="1424"/>
      <c r="D792" s="1424"/>
      <c r="E792" s="1424"/>
      <c r="F792" s="1424"/>
      <c r="G792" s="1424"/>
      <c r="H792" s="1425"/>
      <c r="I792" s="1426"/>
      <c r="J792" s="1426"/>
    </row>
    <row r="793" ht="15.75" customHeight="1">
      <c r="A793" s="1424"/>
      <c r="B793" s="1424"/>
      <c r="C793" s="1424"/>
      <c r="D793" s="1424"/>
      <c r="E793" s="1424"/>
      <c r="F793" s="1424"/>
      <c r="G793" s="1424"/>
      <c r="H793" s="1425"/>
      <c r="I793" s="1426"/>
      <c r="J793" s="1426"/>
    </row>
    <row r="794" ht="15.75" customHeight="1">
      <c r="A794" s="1424"/>
      <c r="B794" s="1424"/>
      <c r="C794" s="1424"/>
      <c r="D794" s="1424"/>
      <c r="E794" s="1424"/>
      <c r="F794" s="1424"/>
      <c r="G794" s="1424"/>
      <c r="H794" s="1425"/>
      <c r="I794" s="1426"/>
      <c r="J794" s="1426"/>
    </row>
    <row r="795" ht="15.75" customHeight="1">
      <c r="A795" s="1424"/>
      <c r="B795" s="1424"/>
      <c r="C795" s="1424"/>
      <c r="D795" s="1424"/>
      <c r="E795" s="1424"/>
      <c r="F795" s="1424"/>
      <c r="G795" s="1424"/>
      <c r="H795" s="1425"/>
      <c r="I795" s="1426"/>
      <c r="J795" s="1426"/>
    </row>
    <row r="796" ht="15.75" customHeight="1">
      <c r="A796" s="1424"/>
      <c r="B796" s="1424"/>
      <c r="C796" s="1424"/>
      <c r="D796" s="1424"/>
      <c r="E796" s="1424"/>
      <c r="F796" s="1424"/>
      <c r="G796" s="1424"/>
      <c r="H796" s="1425"/>
      <c r="I796" s="1426"/>
      <c r="J796" s="1426"/>
    </row>
    <row r="797" ht="15.75" customHeight="1">
      <c r="A797" s="1424"/>
      <c r="B797" s="1424"/>
      <c r="C797" s="1424"/>
      <c r="D797" s="1424"/>
      <c r="E797" s="1424"/>
      <c r="F797" s="1424"/>
      <c r="G797" s="1424"/>
      <c r="H797" s="1425"/>
      <c r="I797" s="1426"/>
      <c r="J797" s="1426"/>
    </row>
    <row r="798" ht="15.75" customHeight="1">
      <c r="A798" s="1424"/>
      <c r="B798" s="1424"/>
      <c r="C798" s="1424"/>
      <c r="D798" s="1424"/>
      <c r="E798" s="1424"/>
      <c r="F798" s="1424"/>
      <c r="G798" s="1424"/>
      <c r="H798" s="1425"/>
      <c r="I798" s="1426"/>
      <c r="J798" s="1426"/>
    </row>
    <row r="799" ht="15.75" customHeight="1">
      <c r="A799" s="1424"/>
      <c r="B799" s="1424"/>
      <c r="C799" s="1424"/>
      <c r="D799" s="1424"/>
      <c r="E799" s="1424"/>
      <c r="F799" s="1424"/>
      <c r="G799" s="1424"/>
      <c r="H799" s="1425"/>
      <c r="I799" s="1426"/>
      <c r="J799" s="1426"/>
    </row>
    <row r="800" ht="15.75" customHeight="1">
      <c r="A800" s="1424"/>
      <c r="B800" s="1424"/>
      <c r="C800" s="1424"/>
      <c r="D800" s="1424"/>
      <c r="E800" s="1424"/>
      <c r="F800" s="1424"/>
      <c r="G800" s="1424"/>
      <c r="H800" s="1425"/>
      <c r="I800" s="1426"/>
      <c r="J800" s="1426"/>
    </row>
    <row r="801" ht="15.75" customHeight="1">
      <c r="A801" s="1424"/>
      <c r="B801" s="1424"/>
      <c r="C801" s="1424"/>
      <c r="D801" s="1424"/>
      <c r="E801" s="1424"/>
      <c r="F801" s="1424"/>
      <c r="G801" s="1424"/>
      <c r="H801" s="1425"/>
      <c r="I801" s="1426"/>
      <c r="J801" s="1426"/>
    </row>
    <row r="802" ht="15.75" customHeight="1">
      <c r="A802" s="1424"/>
      <c r="B802" s="1424"/>
      <c r="C802" s="1424"/>
      <c r="D802" s="1424"/>
      <c r="E802" s="1424"/>
      <c r="F802" s="1424"/>
      <c r="G802" s="1424"/>
      <c r="H802" s="1425"/>
      <c r="I802" s="1426"/>
      <c r="J802" s="1426"/>
    </row>
    <row r="803" ht="15.75" customHeight="1">
      <c r="A803" s="1424"/>
      <c r="B803" s="1424"/>
      <c r="C803" s="1424"/>
      <c r="D803" s="1424"/>
      <c r="E803" s="1424"/>
      <c r="F803" s="1424"/>
      <c r="G803" s="1424"/>
      <c r="H803" s="1425"/>
      <c r="I803" s="1426"/>
      <c r="J803" s="1426"/>
    </row>
    <row r="804" ht="15.75" customHeight="1">
      <c r="A804" s="1424"/>
      <c r="B804" s="1424"/>
      <c r="C804" s="1424"/>
      <c r="D804" s="1424"/>
      <c r="E804" s="1424"/>
      <c r="F804" s="1424"/>
      <c r="G804" s="1424"/>
      <c r="H804" s="1425"/>
      <c r="I804" s="1426"/>
      <c r="J804" s="1426"/>
    </row>
    <row r="805" ht="15.75" customHeight="1">
      <c r="A805" s="1424"/>
      <c r="B805" s="1424"/>
      <c r="C805" s="1424"/>
      <c r="D805" s="1424"/>
      <c r="E805" s="1424"/>
      <c r="F805" s="1424"/>
      <c r="G805" s="1424"/>
      <c r="H805" s="1425"/>
      <c r="I805" s="1426"/>
      <c r="J805" s="1426"/>
    </row>
    <row r="806" ht="15.75" customHeight="1">
      <c r="A806" s="1424"/>
      <c r="B806" s="1424"/>
      <c r="C806" s="1424"/>
      <c r="D806" s="1424"/>
      <c r="E806" s="1424"/>
      <c r="F806" s="1424"/>
      <c r="G806" s="1424"/>
      <c r="H806" s="1425"/>
      <c r="I806" s="1426"/>
      <c r="J806" s="1426"/>
    </row>
    <row r="807" ht="15.75" customHeight="1">
      <c r="A807" s="1424"/>
      <c r="B807" s="1424"/>
      <c r="C807" s="1424"/>
      <c r="D807" s="1424"/>
      <c r="E807" s="1424"/>
      <c r="F807" s="1424"/>
      <c r="G807" s="1424"/>
      <c r="H807" s="1425"/>
      <c r="I807" s="1426"/>
      <c r="J807" s="1426"/>
    </row>
    <row r="808" ht="15.75" customHeight="1">
      <c r="A808" s="1424"/>
      <c r="B808" s="1424"/>
      <c r="C808" s="1424"/>
      <c r="D808" s="1424"/>
      <c r="E808" s="1424"/>
      <c r="F808" s="1424"/>
      <c r="G808" s="1424"/>
      <c r="H808" s="1425"/>
      <c r="I808" s="1426"/>
      <c r="J808" s="1426"/>
    </row>
    <row r="809" ht="15.75" customHeight="1">
      <c r="A809" s="1424"/>
      <c r="B809" s="1424"/>
      <c r="C809" s="1424"/>
      <c r="D809" s="1424"/>
      <c r="E809" s="1424"/>
      <c r="F809" s="1424"/>
      <c r="G809" s="1424"/>
      <c r="H809" s="1425"/>
      <c r="I809" s="1426"/>
      <c r="J809" s="1426"/>
    </row>
    <row r="810" ht="15.75" customHeight="1">
      <c r="A810" s="1424"/>
      <c r="B810" s="1424"/>
      <c r="C810" s="1424"/>
      <c r="D810" s="1424"/>
      <c r="E810" s="1424"/>
      <c r="F810" s="1424"/>
      <c r="G810" s="1424"/>
      <c r="H810" s="1425"/>
      <c r="I810" s="1426"/>
      <c r="J810" s="1426"/>
    </row>
    <row r="811" ht="15.75" customHeight="1">
      <c r="A811" s="1424"/>
      <c r="B811" s="1424"/>
      <c r="C811" s="1424"/>
      <c r="D811" s="1424"/>
      <c r="E811" s="1424"/>
      <c r="F811" s="1424"/>
      <c r="G811" s="1424"/>
      <c r="H811" s="1425"/>
      <c r="I811" s="1426"/>
      <c r="J811" s="1426"/>
    </row>
    <row r="812" ht="15.75" customHeight="1">
      <c r="A812" s="1424"/>
      <c r="B812" s="1424"/>
      <c r="C812" s="1424"/>
      <c r="D812" s="1424"/>
      <c r="E812" s="1424"/>
      <c r="F812" s="1424"/>
      <c r="G812" s="1424"/>
      <c r="H812" s="1425"/>
      <c r="I812" s="1426"/>
      <c r="J812" s="1426"/>
    </row>
    <row r="813" ht="15.75" customHeight="1">
      <c r="A813" s="1424"/>
      <c r="B813" s="1424"/>
      <c r="C813" s="1424"/>
      <c r="D813" s="1424"/>
      <c r="E813" s="1424"/>
      <c r="F813" s="1424"/>
      <c r="G813" s="1424"/>
      <c r="H813" s="1425"/>
      <c r="I813" s="1426"/>
      <c r="J813" s="1426"/>
    </row>
    <row r="814" ht="15.75" customHeight="1">
      <c r="A814" s="1424"/>
      <c r="B814" s="1424"/>
      <c r="C814" s="1424"/>
      <c r="D814" s="1424"/>
      <c r="E814" s="1424"/>
      <c r="F814" s="1424"/>
      <c r="G814" s="1424"/>
      <c r="H814" s="1425"/>
      <c r="I814" s="1426"/>
      <c r="J814" s="1426"/>
    </row>
    <row r="815" ht="15.75" customHeight="1">
      <c r="A815" s="1424"/>
      <c r="B815" s="1424"/>
      <c r="C815" s="1424"/>
      <c r="D815" s="1424"/>
      <c r="E815" s="1424"/>
      <c r="F815" s="1424"/>
      <c r="G815" s="1424"/>
      <c r="H815" s="1425"/>
      <c r="I815" s="1426"/>
      <c r="J815" s="1426"/>
    </row>
    <row r="816" ht="15.75" customHeight="1">
      <c r="A816" s="1424"/>
      <c r="B816" s="1424"/>
      <c r="C816" s="1424"/>
      <c r="D816" s="1424"/>
      <c r="E816" s="1424"/>
      <c r="F816" s="1424"/>
      <c r="G816" s="1424"/>
      <c r="H816" s="1425"/>
      <c r="I816" s="1426"/>
      <c r="J816" s="1426"/>
    </row>
    <row r="817" ht="15.75" customHeight="1">
      <c r="A817" s="1424"/>
      <c r="B817" s="1424"/>
      <c r="C817" s="1424"/>
      <c r="D817" s="1424"/>
      <c r="E817" s="1424"/>
      <c r="F817" s="1424"/>
      <c r="G817" s="1424"/>
      <c r="H817" s="1425"/>
      <c r="I817" s="1426"/>
      <c r="J817" s="1426"/>
    </row>
    <row r="818" ht="15.75" customHeight="1">
      <c r="A818" s="1424"/>
      <c r="B818" s="1424"/>
      <c r="C818" s="1424"/>
      <c r="D818" s="1424"/>
      <c r="E818" s="1424"/>
      <c r="F818" s="1424"/>
      <c r="G818" s="1424"/>
      <c r="H818" s="1425"/>
      <c r="I818" s="1426"/>
      <c r="J818" s="1426"/>
    </row>
    <row r="819" ht="15.75" customHeight="1">
      <c r="A819" s="1424"/>
      <c r="B819" s="1424"/>
      <c r="C819" s="1424"/>
      <c r="D819" s="1424"/>
      <c r="E819" s="1424"/>
      <c r="F819" s="1424"/>
      <c r="G819" s="1424"/>
      <c r="H819" s="1425"/>
      <c r="I819" s="1426"/>
      <c r="J819" s="1426"/>
    </row>
    <row r="820" ht="15.75" customHeight="1">
      <c r="A820" s="1424"/>
      <c r="B820" s="1424"/>
      <c r="C820" s="1424"/>
      <c r="D820" s="1424"/>
      <c r="E820" s="1424"/>
      <c r="F820" s="1424"/>
      <c r="G820" s="1424"/>
      <c r="H820" s="1425"/>
      <c r="I820" s="1426"/>
      <c r="J820" s="1426"/>
    </row>
    <row r="821" ht="15.75" customHeight="1">
      <c r="A821" s="1424"/>
      <c r="B821" s="1424"/>
      <c r="C821" s="1424"/>
      <c r="D821" s="1424"/>
      <c r="E821" s="1424"/>
      <c r="F821" s="1424"/>
      <c r="G821" s="1424"/>
      <c r="H821" s="1425"/>
      <c r="I821" s="1426"/>
      <c r="J821" s="1426"/>
    </row>
    <row r="822" ht="15.75" customHeight="1">
      <c r="A822" s="1424"/>
      <c r="B822" s="1424"/>
      <c r="C822" s="1424"/>
      <c r="D822" s="1424"/>
      <c r="E822" s="1424"/>
      <c r="F822" s="1424"/>
      <c r="G822" s="1424"/>
      <c r="H822" s="1425"/>
      <c r="I822" s="1426"/>
      <c r="J822" s="1426"/>
    </row>
    <row r="823" ht="15.75" customHeight="1">
      <c r="A823" s="1424"/>
      <c r="B823" s="1424"/>
      <c r="C823" s="1424"/>
      <c r="D823" s="1424"/>
      <c r="E823" s="1424"/>
      <c r="F823" s="1424"/>
      <c r="G823" s="1424"/>
      <c r="H823" s="1425"/>
      <c r="I823" s="1426"/>
      <c r="J823" s="1426"/>
    </row>
    <row r="824" ht="15.75" customHeight="1">
      <c r="A824" s="1424"/>
      <c r="B824" s="1424"/>
      <c r="C824" s="1424"/>
      <c r="D824" s="1424"/>
      <c r="E824" s="1424"/>
      <c r="F824" s="1424"/>
      <c r="G824" s="1424"/>
      <c r="H824" s="1425"/>
      <c r="I824" s="1426"/>
      <c r="J824" s="1426"/>
    </row>
    <row r="825" ht="15.75" customHeight="1">
      <c r="A825" s="1424"/>
      <c r="B825" s="1424"/>
      <c r="C825" s="1424"/>
      <c r="D825" s="1424"/>
      <c r="E825" s="1424"/>
      <c r="F825" s="1424"/>
      <c r="G825" s="1424"/>
      <c r="H825" s="1425"/>
      <c r="I825" s="1426"/>
      <c r="J825" s="1426"/>
    </row>
    <row r="826" ht="15.75" customHeight="1">
      <c r="A826" s="1424"/>
      <c r="B826" s="1424"/>
      <c r="C826" s="1424"/>
      <c r="D826" s="1424"/>
      <c r="E826" s="1424"/>
      <c r="F826" s="1424"/>
      <c r="G826" s="1424"/>
      <c r="H826" s="1425"/>
      <c r="I826" s="1426"/>
      <c r="J826" s="1426"/>
    </row>
    <row r="827" ht="15.75" customHeight="1">
      <c r="A827" s="1424"/>
      <c r="B827" s="1424"/>
      <c r="C827" s="1424"/>
      <c r="D827" s="1424"/>
      <c r="E827" s="1424"/>
      <c r="F827" s="1424"/>
      <c r="G827" s="1424"/>
      <c r="H827" s="1425"/>
      <c r="I827" s="1426"/>
      <c r="J827" s="1426"/>
    </row>
    <row r="828" ht="15.75" customHeight="1">
      <c r="A828" s="1424"/>
      <c r="B828" s="1424"/>
      <c r="C828" s="1424"/>
      <c r="D828" s="1424"/>
      <c r="E828" s="1424"/>
      <c r="F828" s="1424"/>
      <c r="G828" s="1424"/>
      <c r="H828" s="1425"/>
      <c r="I828" s="1426"/>
      <c r="J828" s="1426"/>
    </row>
    <row r="829" ht="15.75" customHeight="1">
      <c r="A829" s="1424"/>
      <c r="B829" s="1424"/>
      <c r="C829" s="1424"/>
      <c r="D829" s="1424"/>
      <c r="E829" s="1424"/>
      <c r="F829" s="1424"/>
      <c r="G829" s="1424"/>
      <c r="H829" s="1425"/>
      <c r="I829" s="1426"/>
      <c r="J829" s="1426"/>
    </row>
    <row r="830" ht="15.75" customHeight="1">
      <c r="A830" s="1424"/>
      <c r="B830" s="1424"/>
      <c r="C830" s="1424"/>
      <c r="D830" s="1424"/>
      <c r="E830" s="1424"/>
      <c r="F830" s="1424"/>
      <c r="G830" s="1424"/>
      <c r="H830" s="1425"/>
      <c r="I830" s="1426"/>
      <c r="J830" s="1426"/>
    </row>
    <row r="831" ht="15.75" customHeight="1">
      <c r="A831" s="1424"/>
      <c r="B831" s="1424"/>
      <c r="C831" s="1424"/>
      <c r="D831" s="1424"/>
      <c r="E831" s="1424"/>
      <c r="F831" s="1424"/>
      <c r="G831" s="1424"/>
      <c r="H831" s="1425"/>
      <c r="I831" s="1426"/>
      <c r="J831" s="1426"/>
    </row>
    <row r="832" ht="15.75" customHeight="1">
      <c r="A832" s="1424"/>
      <c r="B832" s="1424"/>
      <c r="C832" s="1424"/>
      <c r="D832" s="1424"/>
      <c r="E832" s="1424"/>
      <c r="F832" s="1424"/>
      <c r="G832" s="1424"/>
      <c r="H832" s="1425"/>
      <c r="I832" s="1426"/>
      <c r="J832" s="1426"/>
    </row>
    <row r="833" ht="15.75" customHeight="1">
      <c r="A833" s="1424"/>
      <c r="B833" s="1424"/>
      <c r="C833" s="1424"/>
      <c r="D833" s="1424"/>
      <c r="E833" s="1424"/>
      <c r="F833" s="1424"/>
      <c r="G833" s="1424"/>
      <c r="H833" s="1425"/>
      <c r="I833" s="1426"/>
      <c r="J833" s="1426"/>
    </row>
    <row r="834" ht="15.75" customHeight="1">
      <c r="A834" s="1424"/>
      <c r="B834" s="1424"/>
      <c r="C834" s="1424"/>
      <c r="D834" s="1424"/>
      <c r="E834" s="1424"/>
      <c r="F834" s="1424"/>
      <c r="G834" s="1424"/>
      <c r="H834" s="1425"/>
      <c r="I834" s="1426"/>
      <c r="J834" s="1426"/>
    </row>
    <row r="835" ht="15.75" customHeight="1">
      <c r="A835" s="1424"/>
      <c r="B835" s="1424"/>
      <c r="C835" s="1424"/>
      <c r="D835" s="1424"/>
      <c r="E835" s="1424"/>
      <c r="F835" s="1424"/>
      <c r="G835" s="1424"/>
      <c r="H835" s="1425"/>
      <c r="I835" s="1426"/>
      <c r="J835" s="1426"/>
    </row>
    <row r="836" ht="15.75" customHeight="1">
      <c r="A836" s="1424"/>
      <c r="B836" s="1424"/>
      <c r="C836" s="1424"/>
      <c r="D836" s="1424"/>
      <c r="E836" s="1424"/>
      <c r="F836" s="1424"/>
      <c r="G836" s="1424"/>
      <c r="H836" s="1425"/>
      <c r="I836" s="1426"/>
      <c r="J836" s="1426"/>
    </row>
    <row r="837" ht="15.75" customHeight="1">
      <c r="A837" s="1424"/>
      <c r="B837" s="1424"/>
      <c r="C837" s="1424"/>
      <c r="D837" s="1424"/>
      <c r="E837" s="1424"/>
      <c r="F837" s="1424"/>
      <c r="G837" s="1424"/>
      <c r="H837" s="1425"/>
      <c r="I837" s="1426"/>
      <c r="J837" s="1426"/>
    </row>
    <row r="838" ht="15.75" customHeight="1">
      <c r="A838" s="1424"/>
      <c r="B838" s="1424"/>
      <c r="C838" s="1424"/>
      <c r="D838" s="1424"/>
      <c r="E838" s="1424"/>
      <c r="F838" s="1424"/>
      <c r="G838" s="1424"/>
      <c r="H838" s="1425"/>
      <c r="I838" s="1426"/>
      <c r="J838" s="1426"/>
    </row>
    <row r="839" ht="15.75" customHeight="1">
      <c r="A839" s="1424"/>
      <c r="B839" s="1424"/>
      <c r="C839" s="1424"/>
      <c r="D839" s="1424"/>
      <c r="E839" s="1424"/>
      <c r="F839" s="1424"/>
      <c r="G839" s="1424"/>
      <c r="H839" s="1425"/>
      <c r="I839" s="1426"/>
      <c r="J839" s="1426"/>
    </row>
    <row r="840" ht="15.75" customHeight="1">
      <c r="A840" s="1424"/>
      <c r="B840" s="1424"/>
      <c r="C840" s="1424"/>
      <c r="D840" s="1424"/>
      <c r="E840" s="1424"/>
      <c r="F840" s="1424"/>
      <c r="G840" s="1424"/>
      <c r="H840" s="1425"/>
      <c r="I840" s="1426"/>
      <c r="J840" s="1426"/>
    </row>
    <row r="841" ht="15.75" customHeight="1">
      <c r="A841" s="1424"/>
      <c r="B841" s="1424"/>
      <c r="C841" s="1424"/>
      <c r="D841" s="1424"/>
      <c r="E841" s="1424"/>
      <c r="F841" s="1424"/>
      <c r="G841" s="1424"/>
      <c r="H841" s="1425"/>
      <c r="I841" s="1426"/>
      <c r="J841" s="1426"/>
    </row>
    <row r="842" ht="15.75" customHeight="1">
      <c r="A842" s="1424"/>
      <c r="B842" s="1424"/>
      <c r="C842" s="1424"/>
      <c r="D842" s="1424"/>
      <c r="E842" s="1424"/>
      <c r="F842" s="1424"/>
      <c r="G842" s="1424"/>
      <c r="H842" s="1425"/>
      <c r="I842" s="1426"/>
      <c r="J842" s="1426"/>
    </row>
    <row r="843" ht="15.75" customHeight="1">
      <c r="A843" s="1424"/>
      <c r="B843" s="1424"/>
      <c r="C843" s="1424"/>
      <c r="D843" s="1424"/>
      <c r="E843" s="1424"/>
      <c r="F843" s="1424"/>
      <c r="G843" s="1424"/>
      <c r="H843" s="1425"/>
      <c r="I843" s="1426"/>
      <c r="J843" s="1426"/>
    </row>
    <row r="844" ht="15.75" customHeight="1">
      <c r="A844" s="1424"/>
      <c r="B844" s="1424"/>
      <c r="C844" s="1424"/>
      <c r="D844" s="1424"/>
      <c r="E844" s="1424"/>
      <c r="F844" s="1424"/>
      <c r="G844" s="1424"/>
      <c r="H844" s="1425"/>
      <c r="I844" s="1426"/>
      <c r="J844" s="1426"/>
    </row>
    <row r="845" ht="15.75" customHeight="1">
      <c r="A845" s="1424"/>
      <c r="B845" s="1424"/>
      <c r="C845" s="1424"/>
      <c r="D845" s="1424"/>
      <c r="E845" s="1424"/>
      <c r="F845" s="1424"/>
      <c r="G845" s="1424"/>
      <c r="H845" s="1425"/>
      <c r="I845" s="1426"/>
      <c r="J845" s="1426"/>
    </row>
    <row r="846" ht="15.75" customHeight="1">
      <c r="A846" s="1424"/>
      <c r="B846" s="1424"/>
      <c r="C846" s="1424"/>
      <c r="D846" s="1424"/>
      <c r="E846" s="1424"/>
      <c r="F846" s="1424"/>
      <c r="G846" s="1424"/>
      <c r="H846" s="1425"/>
      <c r="I846" s="1426"/>
      <c r="J846" s="1426"/>
    </row>
    <row r="847" ht="15.75" customHeight="1">
      <c r="A847" s="1424"/>
      <c r="B847" s="1424"/>
      <c r="C847" s="1424"/>
      <c r="D847" s="1424"/>
      <c r="E847" s="1424"/>
      <c r="F847" s="1424"/>
      <c r="G847" s="1424"/>
      <c r="H847" s="1425"/>
      <c r="I847" s="1426"/>
      <c r="J847" s="1426"/>
    </row>
    <row r="848" ht="15.75" customHeight="1">
      <c r="A848" s="1424"/>
      <c r="B848" s="1424"/>
      <c r="C848" s="1424"/>
      <c r="D848" s="1424"/>
      <c r="E848" s="1424"/>
      <c r="F848" s="1424"/>
      <c r="G848" s="1424"/>
      <c r="H848" s="1425"/>
      <c r="I848" s="1426"/>
      <c r="J848" s="1426"/>
    </row>
    <row r="849" ht="15.75" customHeight="1">
      <c r="A849" s="1424"/>
      <c r="B849" s="1424"/>
      <c r="C849" s="1424"/>
      <c r="D849" s="1424"/>
      <c r="E849" s="1424"/>
      <c r="F849" s="1424"/>
      <c r="G849" s="1424"/>
      <c r="H849" s="1425"/>
      <c r="I849" s="1426"/>
      <c r="J849" s="1426"/>
    </row>
    <row r="850" ht="15.75" customHeight="1">
      <c r="A850" s="1424"/>
      <c r="B850" s="1424"/>
      <c r="C850" s="1424"/>
      <c r="D850" s="1424"/>
      <c r="E850" s="1424"/>
      <c r="F850" s="1424"/>
      <c r="G850" s="1424"/>
      <c r="H850" s="1425"/>
      <c r="I850" s="1426"/>
      <c r="J850" s="1426"/>
    </row>
    <row r="851" ht="15.75" customHeight="1">
      <c r="A851" s="1424"/>
      <c r="B851" s="1424"/>
      <c r="C851" s="1424"/>
      <c r="D851" s="1424"/>
      <c r="E851" s="1424"/>
      <c r="F851" s="1424"/>
      <c r="G851" s="1424"/>
      <c r="H851" s="1425"/>
      <c r="I851" s="1426"/>
      <c r="J851" s="1426"/>
    </row>
    <row r="852" ht="15.75" customHeight="1">
      <c r="A852" s="1424"/>
      <c r="B852" s="1424"/>
      <c r="C852" s="1424"/>
      <c r="D852" s="1424"/>
      <c r="E852" s="1424"/>
      <c r="F852" s="1424"/>
      <c r="G852" s="1424"/>
      <c r="H852" s="1425"/>
      <c r="I852" s="1426"/>
      <c r="J852" s="1426"/>
    </row>
    <row r="853" ht="15.75" customHeight="1">
      <c r="A853" s="1424"/>
      <c r="B853" s="1424"/>
      <c r="C853" s="1424"/>
      <c r="D853" s="1424"/>
      <c r="E853" s="1424"/>
      <c r="F853" s="1424"/>
      <c r="G853" s="1424"/>
      <c r="H853" s="1425"/>
      <c r="I853" s="1426"/>
      <c r="J853" s="1426"/>
    </row>
    <row r="854" ht="15.75" customHeight="1">
      <c r="A854" s="1424"/>
      <c r="B854" s="1424"/>
      <c r="C854" s="1424"/>
      <c r="D854" s="1424"/>
      <c r="E854" s="1424"/>
      <c r="F854" s="1424"/>
      <c r="G854" s="1424"/>
      <c r="H854" s="1425"/>
      <c r="I854" s="1426"/>
      <c r="J854" s="1426"/>
    </row>
    <row r="855" ht="15.75" customHeight="1">
      <c r="A855" s="1424"/>
      <c r="B855" s="1424"/>
      <c r="C855" s="1424"/>
      <c r="D855" s="1424"/>
      <c r="E855" s="1424"/>
      <c r="F855" s="1424"/>
      <c r="G855" s="1424"/>
      <c r="H855" s="1425"/>
      <c r="I855" s="1426"/>
      <c r="J855" s="1426"/>
    </row>
    <row r="856" ht="15.75" customHeight="1">
      <c r="A856" s="1424"/>
      <c r="B856" s="1424"/>
      <c r="C856" s="1424"/>
      <c r="D856" s="1424"/>
      <c r="E856" s="1424"/>
      <c r="F856" s="1424"/>
      <c r="G856" s="1424"/>
      <c r="H856" s="1425"/>
      <c r="I856" s="1426"/>
      <c r="J856" s="1426"/>
    </row>
    <row r="857" ht="15.75" customHeight="1">
      <c r="A857" s="1424"/>
      <c r="B857" s="1424"/>
      <c r="C857" s="1424"/>
      <c r="D857" s="1424"/>
      <c r="E857" s="1424"/>
      <c r="F857" s="1424"/>
      <c r="G857" s="1424"/>
      <c r="H857" s="1425"/>
      <c r="I857" s="1426"/>
      <c r="J857" s="1426"/>
    </row>
    <row r="858" ht="15.75" customHeight="1">
      <c r="A858" s="1424"/>
      <c r="B858" s="1424"/>
      <c r="C858" s="1424"/>
      <c r="D858" s="1424"/>
      <c r="E858" s="1424"/>
      <c r="F858" s="1424"/>
      <c r="G858" s="1424"/>
      <c r="H858" s="1425"/>
      <c r="I858" s="1426"/>
      <c r="J858" s="1426"/>
    </row>
    <row r="859" ht="15.75" customHeight="1">
      <c r="A859" s="1424"/>
      <c r="B859" s="1424"/>
      <c r="C859" s="1424"/>
      <c r="D859" s="1424"/>
      <c r="E859" s="1424"/>
      <c r="F859" s="1424"/>
      <c r="G859" s="1424"/>
      <c r="H859" s="1425"/>
      <c r="I859" s="1426"/>
      <c r="J859" s="1426"/>
    </row>
    <row r="860" ht="15.75" customHeight="1">
      <c r="A860" s="1424"/>
      <c r="B860" s="1424"/>
      <c r="C860" s="1424"/>
      <c r="D860" s="1424"/>
      <c r="E860" s="1424"/>
      <c r="F860" s="1424"/>
      <c r="G860" s="1424"/>
      <c r="H860" s="1425"/>
      <c r="I860" s="1426"/>
      <c r="J860" s="1426"/>
    </row>
    <row r="861" ht="15.75" customHeight="1">
      <c r="A861" s="1424"/>
      <c r="B861" s="1424"/>
      <c r="C861" s="1424"/>
      <c r="D861" s="1424"/>
      <c r="E861" s="1424"/>
      <c r="F861" s="1424"/>
      <c r="G861" s="1424"/>
      <c r="H861" s="1425"/>
      <c r="I861" s="1426"/>
      <c r="J861" s="1426"/>
    </row>
    <row r="862" ht="15.75" customHeight="1">
      <c r="A862" s="1424"/>
      <c r="B862" s="1424"/>
      <c r="C862" s="1424"/>
      <c r="D862" s="1424"/>
      <c r="E862" s="1424"/>
      <c r="F862" s="1424"/>
      <c r="G862" s="1424"/>
      <c r="H862" s="1425"/>
      <c r="I862" s="1426"/>
      <c r="J862" s="1426"/>
    </row>
    <row r="863" ht="15.75" customHeight="1">
      <c r="A863" s="1424"/>
      <c r="B863" s="1424"/>
      <c r="C863" s="1424"/>
      <c r="D863" s="1424"/>
      <c r="E863" s="1424"/>
      <c r="F863" s="1424"/>
      <c r="G863" s="1424"/>
      <c r="H863" s="1425"/>
      <c r="I863" s="1426"/>
      <c r="J863" s="1426"/>
    </row>
    <row r="864" ht="15.75" customHeight="1">
      <c r="A864" s="1424"/>
      <c r="B864" s="1424"/>
      <c r="C864" s="1424"/>
      <c r="D864" s="1424"/>
      <c r="E864" s="1424"/>
      <c r="F864" s="1424"/>
      <c r="G864" s="1424"/>
      <c r="H864" s="1425"/>
      <c r="I864" s="1426"/>
      <c r="J864" s="1426"/>
    </row>
    <row r="865" ht="15.75" customHeight="1">
      <c r="A865" s="1424"/>
      <c r="B865" s="1424"/>
      <c r="C865" s="1424"/>
      <c r="D865" s="1424"/>
      <c r="E865" s="1424"/>
      <c r="F865" s="1424"/>
      <c r="G865" s="1424"/>
      <c r="H865" s="1425"/>
      <c r="I865" s="1426"/>
      <c r="J865" s="1426"/>
    </row>
    <row r="866" ht="15.75" customHeight="1">
      <c r="A866" s="1424"/>
      <c r="B866" s="1424"/>
      <c r="C866" s="1424"/>
      <c r="D866" s="1424"/>
      <c r="E866" s="1424"/>
      <c r="F866" s="1424"/>
      <c r="G866" s="1424"/>
      <c r="H866" s="1425"/>
      <c r="I866" s="1426"/>
      <c r="J866" s="1426"/>
    </row>
    <row r="867" ht="15.75" customHeight="1">
      <c r="A867" s="1424"/>
      <c r="B867" s="1424"/>
      <c r="C867" s="1424"/>
      <c r="D867" s="1424"/>
      <c r="E867" s="1424"/>
      <c r="F867" s="1424"/>
      <c r="G867" s="1424"/>
      <c r="H867" s="1425"/>
      <c r="I867" s="1426"/>
      <c r="J867" s="1426"/>
    </row>
    <row r="868" ht="15.75" customHeight="1">
      <c r="A868" s="1424"/>
      <c r="B868" s="1424"/>
      <c r="C868" s="1424"/>
      <c r="D868" s="1424"/>
      <c r="E868" s="1424"/>
      <c r="F868" s="1424"/>
      <c r="G868" s="1424"/>
      <c r="H868" s="1425"/>
      <c r="I868" s="1426"/>
      <c r="J868" s="1426"/>
    </row>
    <row r="869" ht="15.75" customHeight="1">
      <c r="A869" s="1424"/>
      <c r="B869" s="1424"/>
      <c r="C869" s="1424"/>
      <c r="D869" s="1424"/>
      <c r="E869" s="1424"/>
      <c r="F869" s="1424"/>
      <c r="G869" s="1424"/>
      <c r="H869" s="1425"/>
      <c r="I869" s="1426"/>
      <c r="J869" s="1426"/>
    </row>
    <row r="870" ht="15.75" customHeight="1">
      <c r="A870" s="1424"/>
      <c r="B870" s="1424"/>
      <c r="C870" s="1424"/>
      <c r="D870" s="1424"/>
      <c r="E870" s="1424"/>
      <c r="F870" s="1424"/>
      <c r="G870" s="1424"/>
      <c r="H870" s="1425"/>
      <c r="I870" s="1426"/>
      <c r="J870" s="1426"/>
    </row>
    <row r="871" ht="15.75" customHeight="1">
      <c r="A871" s="1424"/>
      <c r="B871" s="1424"/>
      <c r="C871" s="1424"/>
      <c r="D871" s="1424"/>
      <c r="E871" s="1424"/>
      <c r="F871" s="1424"/>
      <c r="G871" s="1424"/>
      <c r="H871" s="1425"/>
      <c r="I871" s="1426"/>
      <c r="J871" s="1426"/>
    </row>
    <row r="872" ht="15.75" customHeight="1">
      <c r="A872" s="1424"/>
      <c r="B872" s="1424"/>
      <c r="C872" s="1424"/>
      <c r="D872" s="1424"/>
      <c r="E872" s="1424"/>
      <c r="F872" s="1424"/>
      <c r="G872" s="1424"/>
      <c r="H872" s="1425"/>
      <c r="I872" s="1426"/>
      <c r="J872" s="1426"/>
    </row>
    <row r="873" ht="15.75" customHeight="1">
      <c r="A873" s="1424"/>
      <c r="B873" s="1424"/>
      <c r="C873" s="1424"/>
      <c r="D873" s="1424"/>
      <c r="E873" s="1424"/>
      <c r="F873" s="1424"/>
      <c r="G873" s="1424"/>
      <c r="H873" s="1425"/>
      <c r="I873" s="1426"/>
      <c r="J873" s="1426"/>
    </row>
    <row r="874" ht="15.75" customHeight="1">
      <c r="A874" s="1424"/>
      <c r="B874" s="1424"/>
      <c r="C874" s="1424"/>
      <c r="D874" s="1424"/>
      <c r="E874" s="1424"/>
      <c r="F874" s="1424"/>
      <c r="G874" s="1424"/>
      <c r="H874" s="1425"/>
      <c r="I874" s="1426"/>
      <c r="J874" s="1426"/>
    </row>
    <row r="875" ht="15.75" customHeight="1">
      <c r="A875" s="1424"/>
      <c r="B875" s="1424"/>
      <c r="C875" s="1424"/>
      <c r="D875" s="1424"/>
      <c r="E875" s="1424"/>
      <c r="F875" s="1424"/>
      <c r="G875" s="1424"/>
      <c r="H875" s="1425"/>
      <c r="I875" s="1426"/>
      <c r="J875" s="1426"/>
    </row>
    <row r="876" ht="15.75" customHeight="1">
      <c r="A876" s="1424"/>
      <c r="B876" s="1424"/>
      <c r="C876" s="1424"/>
      <c r="D876" s="1424"/>
      <c r="E876" s="1424"/>
      <c r="F876" s="1424"/>
      <c r="G876" s="1424"/>
      <c r="H876" s="1425"/>
      <c r="I876" s="1426"/>
      <c r="J876" s="1426"/>
    </row>
    <row r="877" ht="15.75" customHeight="1">
      <c r="A877" s="1424"/>
      <c r="B877" s="1424"/>
      <c r="C877" s="1424"/>
      <c r="D877" s="1424"/>
      <c r="E877" s="1424"/>
      <c r="F877" s="1424"/>
      <c r="G877" s="1424"/>
      <c r="H877" s="1425"/>
      <c r="I877" s="1426"/>
      <c r="J877" s="1426"/>
    </row>
    <row r="878" ht="15.75" customHeight="1">
      <c r="A878" s="1424"/>
      <c r="B878" s="1424"/>
      <c r="C878" s="1424"/>
      <c r="D878" s="1424"/>
      <c r="E878" s="1424"/>
      <c r="F878" s="1424"/>
      <c r="G878" s="1424"/>
      <c r="H878" s="1425"/>
      <c r="I878" s="1426"/>
      <c r="J878" s="1426"/>
    </row>
    <row r="879" ht="15.75" customHeight="1">
      <c r="A879" s="1424"/>
      <c r="B879" s="1424"/>
      <c r="C879" s="1424"/>
      <c r="D879" s="1424"/>
      <c r="E879" s="1424"/>
      <c r="F879" s="1424"/>
      <c r="G879" s="1424"/>
      <c r="H879" s="1425"/>
      <c r="I879" s="1426"/>
      <c r="J879" s="1426"/>
    </row>
    <row r="880" ht="15.75" customHeight="1">
      <c r="A880" s="1424"/>
      <c r="B880" s="1424"/>
      <c r="C880" s="1424"/>
      <c r="D880" s="1424"/>
      <c r="E880" s="1424"/>
      <c r="F880" s="1424"/>
      <c r="G880" s="1424"/>
      <c r="H880" s="1425"/>
      <c r="I880" s="1426"/>
      <c r="J880" s="1426"/>
    </row>
    <row r="881" ht="15.75" customHeight="1">
      <c r="A881" s="1424"/>
      <c r="B881" s="1424"/>
      <c r="C881" s="1424"/>
      <c r="D881" s="1424"/>
      <c r="E881" s="1424"/>
      <c r="F881" s="1424"/>
      <c r="G881" s="1424"/>
      <c r="H881" s="1425"/>
      <c r="I881" s="1426"/>
      <c r="J881" s="1426"/>
    </row>
    <row r="882" ht="15.75" customHeight="1">
      <c r="A882" s="1424"/>
      <c r="B882" s="1424"/>
      <c r="C882" s="1424"/>
      <c r="D882" s="1424"/>
      <c r="E882" s="1424"/>
      <c r="F882" s="1424"/>
      <c r="G882" s="1424"/>
      <c r="H882" s="1425"/>
      <c r="I882" s="1426"/>
      <c r="J882" s="1426"/>
    </row>
    <row r="883" ht="15.75" customHeight="1">
      <c r="A883" s="1424"/>
      <c r="B883" s="1424"/>
      <c r="C883" s="1424"/>
      <c r="D883" s="1424"/>
      <c r="E883" s="1424"/>
      <c r="F883" s="1424"/>
      <c r="G883" s="1424"/>
      <c r="H883" s="1425"/>
      <c r="I883" s="1426"/>
      <c r="J883" s="1426"/>
    </row>
    <row r="884" ht="15.75" customHeight="1">
      <c r="A884" s="1424"/>
      <c r="B884" s="1424"/>
      <c r="C884" s="1424"/>
      <c r="D884" s="1424"/>
      <c r="E884" s="1424"/>
      <c r="F884" s="1424"/>
      <c r="G884" s="1424"/>
      <c r="H884" s="1425"/>
      <c r="I884" s="1426"/>
      <c r="J884" s="1426"/>
    </row>
    <row r="885" ht="15.75" customHeight="1">
      <c r="A885" s="1424"/>
      <c r="B885" s="1424"/>
      <c r="C885" s="1424"/>
      <c r="D885" s="1424"/>
      <c r="E885" s="1424"/>
      <c r="F885" s="1424"/>
      <c r="G885" s="1424"/>
      <c r="H885" s="1425"/>
      <c r="I885" s="1426"/>
      <c r="J885" s="1426"/>
    </row>
    <row r="886" ht="15.75" customHeight="1">
      <c r="A886" s="1424"/>
      <c r="B886" s="1424"/>
      <c r="C886" s="1424"/>
      <c r="D886" s="1424"/>
      <c r="E886" s="1424"/>
      <c r="F886" s="1424"/>
      <c r="G886" s="1424"/>
      <c r="H886" s="1425"/>
      <c r="I886" s="1426"/>
      <c r="J886" s="1426"/>
    </row>
    <row r="887" ht="15.75" customHeight="1">
      <c r="A887" s="1424"/>
      <c r="B887" s="1424"/>
      <c r="C887" s="1424"/>
      <c r="D887" s="1424"/>
      <c r="E887" s="1424"/>
      <c r="F887" s="1424"/>
      <c r="G887" s="1424"/>
      <c r="H887" s="1425"/>
      <c r="I887" s="1426"/>
      <c r="J887" s="1426"/>
    </row>
    <row r="888" ht="15.75" customHeight="1">
      <c r="A888" s="1424"/>
      <c r="B888" s="1424"/>
      <c r="C888" s="1424"/>
      <c r="D888" s="1424"/>
      <c r="E888" s="1424"/>
      <c r="F888" s="1424"/>
      <c r="G888" s="1424"/>
      <c r="H888" s="1425"/>
      <c r="I888" s="1426"/>
      <c r="J888" s="1426"/>
    </row>
    <row r="889" ht="15.75" customHeight="1">
      <c r="A889" s="1424"/>
      <c r="B889" s="1424"/>
      <c r="C889" s="1424"/>
      <c r="D889" s="1424"/>
      <c r="E889" s="1424"/>
      <c r="F889" s="1424"/>
      <c r="G889" s="1424"/>
      <c r="H889" s="1425"/>
      <c r="I889" s="1426"/>
      <c r="J889" s="1426"/>
    </row>
    <row r="890" ht="15.75" customHeight="1">
      <c r="A890" s="1424"/>
      <c r="B890" s="1424"/>
      <c r="C890" s="1424"/>
      <c r="D890" s="1424"/>
      <c r="E890" s="1424"/>
      <c r="F890" s="1424"/>
      <c r="G890" s="1424"/>
      <c r="H890" s="1425"/>
      <c r="I890" s="1426"/>
      <c r="J890" s="1426"/>
    </row>
    <row r="891" ht="15.75" customHeight="1">
      <c r="A891" s="1424"/>
      <c r="B891" s="1424"/>
      <c r="C891" s="1424"/>
      <c r="D891" s="1424"/>
      <c r="E891" s="1424"/>
      <c r="F891" s="1424"/>
      <c r="G891" s="1424"/>
      <c r="H891" s="1425"/>
      <c r="I891" s="1426"/>
      <c r="J891" s="1426"/>
    </row>
    <row r="892" ht="15.75" customHeight="1">
      <c r="A892" s="1424"/>
      <c r="B892" s="1424"/>
      <c r="C892" s="1424"/>
      <c r="D892" s="1424"/>
      <c r="E892" s="1424"/>
      <c r="F892" s="1424"/>
      <c r="G892" s="1424"/>
      <c r="H892" s="1425"/>
      <c r="I892" s="1426"/>
      <c r="J892" s="1426"/>
    </row>
    <row r="893" ht="15.75" customHeight="1">
      <c r="A893" s="1424"/>
      <c r="B893" s="1424"/>
      <c r="C893" s="1424"/>
      <c r="D893" s="1424"/>
      <c r="E893" s="1424"/>
      <c r="F893" s="1424"/>
      <c r="G893" s="1424"/>
      <c r="H893" s="1425"/>
      <c r="I893" s="1426"/>
      <c r="J893" s="1426"/>
    </row>
    <row r="894" ht="15.75" customHeight="1">
      <c r="A894" s="1424"/>
      <c r="B894" s="1424"/>
      <c r="C894" s="1424"/>
      <c r="D894" s="1424"/>
      <c r="E894" s="1424"/>
      <c r="F894" s="1424"/>
      <c r="G894" s="1424"/>
      <c r="H894" s="1425"/>
      <c r="I894" s="1426"/>
      <c r="J894" s="1426"/>
    </row>
    <row r="895" ht="15.75" customHeight="1">
      <c r="A895" s="1424"/>
      <c r="B895" s="1424"/>
      <c r="C895" s="1424"/>
      <c r="D895" s="1424"/>
      <c r="E895" s="1424"/>
      <c r="F895" s="1424"/>
      <c r="G895" s="1424"/>
      <c r="H895" s="1425"/>
      <c r="I895" s="1426"/>
      <c r="J895" s="1426"/>
    </row>
    <row r="896" ht="15.75" customHeight="1">
      <c r="A896" s="1424"/>
      <c r="B896" s="1424"/>
      <c r="C896" s="1424"/>
      <c r="D896" s="1424"/>
      <c r="E896" s="1424"/>
      <c r="F896" s="1424"/>
      <c r="G896" s="1424"/>
      <c r="H896" s="1425"/>
      <c r="I896" s="1426"/>
      <c r="J896" s="1426"/>
    </row>
    <row r="897" ht="15.75" customHeight="1">
      <c r="A897" s="1424"/>
      <c r="B897" s="1424"/>
      <c r="C897" s="1424"/>
      <c r="D897" s="1424"/>
      <c r="E897" s="1424"/>
      <c r="F897" s="1424"/>
      <c r="G897" s="1424"/>
      <c r="H897" s="1425"/>
      <c r="I897" s="1426"/>
      <c r="J897" s="1426"/>
    </row>
    <row r="898" ht="15.75" customHeight="1">
      <c r="A898" s="1424"/>
      <c r="B898" s="1424"/>
      <c r="C898" s="1424"/>
      <c r="D898" s="1424"/>
      <c r="E898" s="1424"/>
      <c r="F898" s="1424"/>
      <c r="G898" s="1424"/>
      <c r="H898" s="1425"/>
      <c r="I898" s="1426"/>
      <c r="J898" s="1426"/>
    </row>
    <row r="899" ht="15.75" customHeight="1">
      <c r="A899" s="1424"/>
      <c r="B899" s="1424"/>
      <c r="C899" s="1424"/>
      <c r="D899" s="1424"/>
      <c r="E899" s="1424"/>
      <c r="F899" s="1424"/>
      <c r="G899" s="1424"/>
      <c r="H899" s="1425"/>
      <c r="I899" s="1426"/>
      <c r="J899" s="1426"/>
    </row>
    <row r="900" ht="15.75" customHeight="1">
      <c r="A900" s="1424"/>
      <c r="B900" s="1424"/>
      <c r="C900" s="1424"/>
      <c r="D900" s="1424"/>
      <c r="E900" s="1424"/>
      <c r="F900" s="1424"/>
      <c r="G900" s="1424"/>
      <c r="H900" s="1425"/>
      <c r="I900" s="1426"/>
      <c r="J900" s="1426"/>
    </row>
    <row r="901" ht="15.75" customHeight="1">
      <c r="A901" s="1424"/>
      <c r="B901" s="1424"/>
      <c r="C901" s="1424"/>
      <c r="D901" s="1424"/>
      <c r="E901" s="1424"/>
      <c r="F901" s="1424"/>
      <c r="G901" s="1424"/>
      <c r="H901" s="1425"/>
      <c r="I901" s="1426"/>
      <c r="J901" s="1426"/>
    </row>
    <row r="902" ht="15.75" customHeight="1">
      <c r="A902" s="1424"/>
      <c r="B902" s="1424"/>
      <c r="C902" s="1424"/>
      <c r="D902" s="1424"/>
      <c r="E902" s="1424"/>
      <c r="F902" s="1424"/>
      <c r="G902" s="1424"/>
      <c r="H902" s="1425"/>
      <c r="I902" s="1426"/>
      <c r="J902" s="1426"/>
    </row>
    <row r="903" ht="15.75" customHeight="1">
      <c r="A903" s="1424"/>
      <c r="B903" s="1424"/>
      <c r="C903" s="1424"/>
      <c r="D903" s="1424"/>
      <c r="E903" s="1424"/>
      <c r="F903" s="1424"/>
      <c r="G903" s="1424"/>
      <c r="H903" s="1425"/>
      <c r="I903" s="1426"/>
      <c r="J903" s="1426"/>
    </row>
    <row r="904" ht="15.75" customHeight="1">
      <c r="A904" s="1424"/>
      <c r="B904" s="1424"/>
      <c r="C904" s="1424"/>
      <c r="D904" s="1424"/>
      <c r="E904" s="1424"/>
      <c r="F904" s="1424"/>
      <c r="G904" s="1424"/>
      <c r="H904" s="1425"/>
      <c r="I904" s="1426"/>
      <c r="J904" s="1426"/>
    </row>
    <row r="905" ht="15.75" customHeight="1">
      <c r="A905" s="1424"/>
      <c r="B905" s="1424"/>
      <c r="C905" s="1424"/>
      <c r="D905" s="1424"/>
      <c r="E905" s="1424"/>
      <c r="F905" s="1424"/>
      <c r="G905" s="1424"/>
      <c r="H905" s="1425"/>
      <c r="I905" s="1426"/>
      <c r="J905" s="1426"/>
    </row>
    <row r="906" ht="15.75" customHeight="1">
      <c r="A906" s="1424"/>
      <c r="B906" s="1424"/>
      <c r="C906" s="1424"/>
      <c r="D906" s="1424"/>
      <c r="E906" s="1424"/>
      <c r="F906" s="1424"/>
      <c r="G906" s="1424"/>
      <c r="H906" s="1425"/>
      <c r="I906" s="1426"/>
      <c r="J906" s="1426"/>
    </row>
    <row r="907" ht="15.75" customHeight="1">
      <c r="A907" s="1424"/>
      <c r="B907" s="1424"/>
      <c r="C907" s="1424"/>
      <c r="D907" s="1424"/>
      <c r="E907" s="1424"/>
      <c r="F907" s="1424"/>
      <c r="G907" s="1424"/>
      <c r="H907" s="1425"/>
      <c r="I907" s="1426"/>
      <c r="J907" s="1426"/>
    </row>
    <row r="908" ht="15.75" customHeight="1">
      <c r="A908" s="1424"/>
      <c r="B908" s="1424"/>
      <c r="C908" s="1424"/>
      <c r="D908" s="1424"/>
      <c r="E908" s="1424"/>
      <c r="F908" s="1424"/>
      <c r="G908" s="1424"/>
      <c r="H908" s="1425"/>
      <c r="I908" s="1426"/>
      <c r="J908" s="1426"/>
    </row>
    <row r="909" ht="15.75" customHeight="1">
      <c r="A909" s="1424"/>
      <c r="B909" s="1424"/>
      <c r="C909" s="1424"/>
      <c r="D909" s="1424"/>
      <c r="E909" s="1424"/>
      <c r="F909" s="1424"/>
      <c r="G909" s="1424"/>
      <c r="H909" s="1425"/>
      <c r="I909" s="1426"/>
      <c r="J909" s="1426"/>
    </row>
    <row r="910" ht="15.75" customHeight="1">
      <c r="A910" s="1424"/>
      <c r="B910" s="1424"/>
      <c r="C910" s="1424"/>
      <c r="D910" s="1424"/>
      <c r="E910" s="1424"/>
      <c r="F910" s="1424"/>
      <c r="G910" s="1424"/>
      <c r="H910" s="1425"/>
      <c r="I910" s="1426"/>
      <c r="J910" s="1426"/>
    </row>
    <row r="911" ht="15.75" customHeight="1">
      <c r="A911" s="1424"/>
      <c r="B911" s="1424"/>
      <c r="C911" s="1424"/>
      <c r="D911" s="1424"/>
      <c r="E911" s="1424"/>
      <c r="F911" s="1424"/>
      <c r="G911" s="1424"/>
      <c r="H911" s="1425"/>
      <c r="I911" s="1426"/>
      <c r="J911" s="1426"/>
    </row>
    <row r="912" ht="15.75" customHeight="1">
      <c r="A912" s="1424"/>
      <c r="B912" s="1424"/>
      <c r="C912" s="1424"/>
      <c r="D912" s="1424"/>
      <c r="E912" s="1424"/>
      <c r="F912" s="1424"/>
      <c r="G912" s="1424"/>
      <c r="H912" s="1425"/>
      <c r="I912" s="1426"/>
      <c r="J912" s="1426"/>
    </row>
    <row r="913" ht="15.75" customHeight="1">
      <c r="A913" s="1424"/>
      <c r="B913" s="1424"/>
      <c r="C913" s="1424"/>
      <c r="D913" s="1424"/>
      <c r="E913" s="1424"/>
      <c r="F913" s="1424"/>
      <c r="G913" s="1424"/>
      <c r="H913" s="1425"/>
      <c r="I913" s="1426"/>
      <c r="J913" s="1426"/>
    </row>
    <row r="914" ht="15.75" customHeight="1">
      <c r="A914" s="1424"/>
      <c r="B914" s="1424"/>
      <c r="C914" s="1424"/>
      <c r="D914" s="1424"/>
      <c r="E914" s="1424"/>
      <c r="F914" s="1424"/>
      <c r="G914" s="1424"/>
      <c r="H914" s="1425"/>
      <c r="I914" s="1426"/>
      <c r="J914" s="1426"/>
    </row>
    <row r="915" ht="15.75" customHeight="1">
      <c r="A915" s="1424"/>
      <c r="B915" s="1424"/>
      <c r="C915" s="1424"/>
      <c r="D915" s="1424"/>
      <c r="E915" s="1424"/>
      <c r="F915" s="1424"/>
      <c r="G915" s="1424"/>
      <c r="H915" s="1425"/>
      <c r="I915" s="1426"/>
      <c r="J915" s="1426"/>
    </row>
    <row r="916" ht="15.75" customHeight="1">
      <c r="A916" s="1424"/>
      <c r="B916" s="1424"/>
      <c r="C916" s="1424"/>
      <c r="D916" s="1424"/>
      <c r="E916" s="1424"/>
      <c r="F916" s="1424"/>
      <c r="G916" s="1424"/>
      <c r="H916" s="1425"/>
      <c r="I916" s="1426"/>
      <c r="J916" s="1426"/>
    </row>
    <row r="917" ht="15.75" customHeight="1">
      <c r="A917" s="1424"/>
      <c r="B917" s="1424"/>
      <c r="C917" s="1424"/>
      <c r="D917" s="1424"/>
      <c r="E917" s="1424"/>
      <c r="F917" s="1424"/>
      <c r="G917" s="1424"/>
      <c r="H917" s="1425"/>
      <c r="I917" s="1426"/>
      <c r="J917" s="1426"/>
    </row>
    <row r="918" ht="15.75" customHeight="1">
      <c r="A918" s="1424"/>
      <c r="B918" s="1424"/>
      <c r="C918" s="1424"/>
      <c r="D918" s="1424"/>
      <c r="E918" s="1424"/>
      <c r="F918" s="1424"/>
      <c r="G918" s="1424"/>
      <c r="H918" s="1425"/>
      <c r="I918" s="1426"/>
      <c r="J918" s="1426"/>
    </row>
    <row r="919" ht="15.75" customHeight="1">
      <c r="A919" s="1424"/>
      <c r="B919" s="1424"/>
      <c r="C919" s="1424"/>
      <c r="D919" s="1424"/>
      <c r="E919" s="1424"/>
      <c r="F919" s="1424"/>
      <c r="G919" s="1424"/>
      <c r="H919" s="1425"/>
      <c r="I919" s="1426"/>
      <c r="J919" s="1426"/>
    </row>
    <row r="920" ht="15.75" customHeight="1">
      <c r="A920" s="1424"/>
      <c r="B920" s="1424"/>
      <c r="C920" s="1424"/>
      <c r="D920" s="1424"/>
      <c r="E920" s="1424"/>
      <c r="F920" s="1424"/>
      <c r="G920" s="1424"/>
      <c r="H920" s="1425"/>
      <c r="I920" s="1426"/>
      <c r="J920" s="1426"/>
    </row>
    <row r="921" ht="15.75" customHeight="1">
      <c r="A921" s="1424"/>
      <c r="B921" s="1424"/>
      <c r="C921" s="1424"/>
      <c r="D921" s="1424"/>
      <c r="E921" s="1424"/>
      <c r="F921" s="1424"/>
      <c r="G921" s="1424"/>
      <c r="H921" s="1425"/>
      <c r="I921" s="1426"/>
      <c r="J921" s="1426"/>
    </row>
    <row r="922" ht="15.75" customHeight="1">
      <c r="A922" s="1424"/>
      <c r="B922" s="1424"/>
      <c r="C922" s="1424"/>
      <c r="D922" s="1424"/>
      <c r="E922" s="1424"/>
      <c r="F922" s="1424"/>
      <c r="G922" s="1424"/>
      <c r="H922" s="1425"/>
      <c r="I922" s="1426"/>
      <c r="J922" s="1426"/>
    </row>
    <row r="923" ht="15.75" customHeight="1">
      <c r="A923" s="1424"/>
      <c r="B923" s="1424"/>
      <c r="C923" s="1424"/>
      <c r="D923" s="1424"/>
      <c r="E923" s="1424"/>
      <c r="F923" s="1424"/>
      <c r="G923" s="1424"/>
      <c r="H923" s="1425"/>
      <c r="I923" s="1426"/>
      <c r="J923" s="1426"/>
    </row>
    <row r="924" ht="15.75" customHeight="1">
      <c r="A924" s="1424"/>
      <c r="B924" s="1424"/>
      <c r="C924" s="1424"/>
      <c r="D924" s="1424"/>
      <c r="E924" s="1424"/>
      <c r="F924" s="1424"/>
      <c r="G924" s="1424"/>
      <c r="H924" s="1425"/>
      <c r="I924" s="1426"/>
      <c r="J924" s="1426"/>
    </row>
    <row r="925" ht="15.75" customHeight="1">
      <c r="A925" s="1424"/>
      <c r="B925" s="1424"/>
      <c r="C925" s="1424"/>
      <c r="D925" s="1424"/>
      <c r="E925" s="1424"/>
      <c r="F925" s="1424"/>
      <c r="G925" s="1424"/>
      <c r="H925" s="1425"/>
      <c r="I925" s="1426"/>
      <c r="J925" s="1426"/>
    </row>
    <row r="926" ht="15.75" customHeight="1">
      <c r="A926" s="1424"/>
      <c r="B926" s="1424"/>
      <c r="C926" s="1424"/>
      <c r="D926" s="1424"/>
      <c r="E926" s="1424"/>
      <c r="F926" s="1424"/>
      <c r="G926" s="1424"/>
      <c r="H926" s="1425"/>
      <c r="I926" s="1426"/>
      <c r="J926" s="1426"/>
    </row>
    <row r="927" ht="15.75" customHeight="1">
      <c r="A927" s="1424"/>
      <c r="B927" s="1424"/>
      <c r="C927" s="1424"/>
      <c r="D927" s="1424"/>
      <c r="E927" s="1424"/>
      <c r="F927" s="1424"/>
      <c r="G927" s="1424"/>
      <c r="H927" s="1425"/>
      <c r="I927" s="1426"/>
      <c r="J927" s="1426"/>
    </row>
    <row r="928" ht="15.75" customHeight="1">
      <c r="A928" s="1424"/>
      <c r="B928" s="1424"/>
      <c r="C928" s="1424"/>
      <c r="D928" s="1424"/>
      <c r="E928" s="1424"/>
      <c r="F928" s="1424"/>
      <c r="G928" s="1424"/>
      <c r="H928" s="1425"/>
      <c r="I928" s="1426"/>
      <c r="J928" s="1426"/>
    </row>
    <row r="929" ht="15.75" customHeight="1">
      <c r="A929" s="1424"/>
      <c r="B929" s="1424"/>
      <c r="C929" s="1424"/>
      <c r="D929" s="1424"/>
      <c r="E929" s="1424"/>
      <c r="F929" s="1424"/>
      <c r="G929" s="1424"/>
      <c r="H929" s="1425"/>
      <c r="I929" s="1426"/>
      <c r="J929" s="1426"/>
    </row>
    <row r="930" ht="15.75" customHeight="1">
      <c r="A930" s="1424"/>
      <c r="B930" s="1424"/>
      <c r="C930" s="1424"/>
      <c r="D930" s="1424"/>
      <c r="E930" s="1424"/>
      <c r="F930" s="1424"/>
      <c r="G930" s="1424"/>
      <c r="H930" s="1425"/>
      <c r="I930" s="1426"/>
      <c r="J930" s="1426"/>
    </row>
    <row r="931" ht="15.75" customHeight="1">
      <c r="A931" s="1424"/>
      <c r="B931" s="1424"/>
      <c r="C931" s="1424"/>
      <c r="D931" s="1424"/>
      <c r="E931" s="1424"/>
      <c r="F931" s="1424"/>
      <c r="G931" s="1424"/>
      <c r="H931" s="1425"/>
      <c r="I931" s="1426"/>
      <c r="J931" s="1426"/>
    </row>
    <row r="932" ht="15.75" customHeight="1">
      <c r="A932" s="1424"/>
      <c r="B932" s="1424"/>
      <c r="C932" s="1424"/>
      <c r="D932" s="1424"/>
      <c r="E932" s="1424"/>
      <c r="F932" s="1424"/>
      <c r="G932" s="1424"/>
      <c r="H932" s="1425"/>
      <c r="I932" s="1426"/>
      <c r="J932" s="1426"/>
    </row>
    <row r="933" ht="15.75" customHeight="1">
      <c r="A933" s="1424"/>
      <c r="B933" s="1424"/>
      <c r="C933" s="1424"/>
      <c r="D933" s="1424"/>
      <c r="E933" s="1424"/>
      <c r="F933" s="1424"/>
      <c r="G933" s="1424"/>
      <c r="H933" s="1425"/>
      <c r="I933" s="1426"/>
      <c r="J933" s="1426"/>
    </row>
    <row r="934" ht="15.75" customHeight="1">
      <c r="A934" s="1424"/>
      <c r="B934" s="1424"/>
      <c r="C934" s="1424"/>
      <c r="D934" s="1424"/>
      <c r="E934" s="1424"/>
      <c r="F934" s="1424"/>
      <c r="G934" s="1424"/>
      <c r="H934" s="1425"/>
      <c r="I934" s="1426"/>
      <c r="J934" s="1426"/>
    </row>
    <row r="935" ht="15.75" customHeight="1">
      <c r="A935" s="1424"/>
      <c r="B935" s="1424"/>
      <c r="C935" s="1424"/>
      <c r="D935" s="1424"/>
      <c r="E935" s="1424"/>
      <c r="F935" s="1424"/>
      <c r="G935" s="1424"/>
      <c r="H935" s="1425"/>
      <c r="I935" s="1426"/>
      <c r="J935" s="1426"/>
    </row>
    <row r="936" ht="15.75" customHeight="1">
      <c r="A936" s="1424"/>
      <c r="B936" s="1424"/>
      <c r="C936" s="1424"/>
      <c r="D936" s="1424"/>
      <c r="E936" s="1424"/>
      <c r="F936" s="1424"/>
      <c r="G936" s="1424"/>
      <c r="H936" s="1425"/>
      <c r="I936" s="1426"/>
      <c r="J936" s="1426"/>
    </row>
    <row r="937" ht="15.75" customHeight="1">
      <c r="A937" s="1424"/>
      <c r="B937" s="1424"/>
      <c r="C937" s="1424"/>
      <c r="D937" s="1424"/>
      <c r="E937" s="1424"/>
      <c r="F937" s="1424"/>
      <c r="G937" s="1424"/>
      <c r="H937" s="1425"/>
      <c r="I937" s="1426"/>
      <c r="J937" s="1426"/>
    </row>
    <row r="938" ht="15.75" customHeight="1">
      <c r="A938" s="1424"/>
      <c r="B938" s="1424"/>
      <c r="C938" s="1424"/>
      <c r="D938" s="1424"/>
      <c r="E938" s="1424"/>
      <c r="F938" s="1424"/>
      <c r="G938" s="1424"/>
      <c r="H938" s="1425"/>
      <c r="I938" s="1426"/>
      <c r="J938" s="1426"/>
    </row>
    <row r="939" ht="15.75" customHeight="1">
      <c r="A939" s="1424"/>
      <c r="B939" s="1424"/>
      <c r="C939" s="1424"/>
      <c r="D939" s="1424"/>
      <c r="E939" s="1424"/>
      <c r="F939" s="1424"/>
      <c r="G939" s="1424"/>
      <c r="H939" s="1425"/>
      <c r="I939" s="1426"/>
      <c r="J939" s="1426"/>
    </row>
    <row r="940" ht="15.75" customHeight="1">
      <c r="A940" s="1424"/>
      <c r="B940" s="1424"/>
      <c r="C940" s="1424"/>
      <c r="D940" s="1424"/>
      <c r="E940" s="1424"/>
      <c r="F940" s="1424"/>
      <c r="G940" s="1424"/>
      <c r="H940" s="1425"/>
      <c r="I940" s="1426"/>
      <c r="J940" s="1426"/>
    </row>
    <row r="941" ht="15.75" customHeight="1">
      <c r="A941" s="1424"/>
      <c r="B941" s="1424"/>
      <c r="C941" s="1424"/>
      <c r="D941" s="1424"/>
      <c r="E941" s="1424"/>
      <c r="F941" s="1424"/>
      <c r="G941" s="1424"/>
      <c r="H941" s="1425"/>
      <c r="I941" s="1426"/>
      <c r="J941" s="1426"/>
    </row>
    <row r="942" ht="15.75" customHeight="1">
      <c r="A942" s="1424"/>
      <c r="B942" s="1424"/>
      <c r="C942" s="1424"/>
      <c r="D942" s="1424"/>
      <c r="E942" s="1424"/>
      <c r="F942" s="1424"/>
      <c r="G942" s="1424"/>
      <c r="H942" s="1425"/>
      <c r="I942" s="1426"/>
      <c r="J942" s="1426"/>
    </row>
    <row r="943" ht="15.75" customHeight="1">
      <c r="A943" s="1424"/>
      <c r="B943" s="1424"/>
      <c r="C943" s="1424"/>
      <c r="D943" s="1424"/>
      <c r="E943" s="1424"/>
      <c r="F943" s="1424"/>
      <c r="G943" s="1424"/>
      <c r="H943" s="1425"/>
      <c r="I943" s="1426"/>
      <c r="J943" s="1426"/>
    </row>
    <row r="944" ht="15.75" customHeight="1">
      <c r="A944" s="1424"/>
      <c r="B944" s="1424"/>
      <c r="C944" s="1424"/>
      <c r="D944" s="1424"/>
      <c r="E944" s="1424"/>
      <c r="F944" s="1424"/>
      <c r="G944" s="1424"/>
      <c r="H944" s="1425"/>
      <c r="I944" s="1426"/>
      <c r="J944" s="1426"/>
    </row>
    <row r="945" ht="15.75" customHeight="1">
      <c r="A945" s="1424"/>
      <c r="B945" s="1424"/>
      <c r="C945" s="1424"/>
      <c r="D945" s="1424"/>
      <c r="E945" s="1424"/>
      <c r="F945" s="1424"/>
      <c r="G945" s="1424"/>
      <c r="H945" s="1425"/>
      <c r="I945" s="1426"/>
      <c r="J945" s="1426"/>
    </row>
    <row r="946" ht="15.75" customHeight="1">
      <c r="A946" s="1424"/>
      <c r="B946" s="1424"/>
      <c r="C946" s="1424"/>
      <c r="D946" s="1424"/>
      <c r="E946" s="1424"/>
      <c r="F946" s="1424"/>
      <c r="G946" s="1424"/>
      <c r="H946" s="1425"/>
      <c r="I946" s="1426"/>
      <c r="J946" s="1426"/>
    </row>
    <row r="947" ht="15.75" customHeight="1">
      <c r="A947" s="1424"/>
      <c r="B947" s="1424"/>
      <c r="C947" s="1424"/>
      <c r="D947" s="1424"/>
      <c r="E947" s="1424"/>
      <c r="F947" s="1424"/>
      <c r="G947" s="1424"/>
      <c r="H947" s="1425"/>
      <c r="I947" s="1426"/>
      <c r="J947" s="1426"/>
    </row>
    <row r="948" ht="15.75" customHeight="1">
      <c r="A948" s="1424"/>
      <c r="B948" s="1424"/>
      <c r="C948" s="1424"/>
      <c r="D948" s="1424"/>
      <c r="E948" s="1424"/>
      <c r="F948" s="1424"/>
      <c r="G948" s="1424"/>
      <c r="H948" s="1425"/>
      <c r="I948" s="1426"/>
      <c r="J948" s="1426"/>
    </row>
    <row r="949" ht="15.75" customHeight="1">
      <c r="A949" s="1424"/>
      <c r="B949" s="1424"/>
      <c r="C949" s="1424"/>
      <c r="D949" s="1424"/>
      <c r="E949" s="1424"/>
      <c r="F949" s="1424"/>
      <c r="G949" s="1424"/>
      <c r="H949" s="1425"/>
      <c r="I949" s="1426"/>
      <c r="J949" s="1426"/>
    </row>
    <row r="950" ht="15.75" customHeight="1">
      <c r="A950" s="1424"/>
      <c r="B950" s="1424"/>
      <c r="C950" s="1424"/>
      <c r="D950" s="1424"/>
      <c r="E950" s="1424"/>
      <c r="F950" s="1424"/>
      <c r="G950" s="1424"/>
      <c r="H950" s="1425"/>
      <c r="I950" s="1426"/>
      <c r="J950" s="1426"/>
    </row>
    <row r="951" ht="15.75" customHeight="1">
      <c r="A951" s="1424"/>
      <c r="B951" s="1424"/>
      <c r="C951" s="1424"/>
      <c r="D951" s="1424"/>
      <c r="E951" s="1424"/>
      <c r="F951" s="1424"/>
      <c r="G951" s="1424"/>
      <c r="H951" s="1425"/>
      <c r="I951" s="1426"/>
      <c r="J951" s="1426"/>
    </row>
    <row r="952" ht="15.75" customHeight="1">
      <c r="A952" s="1424"/>
      <c r="B952" s="1424"/>
      <c r="C952" s="1424"/>
      <c r="D952" s="1424"/>
      <c r="E952" s="1424"/>
      <c r="F952" s="1424"/>
      <c r="G952" s="1424"/>
      <c r="H952" s="1425"/>
      <c r="I952" s="1426"/>
      <c r="J952" s="1426"/>
    </row>
    <row r="953" ht="15.75" customHeight="1">
      <c r="A953" s="1424"/>
      <c r="B953" s="1424"/>
      <c r="C953" s="1424"/>
      <c r="D953" s="1424"/>
      <c r="E953" s="1424"/>
      <c r="F953" s="1424"/>
      <c r="G953" s="1424"/>
      <c r="H953" s="1425"/>
      <c r="I953" s="1426"/>
      <c r="J953" s="1426"/>
    </row>
    <row r="954" ht="15.75" customHeight="1">
      <c r="A954" s="1424"/>
      <c r="B954" s="1424"/>
      <c r="C954" s="1424"/>
      <c r="D954" s="1424"/>
      <c r="E954" s="1424"/>
      <c r="F954" s="1424"/>
      <c r="G954" s="1424"/>
      <c r="H954" s="1425"/>
      <c r="I954" s="1426"/>
      <c r="J954" s="1426"/>
    </row>
    <row r="955" ht="15.75" customHeight="1">
      <c r="A955" s="1424"/>
      <c r="B955" s="1424"/>
      <c r="C955" s="1424"/>
      <c r="D955" s="1424"/>
      <c r="E955" s="1424"/>
      <c r="F955" s="1424"/>
      <c r="G955" s="1424"/>
      <c r="H955" s="1425"/>
      <c r="I955" s="1426"/>
      <c r="J955" s="1426"/>
    </row>
    <row r="956" ht="15.75" customHeight="1">
      <c r="A956" s="1424"/>
      <c r="B956" s="1424"/>
      <c r="C956" s="1424"/>
      <c r="D956" s="1424"/>
      <c r="E956" s="1424"/>
      <c r="F956" s="1424"/>
      <c r="G956" s="1424"/>
      <c r="H956" s="1425"/>
      <c r="I956" s="1426"/>
      <c r="J956" s="1426"/>
    </row>
    <row r="957" ht="15.75" customHeight="1">
      <c r="A957" s="1424"/>
      <c r="B957" s="1424"/>
      <c r="C957" s="1424"/>
      <c r="D957" s="1424"/>
      <c r="E957" s="1424"/>
      <c r="F957" s="1424"/>
      <c r="G957" s="1424"/>
      <c r="H957" s="1425"/>
      <c r="I957" s="1426"/>
      <c r="J957" s="1426"/>
    </row>
    <row r="958" ht="15.75" customHeight="1">
      <c r="A958" s="1424"/>
      <c r="B958" s="1424"/>
      <c r="C958" s="1424"/>
      <c r="D958" s="1424"/>
      <c r="E958" s="1424"/>
      <c r="F958" s="1424"/>
      <c r="G958" s="1424"/>
      <c r="H958" s="1425"/>
      <c r="I958" s="1426"/>
      <c r="J958" s="1426"/>
    </row>
    <row r="959" ht="15.75" customHeight="1">
      <c r="A959" s="1424"/>
      <c r="B959" s="1424"/>
      <c r="C959" s="1424"/>
      <c r="D959" s="1424"/>
      <c r="E959" s="1424"/>
      <c r="F959" s="1424"/>
      <c r="G959" s="1424"/>
      <c r="H959" s="1425"/>
      <c r="I959" s="1426"/>
      <c r="J959" s="1426"/>
    </row>
    <row r="960" ht="15.75" customHeight="1">
      <c r="A960" s="1424"/>
      <c r="B960" s="1424"/>
      <c r="C960" s="1424"/>
      <c r="D960" s="1424"/>
      <c r="E960" s="1424"/>
      <c r="F960" s="1424"/>
      <c r="G960" s="1424"/>
      <c r="H960" s="1425"/>
      <c r="I960" s="1426"/>
      <c r="J960" s="1426"/>
    </row>
    <row r="961" ht="15.75" customHeight="1">
      <c r="A961" s="1424"/>
      <c r="B961" s="1424"/>
      <c r="C961" s="1424"/>
      <c r="D961" s="1424"/>
      <c r="E961" s="1424"/>
      <c r="F961" s="1424"/>
      <c r="G961" s="1424"/>
      <c r="H961" s="1425"/>
      <c r="I961" s="1426"/>
      <c r="J961" s="1426"/>
    </row>
    <row r="962" ht="15.75" customHeight="1">
      <c r="A962" s="1424"/>
      <c r="B962" s="1424"/>
      <c r="C962" s="1424"/>
      <c r="D962" s="1424"/>
      <c r="E962" s="1424"/>
      <c r="F962" s="1424"/>
      <c r="G962" s="1424"/>
      <c r="H962" s="1425"/>
      <c r="I962" s="1426"/>
      <c r="J962" s="1426"/>
    </row>
    <row r="963" ht="15.75" customHeight="1">
      <c r="A963" s="1424"/>
      <c r="B963" s="1424"/>
      <c r="C963" s="1424"/>
      <c r="D963" s="1424"/>
      <c r="E963" s="1424"/>
      <c r="F963" s="1424"/>
      <c r="G963" s="1424"/>
      <c r="H963" s="1425"/>
      <c r="I963" s="1426"/>
      <c r="J963" s="1426"/>
    </row>
    <row r="964" ht="15.75" customHeight="1">
      <c r="A964" s="1424"/>
      <c r="B964" s="1424"/>
      <c r="C964" s="1424"/>
      <c r="D964" s="1424"/>
      <c r="E964" s="1424"/>
      <c r="F964" s="1424"/>
      <c r="G964" s="1424"/>
      <c r="H964" s="1425"/>
      <c r="I964" s="1426"/>
      <c r="J964" s="1426"/>
    </row>
    <row r="965" ht="15.75" customHeight="1">
      <c r="A965" s="1424"/>
      <c r="B965" s="1424"/>
      <c r="C965" s="1424"/>
      <c r="D965" s="1424"/>
      <c r="E965" s="1424"/>
      <c r="F965" s="1424"/>
      <c r="G965" s="1424"/>
      <c r="H965" s="1425"/>
      <c r="I965" s="1426"/>
      <c r="J965" s="1426"/>
    </row>
    <row r="966" ht="15.75" customHeight="1">
      <c r="A966" s="1424"/>
      <c r="B966" s="1424"/>
      <c r="C966" s="1424"/>
      <c r="D966" s="1424"/>
      <c r="E966" s="1424"/>
      <c r="F966" s="1424"/>
      <c r="G966" s="1424"/>
      <c r="H966" s="1425"/>
      <c r="I966" s="1426"/>
      <c r="J966" s="1426"/>
    </row>
    <row r="967" ht="15.75" customHeight="1">
      <c r="A967" s="1424"/>
      <c r="B967" s="1424"/>
      <c r="C967" s="1424"/>
      <c r="D967" s="1424"/>
      <c r="E967" s="1424"/>
      <c r="F967" s="1424"/>
      <c r="G967" s="1424"/>
      <c r="H967" s="1425"/>
      <c r="I967" s="1426"/>
      <c r="J967" s="1426"/>
    </row>
    <row r="968" ht="15.75" customHeight="1">
      <c r="A968" s="1424"/>
      <c r="B968" s="1424"/>
      <c r="C968" s="1424"/>
      <c r="D968" s="1424"/>
      <c r="E968" s="1424"/>
      <c r="F968" s="1424"/>
      <c r="G968" s="1424"/>
      <c r="H968" s="1425"/>
      <c r="I968" s="1426"/>
      <c r="J968" s="1426"/>
    </row>
    <row r="969" ht="15.75" customHeight="1">
      <c r="A969" s="1424"/>
      <c r="B969" s="1424"/>
      <c r="C969" s="1424"/>
      <c r="D969" s="1424"/>
      <c r="E969" s="1424"/>
      <c r="F969" s="1424"/>
      <c r="G969" s="1424"/>
      <c r="H969" s="1425"/>
      <c r="I969" s="1426"/>
      <c r="J969" s="1426"/>
    </row>
    <row r="970" ht="15.75" customHeight="1">
      <c r="A970" s="1424"/>
      <c r="B970" s="1424"/>
      <c r="C970" s="1424"/>
      <c r="D970" s="1424"/>
      <c r="E970" s="1424"/>
      <c r="F970" s="1424"/>
      <c r="G970" s="1424"/>
      <c r="H970" s="1425"/>
      <c r="I970" s="1426"/>
      <c r="J970" s="1426"/>
    </row>
    <row r="971" ht="15.75" customHeight="1">
      <c r="A971" s="1424"/>
      <c r="B971" s="1424"/>
      <c r="C971" s="1424"/>
      <c r="D971" s="1424"/>
      <c r="E971" s="1424"/>
      <c r="F971" s="1424"/>
      <c r="G971" s="1424"/>
      <c r="H971" s="1425"/>
      <c r="I971" s="1426"/>
      <c r="J971" s="1426"/>
    </row>
    <row r="972" ht="15.75" customHeight="1">
      <c r="A972" s="1424"/>
      <c r="B972" s="1424"/>
      <c r="C972" s="1424"/>
      <c r="D972" s="1424"/>
      <c r="E972" s="1424"/>
      <c r="F972" s="1424"/>
      <c r="G972" s="1424"/>
      <c r="H972" s="1425"/>
      <c r="I972" s="1426"/>
      <c r="J972" s="1426"/>
    </row>
    <row r="973" ht="15.75" customHeight="1">
      <c r="A973" s="1424"/>
      <c r="B973" s="1424"/>
      <c r="C973" s="1424"/>
      <c r="D973" s="1424"/>
      <c r="E973" s="1424"/>
      <c r="F973" s="1424"/>
      <c r="G973" s="1424"/>
      <c r="H973" s="1425"/>
      <c r="I973" s="1426"/>
      <c r="J973" s="1426"/>
    </row>
    <row r="974" ht="15.75" customHeight="1">
      <c r="A974" s="1424"/>
      <c r="B974" s="1424"/>
      <c r="C974" s="1424"/>
      <c r="D974" s="1424"/>
      <c r="E974" s="1424"/>
      <c r="F974" s="1424"/>
      <c r="G974" s="1424"/>
      <c r="H974" s="1425"/>
      <c r="I974" s="1426"/>
      <c r="J974" s="1426"/>
    </row>
    <row r="975" ht="15.75" customHeight="1">
      <c r="A975" s="1424"/>
      <c r="B975" s="1424"/>
      <c r="C975" s="1424"/>
      <c r="D975" s="1424"/>
      <c r="E975" s="1424"/>
      <c r="F975" s="1424"/>
      <c r="G975" s="1424"/>
      <c r="H975" s="1425"/>
      <c r="I975" s="1426"/>
      <c r="J975" s="1426"/>
    </row>
    <row r="976" ht="15.75" customHeight="1">
      <c r="A976" s="1424"/>
      <c r="B976" s="1424"/>
      <c r="C976" s="1424"/>
      <c r="D976" s="1424"/>
      <c r="E976" s="1424"/>
      <c r="F976" s="1424"/>
      <c r="G976" s="1424"/>
      <c r="H976" s="1425"/>
      <c r="I976" s="1426"/>
      <c r="J976" s="1426"/>
    </row>
    <row r="977" ht="15.75" customHeight="1">
      <c r="A977" s="1424"/>
      <c r="B977" s="1424"/>
      <c r="C977" s="1424"/>
      <c r="D977" s="1424"/>
      <c r="E977" s="1424"/>
      <c r="F977" s="1424"/>
      <c r="G977" s="1424"/>
      <c r="H977" s="1425"/>
      <c r="I977" s="1426"/>
      <c r="J977" s="1426"/>
    </row>
    <row r="978" ht="15.75" customHeight="1">
      <c r="A978" s="1424"/>
      <c r="B978" s="1424"/>
      <c r="C978" s="1424"/>
      <c r="D978" s="1424"/>
      <c r="E978" s="1424"/>
      <c r="F978" s="1424"/>
      <c r="G978" s="1424"/>
      <c r="H978" s="1425"/>
      <c r="I978" s="1426"/>
      <c r="J978" s="1426"/>
    </row>
    <row r="979" ht="15.75" customHeight="1">
      <c r="A979" s="1424"/>
      <c r="B979" s="1424"/>
      <c r="C979" s="1424"/>
      <c r="D979" s="1424"/>
      <c r="E979" s="1424"/>
      <c r="F979" s="1424"/>
      <c r="G979" s="1424"/>
      <c r="H979" s="1425"/>
      <c r="I979" s="1426"/>
      <c r="J979" s="1426"/>
    </row>
    <row r="980" ht="15.75" customHeight="1">
      <c r="A980" s="1424"/>
      <c r="B980" s="1424"/>
      <c r="C980" s="1424"/>
      <c r="D980" s="1424"/>
      <c r="E980" s="1424"/>
      <c r="F980" s="1424"/>
      <c r="G980" s="1424"/>
      <c r="H980" s="1425"/>
      <c r="I980" s="1426"/>
      <c r="J980" s="1426"/>
    </row>
    <row r="981" ht="15.75" customHeight="1">
      <c r="A981" s="1424"/>
      <c r="B981" s="1424"/>
      <c r="C981" s="1424"/>
      <c r="D981" s="1424"/>
      <c r="E981" s="1424"/>
      <c r="F981" s="1424"/>
      <c r="G981" s="1424"/>
      <c r="H981" s="1425"/>
      <c r="I981" s="1426"/>
      <c r="J981" s="1426"/>
    </row>
    <row r="982" ht="15.75" customHeight="1">
      <c r="A982" s="1424"/>
      <c r="B982" s="1424"/>
      <c r="C982" s="1424"/>
      <c r="D982" s="1424"/>
      <c r="E982" s="1424"/>
      <c r="F982" s="1424"/>
      <c r="G982" s="1424"/>
      <c r="H982" s="1425"/>
      <c r="I982" s="1426"/>
      <c r="J982" s="1426"/>
    </row>
    <row r="983" ht="15.75" customHeight="1">
      <c r="A983" s="1424"/>
      <c r="B983" s="1424"/>
      <c r="C983" s="1424"/>
      <c r="D983" s="1424"/>
      <c r="E983" s="1424"/>
      <c r="F983" s="1424"/>
      <c r="G983" s="1424"/>
      <c r="H983" s="1425"/>
      <c r="I983" s="1426"/>
      <c r="J983" s="1426"/>
    </row>
    <row r="984" ht="15.75" customHeight="1">
      <c r="A984" s="1424"/>
      <c r="B984" s="1424"/>
      <c r="C984" s="1424"/>
      <c r="D984" s="1424"/>
      <c r="E984" s="1424"/>
      <c r="F984" s="1424"/>
      <c r="G984" s="1424"/>
      <c r="H984" s="1425"/>
      <c r="I984" s="1426"/>
      <c r="J984" s="1426"/>
    </row>
    <row r="985" ht="15.75" customHeight="1">
      <c r="A985" s="1424"/>
      <c r="B985" s="1424"/>
      <c r="C985" s="1424"/>
      <c r="D985" s="1424"/>
      <c r="E985" s="1424"/>
      <c r="F985" s="1424"/>
      <c r="G985" s="1424"/>
      <c r="H985" s="1425"/>
      <c r="I985" s="1426"/>
      <c r="J985" s="1426"/>
    </row>
    <row r="986" ht="15.75" customHeight="1">
      <c r="A986" s="1424"/>
      <c r="B986" s="1424"/>
      <c r="C986" s="1424"/>
      <c r="D986" s="1424"/>
      <c r="E986" s="1424"/>
      <c r="F986" s="1424"/>
      <c r="G986" s="1424"/>
      <c r="H986" s="1425"/>
      <c r="I986" s="1426"/>
      <c r="J986" s="1426"/>
    </row>
    <row r="987" ht="15.75" customHeight="1">
      <c r="A987" s="1424"/>
      <c r="B987" s="1424"/>
      <c r="C987" s="1424"/>
      <c r="D987" s="1424"/>
      <c r="E987" s="1424"/>
      <c r="F987" s="1424"/>
      <c r="G987" s="1424"/>
      <c r="H987" s="1425"/>
      <c r="I987" s="1426"/>
      <c r="J987" s="1426"/>
    </row>
    <row r="988" ht="15.75" customHeight="1">
      <c r="A988" s="1424"/>
      <c r="B988" s="1424"/>
      <c r="C988" s="1424"/>
      <c r="D988" s="1424"/>
      <c r="E988" s="1424"/>
      <c r="F988" s="1424"/>
      <c r="G988" s="1424"/>
      <c r="H988" s="1425"/>
      <c r="I988" s="1426"/>
      <c r="J988" s="1426"/>
    </row>
    <row r="989" ht="15.75" customHeight="1">
      <c r="A989" s="1424"/>
      <c r="B989" s="1424"/>
      <c r="C989" s="1424"/>
      <c r="D989" s="1424"/>
      <c r="E989" s="1424"/>
      <c r="F989" s="1424"/>
      <c r="G989" s="1424"/>
      <c r="H989" s="1425"/>
      <c r="I989" s="1426"/>
      <c r="J989" s="1426"/>
    </row>
    <row r="990" ht="15.75" customHeight="1">
      <c r="A990" s="1424"/>
      <c r="B990" s="1424"/>
      <c r="C990" s="1424"/>
      <c r="D990" s="1424"/>
      <c r="E990" s="1424"/>
      <c r="F990" s="1424"/>
      <c r="G990" s="1424"/>
      <c r="H990" s="1425"/>
      <c r="I990" s="1426"/>
      <c r="J990" s="1426"/>
    </row>
    <row r="991" ht="15.75" customHeight="1">
      <c r="A991" s="1424"/>
      <c r="B991" s="1424"/>
      <c r="C991" s="1424"/>
      <c r="D991" s="1424"/>
      <c r="E991" s="1424"/>
      <c r="F991" s="1424"/>
      <c r="G991" s="1424"/>
      <c r="H991" s="1425"/>
      <c r="I991" s="1426"/>
      <c r="J991" s="1426"/>
    </row>
    <row r="992" ht="15.75" customHeight="1">
      <c r="A992" s="1424"/>
      <c r="B992" s="1424"/>
      <c r="C992" s="1424"/>
      <c r="D992" s="1424"/>
      <c r="E992" s="1424"/>
      <c r="F992" s="1424"/>
      <c r="G992" s="1424"/>
      <c r="H992" s="1425"/>
      <c r="I992" s="1426"/>
      <c r="J992" s="1426"/>
    </row>
    <row r="993" ht="15.75" customHeight="1">
      <c r="A993" s="1424"/>
      <c r="B993" s="1424"/>
      <c r="C993" s="1424"/>
      <c r="D993" s="1424"/>
      <c r="E993" s="1424"/>
      <c r="F993" s="1424"/>
      <c r="G993" s="1424"/>
      <c r="H993" s="1425"/>
      <c r="I993" s="1426"/>
      <c r="J993" s="1426"/>
    </row>
    <row r="994" ht="15.75" customHeight="1">
      <c r="A994" s="1424"/>
      <c r="B994" s="1424"/>
      <c r="C994" s="1424"/>
      <c r="D994" s="1424"/>
      <c r="E994" s="1424"/>
      <c r="F994" s="1424"/>
      <c r="G994" s="1424"/>
      <c r="H994" s="1425"/>
      <c r="I994" s="1426"/>
      <c r="J994" s="1426"/>
    </row>
    <row r="995" ht="15.75" customHeight="1">
      <c r="A995" s="1424"/>
      <c r="B995" s="1424"/>
      <c r="C995" s="1424"/>
      <c r="D995" s="1424"/>
      <c r="E995" s="1424"/>
      <c r="F995" s="1424"/>
      <c r="G995" s="1424"/>
      <c r="H995" s="1425"/>
      <c r="I995" s="1426"/>
      <c r="J995" s="1426"/>
    </row>
    <row r="996" ht="15.75" customHeight="1">
      <c r="A996" s="1424"/>
      <c r="B996" s="1424"/>
      <c r="C996" s="1424"/>
      <c r="D996" s="1424"/>
      <c r="E996" s="1424"/>
      <c r="F996" s="1424"/>
      <c r="G996" s="1424"/>
      <c r="H996" s="1425"/>
      <c r="I996" s="1426"/>
      <c r="J996" s="1426"/>
    </row>
    <row r="997" ht="15.75" customHeight="1">
      <c r="A997" s="1424"/>
      <c r="B997" s="1424"/>
      <c r="C997" s="1424"/>
      <c r="D997" s="1424"/>
      <c r="E997" s="1424"/>
      <c r="F997" s="1424"/>
      <c r="G997" s="1424"/>
      <c r="H997" s="1425"/>
      <c r="I997" s="1426"/>
      <c r="J997" s="1426"/>
    </row>
    <row r="998" ht="15.75" customHeight="1">
      <c r="A998" s="1424"/>
      <c r="B998" s="1424"/>
      <c r="C998" s="1424"/>
      <c r="D998" s="1424"/>
      <c r="E998" s="1424"/>
      <c r="F998" s="1424"/>
      <c r="G998" s="1424"/>
      <c r="H998" s="1425"/>
      <c r="I998" s="1426"/>
      <c r="J998" s="1426"/>
    </row>
    <row r="999" ht="15.75" customHeight="1">
      <c r="A999" s="1424"/>
      <c r="B999" s="1424"/>
      <c r="C999" s="1424"/>
      <c r="D999" s="1424"/>
      <c r="E999" s="1424"/>
      <c r="F999" s="1424"/>
      <c r="G999" s="1424"/>
      <c r="H999" s="1425"/>
      <c r="I999" s="1426"/>
      <c r="J999" s="1426"/>
    </row>
    <row r="1000" ht="15.75" customHeight="1">
      <c r="A1000" s="1424"/>
      <c r="B1000" s="1424"/>
      <c r="C1000" s="1424"/>
      <c r="D1000" s="1424"/>
      <c r="E1000" s="1424"/>
      <c r="F1000" s="1424"/>
      <c r="G1000" s="1424"/>
      <c r="H1000" s="1425"/>
      <c r="I1000" s="1426"/>
      <c r="J1000" s="1426"/>
    </row>
  </sheetData>
  <mergeCells count="13">
    <mergeCell ref="O43:O44"/>
    <mergeCell ref="Q43:Q44"/>
    <mergeCell ref="C43:F44"/>
    <mergeCell ref="C47:E47"/>
    <mergeCell ref="C48:E48"/>
    <mergeCell ref="C49:E49"/>
    <mergeCell ref="Q2:S2"/>
    <mergeCell ref="C38:F38"/>
    <mergeCell ref="G43:G44"/>
    <mergeCell ref="I43:I44"/>
    <mergeCell ref="K43:K44"/>
    <mergeCell ref="M43:M44"/>
    <mergeCell ref="S43:S44"/>
  </mergeCells>
  <printOptions/>
  <pageMargins bottom="0.5" footer="0.0" header="0.0" left="0.5" right="0.45" top="0.5"/>
  <pageSetup orientation="landscape"/>
  <headerFooter>
    <oddFooter/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7">
    <pageSetUpPr/>
  </sheetPr>
  <sheetViews>
    <sheetView workbookViewId="0"/>
  </sheetViews>
  <sheetFormatPr customHeight="1" defaultColWidth="12.63" defaultRowHeight="15.0" outlineLevelCol="1"/>
  <cols>
    <col customWidth="1" min="1" max="1" width="1.13"/>
    <col customWidth="1" min="2" max="2" width="3.75"/>
    <col customWidth="1" min="3" max="3" width="28.38"/>
    <col customWidth="1" min="4" max="4" width="2.0"/>
    <col customWidth="1" min="5" max="5" width="3.13"/>
    <col customWidth="1" min="6" max="7" width="5.63"/>
    <col customWidth="1" min="8" max="8" width="2.0"/>
    <col customWidth="1" min="9" max="9" width="5.63"/>
    <col customWidth="1" min="10" max="10" width="3.63"/>
    <col customWidth="1" min="11" max="11" width="5.63"/>
    <col customWidth="1" min="12" max="12" width="2.13"/>
    <col customWidth="1" min="13" max="13" width="5.63"/>
    <col customWidth="1" min="14" max="14" width="10.0"/>
    <col customWidth="1" min="15" max="15" width="10.63"/>
    <col customWidth="1" min="16" max="16" width="1.5"/>
    <col customWidth="1" min="17" max="17" width="5.5"/>
    <col customWidth="1" min="18" max="18" width="2.13"/>
    <col customWidth="1" min="19" max="19" width="5.5"/>
    <col customWidth="1" min="20" max="20" width="5.88"/>
    <col customWidth="1" min="21" max="21" width="10.63"/>
    <col customWidth="1" min="22" max="22" width="4.13"/>
    <col customWidth="1" min="23" max="23" width="5.63"/>
    <col customWidth="1" min="24" max="24" width="2.0"/>
    <col customWidth="1" min="25" max="25" width="5.88"/>
    <col customWidth="1" min="26" max="26" width="7.25"/>
    <col customWidth="1" min="27" max="27" width="10.63"/>
    <col customWidth="1" min="28" max="28" width="6.63"/>
    <col customWidth="1" min="29" max="32" width="10.63"/>
    <col customWidth="1" min="33" max="33" width="12.75"/>
    <col customWidth="1" min="34" max="34" width="25.5"/>
    <col customWidth="1" min="35" max="35" width="11.75"/>
    <col customWidth="1" min="36" max="36" width="5.25"/>
    <col customWidth="1" min="37" max="37" width="8.25"/>
    <col customWidth="1" min="38" max="38" width="11.63"/>
    <col customWidth="1" min="39" max="39" width="5.25"/>
    <col customWidth="1" min="40" max="41" width="1.63"/>
    <col customWidth="1" min="42" max="42" width="5.13"/>
    <col customWidth="1" min="43" max="43" width="11.63"/>
    <col customWidth="1" min="44" max="44" width="6.0"/>
    <col customWidth="1" min="45" max="46" width="1.63"/>
    <col customWidth="1" min="47" max="47" width="4.63"/>
    <col customWidth="1" min="48" max="48" width="11.63"/>
    <col customWidth="1" min="49" max="49" width="6.38"/>
  </cols>
  <sheetData>
    <row r="1" ht="65.25" customHeight="1">
      <c r="A1" s="1"/>
      <c r="B1" s="1"/>
      <c r="C1" s="1"/>
      <c r="D1" s="1"/>
      <c r="E1" s="1"/>
      <c r="F1" s="1"/>
      <c r="G1" s="1"/>
      <c r="H1" s="1"/>
      <c r="I1" s="1"/>
      <c r="J1" s="1457" t="str">
        <f>'F Population'!B1</f>
        <v>Example University</v>
      </c>
      <c r="K1" s="1457"/>
      <c r="L1" s="1457"/>
      <c r="M1" s="1457"/>
      <c r="N1" s="1457"/>
      <c r="O1" s="1457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81"/>
    </row>
    <row r="2" ht="10.5" customHeight="1">
      <c r="A2" s="1"/>
      <c r="B2" s="1"/>
      <c r="C2" s="1"/>
      <c r="D2" s="1"/>
      <c r="E2" s="1"/>
      <c r="F2" s="1"/>
      <c r="G2" s="1"/>
      <c r="H2" s="1"/>
      <c r="I2" s="1458" t="s">
        <v>883</v>
      </c>
      <c r="J2" s="147"/>
      <c r="K2" s="147"/>
      <c r="L2" s="147"/>
      <c r="M2" s="27"/>
      <c r="N2" s="1459" t="str">
        <f>'F Population'!U6</f>
        <v>2027 - 28</v>
      </c>
      <c r="O2" s="1460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461" t="s">
        <v>884</v>
      </c>
      <c r="AJ2" s="27"/>
      <c r="AK2" s="81"/>
      <c r="AL2" s="1461" t="s">
        <v>885</v>
      </c>
      <c r="AM2" s="27"/>
      <c r="AN2" s="81"/>
      <c r="AO2" s="81"/>
      <c r="AP2" s="81"/>
      <c r="AQ2" s="1461" t="s">
        <v>886</v>
      </c>
      <c r="AR2" s="27"/>
      <c r="AS2" s="81"/>
      <c r="AT2" s="81"/>
      <c r="AU2" s="81"/>
      <c r="AV2" s="1461" t="s">
        <v>887</v>
      </c>
      <c r="AW2" s="27"/>
    </row>
    <row r="3" ht="9.0" customHeight="1">
      <c r="A3" s="1"/>
      <c r="B3" s="1"/>
      <c r="C3" s="1"/>
      <c r="D3" s="1"/>
      <c r="E3" s="1"/>
      <c r="F3" s="1"/>
      <c r="G3" s="1"/>
      <c r="H3" s="1"/>
      <c r="I3" s="1462"/>
      <c r="J3" s="1463"/>
      <c r="K3" s="1463"/>
      <c r="L3" s="1463"/>
      <c r="M3" s="1464"/>
      <c r="N3" s="146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37"/>
      <c r="AJ3" s="38"/>
      <c r="AK3" s="1"/>
      <c r="AL3" s="37"/>
      <c r="AM3" s="38"/>
      <c r="AN3" s="1"/>
      <c r="AO3" s="1"/>
      <c r="AP3" s="1"/>
      <c r="AQ3" s="37"/>
      <c r="AR3" s="38"/>
      <c r="AS3" s="1"/>
      <c r="AT3" s="1"/>
      <c r="AU3" s="1"/>
      <c r="AV3" s="37"/>
      <c r="AW3" s="38"/>
    </row>
    <row r="4" ht="7.5" customHeight="1">
      <c r="A4" s="1"/>
      <c r="B4" s="1466" t="s">
        <v>888</v>
      </c>
      <c r="C4" s="1467"/>
      <c r="D4" s="1468"/>
      <c r="E4" s="1468"/>
      <c r="F4" s="1468"/>
      <c r="G4" s="1468"/>
      <c r="H4" s="1468"/>
      <c r="I4" s="1469"/>
      <c r="J4" s="1470"/>
      <c r="K4" s="1470"/>
      <c r="L4" s="1470"/>
      <c r="M4" s="1471"/>
      <c r="N4" s="1471"/>
      <c r="O4" s="1471"/>
      <c r="P4" s="1468"/>
      <c r="Q4" s="1468"/>
      <c r="R4" s="1468"/>
      <c r="S4" s="1468"/>
      <c r="T4" s="1468"/>
      <c r="U4" s="1468"/>
      <c r="V4" s="1468"/>
      <c r="W4" s="1468"/>
      <c r="X4" s="1468"/>
      <c r="Y4" s="1468"/>
      <c r="Z4" s="1468"/>
      <c r="AA4" s="1472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81"/>
    </row>
    <row r="5" ht="14.25" customHeight="1">
      <c r="A5" s="1"/>
      <c r="B5" s="43"/>
      <c r="C5" s="38"/>
      <c r="D5" s="1473"/>
      <c r="E5" s="1473"/>
      <c r="F5" s="1473"/>
      <c r="G5" s="1474" t="s">
        <v>884</v>
      </c>
      <c r="H5" s="13"/>
      <c r="I5" s="14"/>
      <c r="J5" s="1473"/>
      <c r="K5" s="1474" t="s">
        <v>885</v>
      </c>
      <c r="L5" s="13"/>
      <c r="M5" s="14"/>
      <c r="N5" s="1475" t="s">
        <v>889</v>
      </c>
      <c r="O5" s="1476" t="s">
        <v>890</v>
      </c>
      <c r="P5" s="1473"/>
      <c r="Q5" s="1474" t="s">
        <v>886</v>
      </c>
      <c r="R5" s="13"/>
      <c r="S5" s="14"/>
      <c r="T5" s="1475" t="s">
        <v>889</v>
      </c>
      <c r="U5" s="1476" t="s">
        <v>890</v>
      </c>
      <c r="V5" s="1473"/>
      <c r="W5" s="1474" t="s">
        <v>887</v>
      </c>
      <c r="X5" s="13"/>
      <c r="Y5" s="14"/>
      <c r="Z5" s="1475" t="s">
        <v>889</v>
      </c>
      <c r="AA5" s="1477" t="s">
        <v>890</v>
      </c>
      <c r="AB5" s="52"/>
      <c r="AC5" s="52"/>
      <c r="AD5" s="52"/>
      <c r="AE5" s="52"/>
      <c r="AF5" s="52"/>
      <c r="AG5" s="81"/>
      <c r="AH5" s="1" t="s">
        <v>891</v>
      </c>
      <c r="AI5" s="81"/>
      <c r="AJ5" s="81"/>
      <c r="AK5" s="81"/>
      <c r="AL5" s="1478">
        <f>IF((K46-$G46)&lt;&gt;0,(K46-K7)/($G46-$G7),1)</f>
        <v>1</v>
      </c>
      <c r="AM5" s="199"/>
      <c r="AN5" s="199"/>
      <c r="AO5" s="199"/>
      <c r="AP5" s="199"/>
      <c r="AQ5" s="1478">
        <f>IF((Q46-$G46)&lt;&gt;0,(Q46-Q7)/($G46-$G7),1)</f>
        <v>1</v>
      </c>
      <c r="AR5" s="199"/>
      <c r="AS5" s="199"/>
      <c r="AT5" s="199"/>
      <c r="AU5" s="1479"/>
      <c r="AV5" s="1478">
        <f>IF((W46-$G46)&lt;&gt;0,(W46-W7)/($G46-$G7),1)</f>
        <v>1</v>
      </c>
      <c r="AW5" s="81"/>
    </row>
    <row r="6" ht="4.5" customHeight="1">
      <c r="A6" s="1"/>
      <c r="B6" s="1480"/>
      <c r="C6" s="1481"/>
      <c r="D6" s="1473"/>
      <c r="E6" s="1473"/>
      <c r="F6" s="1473"/>
      <c r="G6" s="1473"/>
      <c r="H6" s="1473"/>
      <c r="I6" s="1473"/>
      <c r="J6" s="1473"/>
      <c r="K6" s="1473"/>
      <c r="L6" s="1473"/>
      <c r="M6" s="1473"/>
      <c r="N6" s="1473"/>
      <c r="O6" s="1473"/>
      <c r="P6" s="1473"/>
      <c r="Q6" s="1473"/>
      <c r="R6" s="1473"/>
      <c r="S6" s="1473"/>
      <c r="T6" s="1473"/>
      <c r="U6" s="1473"/>
      <c r="V6" s="1473"/>
      <c r="W6" s="1473"/>
      <c r="X6" s="1473"/>
      <c r="Y6" s="1473"/>
      <c r="Z6" s="1473"/>
      <c r="AA6" s="1482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ht="14.25" customHeight="1">
      <c r="A7" s="1"/>
      <c r="B7" s="1480"/>
      <c r="C7" s="1481" t="s">
        <v>892</v>
      </c>
      <c r="D7" s="1473"/>
      <c r="E7" s="1473"/>
      <c r="F7" s="1473"/>
      <c r="G7" s="1483">
        <f>'F Population'!U9</f>
        <v>580</v>
      </c>
      <c r="H7" s="35"/>
      <c r="I7" s="21"/>
      <c r="J7" s="1473"/>
      <c r="K7" s="1484"/>
      <c r="L7" s="20"/>
      <c r="M7" s="22"/>
      <c r="N7" s="1485" t="str">
        <f>IF(K7&lt;&gt;"",IF($G7&lt;&gt;0,K7/$G7-1,""),"")</f>
        <v/>
      </c>
      <c r="O7" s="1486" t="str">
        <f>IF(K7&gt;0,K7-$G7,"-")</f>
        <v>-</v>
      </c>
      <c r="P7" s="1473"/>
      <c r="Q7" s="1484"/>
      <c r="R7" s="20"/>
      <c r="S7" s="22"/>
      <c r="T7" s="1485" t="str">
        <f>IF(Q7&lt;&gt;"",IF($G7&lt;&gt;0,Q7/$G7-1,""),"")</f>
        <v/>
      </c>
      <c r="U7" s="1486" t="str">
        <f>IF(Q7&gt;0,Q7-$G7,"-")</f>
        <v>-</v>
      </c>
      <c r="V7" s="1473"/>
      <c r="W7" s="1484"/>
      <c r="X7" s="20"/>
      <c r="Y7" s="22"/>
      <c r="Z7" s="1485" t="str">
        <f>IF(W7&lt;&gt;"",IF($G7&lt;&gt;0,W7/$G7-1,""),"")</f>
        <v/>
      </c>
      <c r="AA7" s="1487" t="str">
        <f>IF(W7&gt;0,W7-$G7,"-")</f>
        <v>-</v>
      </c>
      <c r="AB7" s="81"/>
      <c r="AC7" s="81"/>
      <c r="AD7" s="81"/>
      <c r="AE7" s="81"/>
      <c r="AF7" s="81"/>
      <c r="AG7" s="81"/>
      <c r="AH7" s="1" t="s">
        <v>893</v>
      </c>
      <c r="AI7" s="81"/>
      <c r="AJ7" s="81"/>
      <c r="AK7" s="81"/>
      <c r="AL7" s="1478">
        <f>SUM(AL23:AL29)/SUM($AI23:$AI29)</f>
        <v>1</v>
      </c>
      <c r="AM7" s="199"/>
      <c r="AN7" s="199"/>
      <c r="AO7" s="199"/>
      <c r="AP7" s="199"/>
      <c r="AQ7" s="1478">
        <f>SUM(AQ23:AQ29)/SUM($AI23:$AI29)</f>
        <v>1</v>
      </c>
      <c r="AR7" s="199"/>
      <c r="AS7" s="199"/>
      <c r="AT7" s="199"/>
      <c r="AU7" s="1006"/>
      <c r="AV7" s="1478">
        <f>SUM(AV23:AV29)/SUM($AI23:$AI29)</f>
        <v>1</v>
      </c>
      <c r="AW7" s="81"/>
    </row>
    <row r="8" ht="4.5" customHeight="1">
      <c r="A8" s="1"/>
      <c r="B8" s="1480"/>
      <c r="C8" s="1481"/>
      <c r="D8" s="1473"/>
      <c r="E8" s="1473"/>
      <c r="F8" s="1473"/>
      <c r="G8" s="1489"/>
      <c r="H8" s="1489"/>
      <c r="I8" s="1490"/>
      <c r="J8" s="1473"/>
      <c r="K8" s="1490"/>
      <c r="L8" s="1490"/>
      <c r="M8" s="1473"/>
      <c r="N8" s="1491"/>
      <c r="O8" s="1490"/>
      <c r="P8" s="1473"/>
      <c r="Q8" s="1490"/>
      <c r="R8" s="1490"/>
      <c r="S8" s="1473"/>
      <c r="T8" s="1491"/>
      <c r="U8" s="1490"/>
      <c r="V8" s="1473"/>
      <c r="W8" s="1490"/>
      <c r="X8" s="1490"/>
      <c r="Y8" s="1473"/>
      <c r="Z8" s="1491"/>
      <c r="AA8" s="1492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1141"/>
      <c r="AM8" s="1141"/>
      <c r="AN8" s="1141"/>
      <c r="AO8" s="1141"/>
      <c r="AP8" s="1141"/>
      <c r="AQ8" s="1141"/>
      <c r="AR8" s="1141"/>
      <c r="AS8" s="1141"/>
      <c r="AT8" s="1141"/>
      <c r="AU8" s="1141"/>
      <c r="AV8" s="1141"/>
      <c r="AW8" s="81"/>
    </row>
    <row r="9" ht="14.25" customHeight="1">
      <c r="A9" s="1"/>
      <c r="B9" s="1480"/>
      <c r="C9" s="1481" t="s">
        <v>894</v>
      </c>
      <c r="D9" s="1473"/>
      <c r="E9" s="1493" t="s">
        <v>895</v>
      </c>
      <c r="F9" s="944"/>
      <c r="G9" s="1494">
        <f>'F Population'!U23</f>
        <v>45</v>
      </c>
      <c r="H9" s="35"/>
      <c r="I9" s="21"/>
      <c r="J9" s="1473"/>
      <c r="K9" s="1484"/>
      <c r="L9" s="20"/>
      <c r="M9" s="22"/>
      <c r="N9" s="1485" t="str">
        <f>IF(K9&lt;&gt;"",IF($G9&lt;&gt;0,K9/$G9-1,""),"")</f>
        <v/>
      </c>
      <c r="O9" s="1486" t="str">
        <f>IF(K9&gt;0,K9-$G9,"-")</f>
        <v>-</v>
      </c>
      <c r="P9" s="1473"/>
      <c r="Q9" s="1484"/>
      <c r="R9" s="20"/>
      <c r="S9" s="22"/>
      <c r="T9" s="1485" t="str">
        <f>IF(Q9&lt;&gt;"",IF($G9&lt;&gt;0,Q9/$G9-1,""),"")</f>
        <v/>
      </c>
      <c r="U9" s="1486" t="str">
        <f>IF(Q9&gt;0,Q9-$G9,"-")</f>
        <v>-</v>
      </c>
      <c r="V9" s="1473"/>
      <c r="W9" s="1484"/>
      <c r="X9" s="20"/>
      <c r="Y9" s="22"/>
      <c r="Z9" s="1485" t="str">
        <f>IF(W9&lt;&gt;"",IF($G9&lt;&gt;0,W9/$G9-1,""),"")</f>
        <v/>
      </c>
      <c r="AA9" s="1487" t="str">
        <f>IF(W9&gt;0,W9-$G9,"-")</f>
        <v>-</v>
      </c>
      <c r="AB9" s="81"/>
      <c r="AC9" s="81"/>
      <c r="AD9" s="81"/>
      <c r="AE9" s="81"/>
      <c r="AF9" s="81"/>
      <c r="AG9" s="81"/>
      <c r="AH9" s="1" t="s">
        <v>896</v>
      </c>
      <c r="AI9" s="81"/>
      <c r="AJ9" s="81"/>
      <c r="AK9" s="81"/>
      <c r="AL9" s="1478">
        <f>IF(K15&lt;&gt;"",K15/$G15,1)</f>
        <v>1</v>
      </c>
      <c r="AM9" s="199"/>
      <c r="AN9" s="199"/>
      <c r="AO9" s="199"/>
      <c r="AP9" s="199"/>
      <c r="AQ9" s="1478">
        <f>IF(Q15&lt;&gt;"",Q15/$G15,1)</f>
        <v>1</v>
      </c>
      <c r="AR9" s="199"/>
      <c r="AS9" s="199"/>
      <c r="AT9" s="199"/>
      <c r="AU9" s="1479"/>
      <c r="AV9" s="1478">
        <f>IF(W15&lt;&gt;"",W15/$G15,1)</f>
        <v>1</v>
      </c>
      <c r="AW9" s="81">
        <f>W9-$G9</f>
        <v>-45</v>
      </c>
    </row>
    <row r="10" ht="4.5" customHeight="1">
      <c r="A10" s="1"/>
      <c r="B10" s="1480"/>
      <c r="C10" s="1481"/>
      <c r="D10" s="1473"/>
      <c r="E10" s="1495"/>
      <c r="F10" s="1496"/>
      <c r="G10" s="1489"/>
      <c r="H10" s="1489"/>
      <c r="I10" s="1490"/>
      <c r="J10" s="1473"/>
      <c r="K10" s="1490"/>
      <c r="L10" s="1490"/>
      <c r="M10" s="1473"/>
      <c r="N10" s="1491"/>
      <c r="O10" s="1490"/>
      <c r="P10" s="1473"/>
      <c r="Q10" s="1490"/>
      <c r="R10" s="1490"/>
      <c r="S10" s="1473"/>
      <c r="T10" s="1491"/>
      <c r="U10" s="1490"/>
      <c r="V10" s="1473"/>
      <c r="W10" s="1490"/>
      <c r="X10" s="1490"/>
      <c r="Y10" s="1473"/>
      <c r="Z10" s="1491"/>
      <c r="AA10" s="1492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</row>
    <row r="11" ht="15.0" customHeight="1">
      <c r="A11" s="1"/>
      <c r="B11" s="1480"/>
      <c r="C11" s="1481" t="s">
        <v>897</v>
      </c>
      <c r="D11" s="1473"/>
      <c r="E11" s="1497">
        <v>0.1</v>
      </c>
      <c r="F11" s="22"/>
      <c r="G11" s="1498">
        <f>'F Population'!U25</f>
        <v>1508</v>
      </c>
      <c r="H11" s="35"/>
      <c r="I11" s="21"/>
      <c r="J11" s="1473"/>
      <c r="K11" s="1484"/>
      <c r="L11" s="20"/>
      <c r="M11" s="22"/>
      <c r="N11" s="1485" t="str">
        <f>IF(K11&lt;&gt;"",IF($G11&lt;&gt;0,K11/$G11-1,""),"")</f>
        <v/>
      </c>
      <c r="O11" s="1486" t="str">
        <f>IF(K11&gt;0,K11-$G11,"-")</f>
        <v>-</v>
      </c>
      <c r="P11" s="1473"/>
      <c r="Q11" s="1484"/>
      <c r="R11" s="20"/>
      <c r="S11" s="22"/>
      <c r="T11" s="1485" t="str">
        <f>IF(Q11&lt;&gt;"",IF($G11&lt;&gt;0,Q11/$G11-1,""),"")</f>
        <v/>
      </c>
      <c r="U11" s="1486" t="str">
        <f>IF(Q11&gt;0,Q11-$G11,"-")</f>
        <v>-</v>
      </c>
      <c r="V11" s="1473"/>
      <c r="W11" s="1484"/>
      <c r="X11" s="20"/>
      <c r="Y11" s="22"/>
      <c r="Z11" s="1485" t="str">
        <f>IF(W11&lt;&gt;"",IF($G11&lt;&gt;0,W11/$G11-1,""),"")</f>
        <v/>
      </c>
      <c r="AA11" s="1487" t="str">
        <f>IF(W11&gt;0,W11-$G11,"-")</f>
        <v>-</v>
      </c>
      <c r="AB11" s="81"/>
      <c r="AC11" s="81"/>
      <c r="AD11" s="81"/>
      <c r="AE11" s="81"/>
      <c r="AF11" s="81"/>
      <c r="AG11" s="81"/>
      <c r="AH11" s="81" t="s">
        <v>898</v>
      </c>
      <c r="AI11" s="81"/>
      <c r="AJ11" s="81"/>
      <c r="AK11" s="81"/>
      <c r="AL11" s="1478">
        <f>IF(K7&lt;&gt;"",K7/$G7,1)</f>
        <v>1</v>
      </c>
      <c r="AM11" s="81"/>
      <c r="AN11" s="81"/>
      <c r="AO11" s="81"/>
      <c r="AP11" s="81"/>
      <c r="AQ11" s="1478">
        <f>IF(Q7&lt;&gt;"",Q7/$G7,1)</f>
        <v>1</v>
      </c>
      <c r="AR11" s="81"/>
      <c r="AS11" s="81"/>
      <c r="AT11" s="81"/>
      <c r="AU11" s="81"/>
      <c r="AV11" s="1478">
        <f>IF(W7&lt;&gt;"",W7/$G7,1)</f>
        <v>1</v>
      </c>
      <c r="AW11" s="81"/>
    </row>
    <row r="12" ht="4.5" customHeight="1">
      <c r="A12" s="1"/>
      <c r="B12" s="1480"/>
      <c r="C12" s="1481"/>
      <c r="D12" s="1473"/>
      <c r="E12" s="1473"/>
      <c r="F12" s="1473"/>
      <c r="G12" s="1489"/>
      <c r="H12" s="1489"/>
      <c r="I12" s="1490"/>
      <c r="J12" s="1473"/>
      <c r="K12" s="1490"/>
      <c r="L12" s="1490"/>
      <c r="M12" s="1473"/>
      <c r="N12" s="1491"/>
      <c r="O12" s="1490"/>
      <c r="P12" s="1473"/>
      <c r="Q12" s="1490"/>
      <c r="R12" s="1490"/>
      <c r="S12" s="1473"/>
      <c r="T12" s="1491"/>
      <c r="U12" s="1490"/>
      <c r="V12" s="1473"/>
      <c r="W12" s="1490"/>
      <c r="X12" s="1490"/>
      <c r="Y12" s="1473"/>
      <c r="Z12" s="1485"/>
      <c r="AA12" s="1487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1478"/>
      <c r="AM12" s="81"/>
      <c r="AN12" s="81"/>
      <c r="AO12" s="81"/>
      <c r="AP12" s="81"/>
      <c r="AQ12" s="1478"/>
      <c r="AR12" s="81"/>
      <c r="AS12" s="81"/>
      <c r="AT12" s="81"/>
      <c r="AU12" s="81"/>
      <c r="AV12" s="1478"/>
      <c r="AW12" s="81"/>
    </row>
    <row r="13" ht="15.0" customHeight="1">
      <c r="A13" s="1"/>
      <c r="B13" s="1480"/>
      <c r="C13" s="1481" t="s">
        <v>900</v>
      </c>
      <c r="D13" s="1473"/>
      <c r="E13" s="1473"/>
      <c r="F13" s="1473"/>
      <c r="G13" s="1499">
        <f>'F Population'!S74</f>
        <v>136.7114264</v>
      </c>
      <c r="H13" s="35"/>
      <c r="I13" s="21"/>
      <c r="J13" s="1473"/>
      <c r="K13" s="1500"/>
      <c r="L13" s="20"/>
      <c r="M13" s="22"/>
      <c r="N13" s="1485" t="str">
        <f>IF(K13&lt;&gt;"",IF($G13&lt;&gt;0,K13/$G13-1,""),"")</f>
        <v/>
      </c>
      <c r="O13" s="1501" t="str">
        <f>IF(K13&gt;0,K13-$G13,"-")</f>
        <v>-</v>
      </c>
      <c r="P13" s="1473"/>
      <c r="Q13" s="1500"/>
      <c r="R13" s="20"/>
      <c r="S13" s="22"/>
      <c r="T13" s="1485" t="str">
        <f>IF(Q13&lt;&gt;"",IF($G13&lt;&gt;0,Q13/$G13-1,""),"")</f>
        <v/>
      </c>
      <c r="U13" s="1501" t="str">
        <f>IF(Q13&gt;0,Q13-$G13,"-")</f>
        <v>-</v>
      </c>
      <c r="V13" s="1473"/>
      <c r="W13" s="1500"/>
      <c r="X13" s="20"/>
      <c r="Y13" s="22"/>
      <c r="Z13" s="1485" t="str">
        <f>IF(W13&lt;&gt;"",IF($G13&lt;&gt;0,W13/$G13-1,""),"")</f>
        <v/>
      </c>
      <c r="AA13" s="1503" t="str">
        <f>IF(W13&gt;0,W13-$G13,"-")</f>
        <v>-</v>
      </c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</row>
    <row r="14" ht="4.5" customHeight="1">
      <c r="A14" s="1"/>
      <c r="B14" s="1480"/>
      <c r="C14" s="1481"/>
      <c r="D14" s="1473"/>
      <c r="E14" s="1473"/>
      <c r="F14" s="1473"/>
      <c r="G14" s="1489"/>
      <c r="H14" s="1489"/>
      <c r="I14" s="1490"/>
      <c r="J14" s="1473"/>
      <c r="K14" s="1490"/>
      <c r="L14" s="1490"/>
      <c r="M14" s="1473"/>
      <c r="N14" s="1491"/>
      <c r="O14" s="1490"/>
      <c r="P14" s="1473"/>
      <c r="Q14" s="1490"/>
      <c r="R14" s="1490"/>
      <c r="S14" s="1473"/>
      <c r="T14" s="1491"/>
      <c r="U14" s="1490"/>
      <c r="V14" s="1473"/>
      <c r="W14" s="1490"/>
      <c r="X14" s="1490"/>
      <c r="Y14" s="1473"/>
      <c r="Z14" s="1491"/>
      <c r="AA14" s="1492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1478"/>
      <c r="AM14" s="81"/>
      <c r="AN14" s="81"/>
      <c r="AO14" s="81"/>
      <c r="AP14" s="81"/>
      <c r="AQ14" s="1504"/>
      <c r="AR14" s="81"/>
      <c r="AS14" s="81"/>
      <c r="AT14" s="81"/>
      <c r="AU14" s="81"/>
      <c r="AV14" s="1504"/>
      <c r="AW14" s="81"/>
    </row>
    <row r="15" ht="14.25" customHeight="1">
      <c r="A15" s="1"/>
      <c r="B15" s="1480"/>
      <c r="C15" s="1481" t="s">
        <v>901</v>
      </c>
      <c r="D15" s="1473"/>
      <c r="E15" s="1473"/>
      <c r="F15" s="1473"/>
      <c r="G15" s="1505">
        <f>ROUND('G Price-Aid'!F62,3)</f>
        <v>0.51</v>
      </c>
      <c r="H15" s="35"/>
      <c r="I15" s="21"/>
      <c r="J15" s="1473"/>
      <c r="K15" s="1506"/>
      <c r="L15" s="20"/>
      <c r="M15" s="22"/>
      <c r="N15" s="1485" t="str">
        <f>IF(K15&lt;&gt;"",IF($G15&lt;&gt;0,K15-$G15,""),"")</f>
        <v/>
      </c>
      <c r="O15" s="1507" t="str">
        <f>IF(K15&lt;&gt;"","points","")</f>
        <v/>
      </c>
      <c r="P15" s="1473"/>
      <c r="Q15" s="1506"/>
      <c r="R15" s="20"/>
      <c r="S15" s="22"/>
      <c r="T15" s="1485" t="str">
        <f>IF(Q15&lt;&gt;"",IF($G15&lt;&gt;0,Q15-$G15,""),"")</f>
        <v/>
      </c>
      <c r="U15" s="1507" t="str">
        <f>IF(Q15&lt;&gt;"","points","")</f>
        <v/>
      </c>
      <c r="V15" s="1473"/>
      <c r="W15" s="1506"/>
      <c r="X15" s="20"/>
      <c r="Y15" s="22"/>
      <c r="Z15" s="1485" t="str">
        <f>IF(W15&lt;&gt;"",IF($G15&lt;&gt;0,W15-$G15,""),"")</f>
        <v/>
      </c>
      <c r="AA15" s="1508" t="str">
        <f>IF(W15&lt;&gt;"","points","")</f>
        <v/>
      </c>
      <c r="AB15" s="81"/>
      <c r="AC15" s="81"/>
      <c r="AD15" s="81"/>
      <c r="AE15" s="81"/>
      <c r="AF15" s="81"/>
      <c r="AG15" s="81"/>
      <c r="AH15" s="81" t="s">
        <v>902</v>
      </c>
      <c r="AI15" s="1509">
        <v>1.0</v>
      </c>
      <c r="AJ15" s="81"/>
      <c r="AK15" s="81"/>
      <c r="AL15" s="1478">
        <f>(AL27+AL29)/($AI27+$AI29)</f>
        <v>1</v>
      </c>
      <c r="AM15" s="81">
        <f>K9-$G9</f>
        <v>-45</v>
      </c>
      <c r="AN15" s="81"/>
      <c r="AO15" s="81"/>
      <c r="AP15" s="81"/>
      <c r="AQ15" s="1478">
        <f>(AQ27+AQ29)/($AI27+$AI29)</f>
        <v>1</v>
      </c>
      <c r="AR15" s="81">
        <f>Q9-$G9</f>
        <v>-45</v>
      </c>
      <c r="AS15" s="81"/>
      <c r="AT15" s="81"/>
      <c r="AU15" s="81"/>
      <c r="AV15" s="1478">
        <f>(AV27+AV29)/($AI27+$AI29)</f>
        <v>1</v>
      </c>
      <c r="AW15" s="81"/>
    </row>
    <row r="16" ht="4.5" customHeight="1">
      <c r="A16" s="1"/>
      <c r="B16" s="1480"/>
      <c r="C16" s="1481"/>
      <c r="D16" s="1473"/>
      <c r="E16" s="1473"/>
      <c r="F16" s="1473"/>
      <c r="G16" s="1490"/>
      <c r="H16" s="1490"/>
      <c r="I16" s="1510"/>
      <c r="J16" s="1473"/>
      <c r="K16" s="1490"/>
      <c r="L16" s="1490"/>
      <c r="M16" s="1473"/>
      <c r="N16" s="1491"/>
      <c r="O16" s="1510"/>
      <c r="P16" s="1473"/>
      <c r="Q16" s="1490"/>
      <c r="R16" s="1490"/>
      <c r="S16" s="1473"/>
      <c r="T16" s="1491"/>
      <c r="U16" s="1510"/>
      <c r="V16" s="1473"/>
      <c r="W16" s="1490"/>
      <c r="X16" s="1490"/>
      <c r="Y16" s="1473"/>
      <c r="Z16" s="1491"/>
      <c r="AA16" s="1511"/>
      <c r="AB16" s="129"/>
      <c r="AC16" s="129"/>
      <c r="AD16" s="129"/>
      <c r="AE16" s="129"/>
      <c r="AF16" s="129"/>
      <c r="AG16" s="81"/>
      <c r="AH16" s="81"/>
      <c r="AI16" s="1509"/>
      <c r="AJ16" s="81"/>
      <c r="AK16" s="81"/>
      <c r="AL16" s="1478"/>
      <c r="AM16" s="81"/>
      <c r="AN16" s="81"/>
      <c r="AO16" s="81"/>
      <c r="AP16" s="81"/>
      <c r="AQ16" s="1512"/>
      <c r="AR16" s="81"/>
      <c r="AS16" s="81"/>
      <c r="AT16" s="81"/>
      <c r="AU16" s="81"/>
      <c r="AV16" s="1512"/>
      <c r="AW16" s="81"/>
    </row>
    <row r="17" ht="15.0" customHeight="1">
      <c r="A17" s="1"/>
      <c r="B17" s="1480"/>
      <c r="C17" s="1481" t="s">
        <v>903</v>
      </c>
      <c r="D17" s="1473"/>
      <c r="E17" s="1473"/>
      <c r="F17" s="1473"/>
      <c r="G17" s="1505">
        <f>ROUND('G Price-Aid'!H22/'G Price-Aid'!F22-1,3)</f>
        <v>0.02</v>
      </c>
      <c r="H17" s="35"/>
      <c r="I17" s="21"/>
      <c r="J17" s="1473"/>
      <c r="K17" s="1506"/>
      <c r="L17" s="20"/>
      <c r="M17" s="22"/>
      <c r="N17" s="1485" t="str">
        <f>IF(K17&lt;&gt;"",IF($G17&lt;&gt;0,K17-$G17,""),"")</f>
        <v/>
      </c>
      <c r="O17" s="1507" t="str">
        <f>IF(K17&lt;&gt;"","points","")</f>
        <v/>
      </c>
      <c r="P17" s="1473"/>
      <c r="Q17" s="1506"/>
      <c r="R17" s="20"/>
      <c r="S17" s="22"/>
      <c r="T17" s="1485" t="str">
        <f>IF(Q17&lt;&gt;"",IF($G17&lt;&gt;0,Q17-$G17,""),"")</f>
        <v/>
      </c>
      <c r="U17" s="1507" t="str">
        <f>IF(Q17&lt;&gt;"","points","")</f>
        <v/>
      </c>
      <c r="V17" s="1473"/>
      <c r="W17" s="1506"/>
      <c r="X17" s="20"/>
      <c r="Y17" s="22"/>
      <c r="Z17" s="1485" t="str">
        <f>IF(W17&lt;&gt;"",IF($G17&lt;&gt;0,W17-$G17,""),"")</f>
        <v/>
      </c>
      <c r="AA17" s="1508" t="str">
        <f>IF(W17&lt;&gt;"","points","")</f>
        <v/>
      </c>
      <c r="AB17" s="129"/>
      <c r="AC17" s="129"/>
      <c r="AD17" s="129"/>
      <c r="AE17" s="129"/>
      <c r="AF17" s="129"/>
      <c r="AG17" s="81"/>
      <c r="AH17" s="81" t="s">
        <v>904</v>
      </c>
      <c r="AI17" s="1509">
        <v>1.0</v>
      </c>
      <c r="AJ17" s="81"/>
      <c r="AK17" s="81"/>
      <c r="AL17" s="1509">
        <f>K46/$G46</f>
        <v>1</v>
      </c>
      <c r="AM17" s="81"/>
      <c r="AN17" s="81"/>
      <c r="AO17" s="81"/>
      <c r="AP17" s="81"/>
      <c r="AQ17" s="1509">
        <f>Q46/$G46</f>
        <v>1</v>
      </c>
      <c r="AR17" s="81"/>
      <c r="AS17" s="81"/>
      <c r="AT17" s="81"/>
      <c r="AU17" s="81"/>
      <c r="AV17" s="1509">
        <f>W46/$G46</f>
        <v>1</v>
      </c>
    </row>
    <row r="18" ht="4.5" customHeight="1">
      <c r="A18" s="1"/>
      <c r="B18" s="1480"/>
      <c r="C18" s="1481"/>
      <c r="D18" s="1473"/>
      <c r="E18" s="1473"/>
      <c r="F18" s="1473"/>
      <c r="G18" s="1490"/>
      <c r="H18" s="1490"/>
      <c r="I18" s="1510"/>
      <c r="J18" s="1473"/>
      <c r="K18" s="1490"/>
      <c r="L18" s="1490"/>
      <c r="M18" s="1473"/>
      <c r="N18" s="1491"/>
      <c r="O18" s="1510"/>
      <c r="P18" s="1473"/>
      <c r="Q18" s="1490"/>
      <c r="R18" s="1490"/>
      <c r="S18" s="1473"/>
      <c r="T18" s="1491"/>
      <c r="U18" s="1510"/>
      <c r="V18" s="1473"/>
      <c r="W18" s="1490"/>
      <c r="X18" s="1490"/>
      <c r="Y18" s="1473"/>
      <c r="Z18" s="1491"/>
      <c r="AA18" s="1511"/>
      <c r="AB18" s="129"/>
      <c r="AC18" s="129"/>
      <c r="AD18" s="129"/>
      <c r="AE18" s="129"/>
      <c r="AF18" s="129"/>
      <c r="AG18" s="81"/>
      <c r="AH18" s="81"/>
      <c r="AI18" s="1509"/>
      <c r="AJ18" s="81"/>
      <c r="AK18" s="81"/>
      <c r="AL18" s="1512"/>
      <c r="AM18" s="81"/>
      <c r="AN18" s="81"/>
      <c r="AO18" s="81"/>
      <c r="AP18" s="81"/>
      <c r="AQ18" s="1512"/>
      <c r="AR18" s="81"/>
      <c r="AS18" s="81"/>
      <c r="AT18" s="81"/>
      <c r="AU18" s="81"/>
      <c r="AV18" s="1512"/>
    </row>
    <row r="19" ht="15.0" customHeight="1">
      <c r="A19" s="1"/>
      <c r="B19" s="1480"/>
      <c r="C19" s="1481" t="s">
        <v>905</v>
      </c>
      <c r="D19" s="1473"/>
      <c r="E19" s="1473"/>
      <c r="F19" s="1473"/>
      <c r="G19" s="1483">
        <f>'M Non student'!H44</f>
        <v>2700000</v>
      </c>
      <c r="H19" s="35"/>
      <c r="I19" s="21"/>
      <c r="J19" s="1473"/>
      <c r="K19" s="1513"/>
      <c r="L19" s="20"/>
      <c r="M19" s="22"/>
      <c r="N19" s="1485" t="str">
        <f>IF(K19&lt;&gt;"",IF($G19&lt;&gt;0,K19/$G19-1,""),"")</f>
        <v/>
      </c>
      <c r="O19" s="1486" t="str">
        <f>IF(K19&gt;0,K19-$G19,"-")</f>
        <v>-</v>
      </c>
      <c r="P19" s="1473"/>
      <c r="Q19" s="1513"/>
      <c r="R19" s="20"/>
      <c r="S19" s="22"/>
      <c r="T19" s="1485" t="str">
        <f>IF(Q19&lt;&gt;"",IF($G19&lt;&gt;0,Q19/$G19-1,""),"")</f>
        <v/>
      </c>
      <c r="U19" s="1486" t="str">
        <f>IF(Q19&gt;0,Q19-$G19,"-")</f>
        <v>-</v>
      </c>
      <c r="V19" s="1473"/>
      <c r="W19" s="1513"/>
      <c r="X19" s="20"/>
      <c r="Y19" s="22"/>
      <c r="Z19" s="1485" t="str">
        <f>IF(W19&lt;&gt;"",IF($G19&lt;&gt;0,W19/$G19-1,""),"")</f>
        <v/>
      </c>
      <c r="AA19" s="1487" t="str">
        <f>IF(W19&gt;0,W19-$G19,"-")</f>
        <v>-</v>
      </c>
      <c r="AB19" s="129"/>
      <c r="AC19" s="129"/>
      <c r="AD19" s="129"/>
      <c r="AE19" s="129"/>
      <c r="AF19" s="129"/>
      <c r="AG19" s="81"/>
      <c r="AH19" s="81"/>
      <c r="AI19" s="1509"/>
      <c r="AJ19" s="81"/>
      <c r="AK19" s="81"/>
      <c r="AL19" s="1512"/>
      <c r="AM19" s="81"/>
      <c r="AN19" s="81"/>
      <c r="AO19" s="81"/>
      <c r="AP19" s="81"/>
      <c r="AQ19" s="1512"/>
      <c r="AR19" s="81"/>
      <c r="AS19" s="81"/>
      <c r="AT19" s="81"/>
      <c r="AU19" s="81"/>
      <c r="AV19" s="1512"/>
    </row>
    <row r="20" ht="4.5" customHeight="1">
      <c r="A20" s="1"/>
      <c r="B20" s="1480"/>
      <c r="C20" s="1481"/>
      <c r="D20" s="1473"/>
      <c r="E20" s="1473"/>
      <c r="F20" s="1473"/>
      <c r="G20" s="1490"/>
      <c r="H20" s="1490"/>
      <c r="I20" s="1510"/>
      <c r="J20" s="1473"/>
      <c r="K20" s="1490"/>
      <c r="L20" s="1490"/>
      <c r="M20" s="1473"/>
      <c r="N20" s="1491"/>
      <c r="O20" s="1510"/>
      <c r="P20" s="1473"/>
      <c r="Q20" s="1490"/>
      <c r="R20" s="1490"/>
      <c r="S20" s="1473"/>
      <c r="T20" s="1491"/>
      <c r="U20" s="1510"/>
      <c r="V20" s="1473"/>
      <c r="W20" s="1490"/>
      <c r="X20" s="1490"/>
      <c r="Y20" s="1473"/>
      <c r="Z20" s="1491"/>
      <c r="AA20" s="1511"/>
      <c r="AB20" s="129"/>
      <c r="AC20" s="129"/>
      <c r="AD20" s="129"/>
      <c r="AE20" s="129"/>
      <c r="AF20" s="129"/>
      <c r="AG20" s="81"/>
      <c r="AH20" s="81"/>
      <c r="AI20" s="1509"/>
      <c r="AJ20" s="81"/>
      <c r="AK20" s="81"/>
      <c r="AL20" s="1512"/>
      <c r="AM20" s="81"/>
      <c r="AN20" s="81"/>
      <c r="AO20" s="81"/>
      <c r="AP20" s="81"/>
      <c r="AQ20" s="1512"/>
      <c r="AR20" s="81"/>
      <c r="AS20" s="81"/>
      <c r="AT20" s="81"/>
      <c r="AU20" s="81"/>
      <c r="AV20" s="1512"/>
    </row>
    <row r="21" ht="14.25" customHeight="1">
      <c r="A21" s="1"/>
      <c r="B21" s="1480"/>
      <c r="C21" s="1481" t="s">
        <v>908</v>
      </c>
      <c r="D21" s="1473"/>
      <c r="E21" s="1493" t="s">
        <v>895</v>
      </c>
      <c r="F21" s="944"/>
      <c r="G21" s="1494">
        <f>'M Non student'!H9</f>
        <v>3500000</v>
      </c>
      <c r="H21" s="35"/>
      <c r="I21" s="21"/>
      <c r="J21" s="1473"/>
      <c r="K21" s="1513"/>
      <c r="L21" s="20"/>
      <c r="M21" s="22"/>
      <c r="N21" s="1485" t="str">
        <f>IF(K21&lt;&gt;"",IF($G21&lt;&gt;0,K21/$G21-1,""),"")</f>
        <v/>
      </c>
      <c r="O21" s="1486" t="str">
        <f>IF(K21&gt;0,K21-$G21,"-")</f>
        <v>-</v>
      </c>
      <c r="P21" s="1473"/>
      <c r="Q21" s="1513"/>
      <c r="R21" s="20"/>
      <c r="S21" s="22"/>
      <c r="T21" s="1485" t="str">
        <f>IF(Q21&lt;&gt;"",IF($G21&lt;&gt;0,Q21/$G21-1,""),"")</f>
        <v/>
      </c>
      <c r="U21" s="1486" t="str">
        <f>IF(Q21&gt;0,Q21-$G21,"-")</f>
        <v>-</v>
      </c>
      <c r="V21" s="1473"/>
      <c r="W21" s="1513"/>
      <c r="X21" s="20"/>
      <c r="Y21" s="22"/>
      <c r="Z21" s="1485" t="str">
        <f>IF(W21&lt;&gt;"",IF($G21&lt;&gt;0,W21/$G21-1,""),"")</f>
        <v/>
      </c>
      <c r="AA21" s="1487" t="str">
        <f>IF(W21&gt;0,W21-$G21,"-")</f>
        <v>-</v>
      </c>
      <c r="AB21" s="129"/>
      <c r="AC21" s="129"/>
      <c r="AD21" s="129"/>
      <c r="AE21" s="129"/>
      <c r="AF21" s="129"/>
      <c r="AG21" s="81"/>
      <c r="AH21" s="81" t="s">
        <v>910</v>
      </c>
      <c r="AI21" s="1509">
        <v>1.0</v>
      </c>
      <c r="AJ21" s="81"/>
      <c r="AK21" s="81"/>
      <c r="AL21" s="1478">
        <f>IF(K$17&lt;&gt;"",(1+K$17)/(1+$G$17),1)</f>
        <v>1</v>
      </c>
      <c r="AM21" s="81"/>
      <c r="AN21" s="81"/>
      <c r="AO21" s="81"/>
      <c r="AP21" s="81"/>
      <c r="AQ21" s="1478">
        <f>IF(Q$17&lt;&gt;"",(1+Q$17)/(1+$G$17),1)</f>
        <v>1</v>
      </c>
      <c r="AR21" s="81"/>
      <c r="AS21" s="81"/>
      <c r="AT21" s="81"/>
      <c r="AU21" s="81"/>
      <c r="AV21" s="1478">
        <f>IF(W$17&lt;&gt;"",(1+W$17)/(1+$G$17),1)</f>
        <v>1</v>
      </c>
    </row>
    <row r="22" ht="4.5" customHeight="1">
      <c r="A22" s="1"/>
      <c r="B22" s="1480"/>
      <c r="C22" s="1481"/>
      <c r="D22" s="1473"/>
      <c r="E22" s="1495"/>
      <c r="F22" s="1496"/>
      <c r="G22" s="1489"/>
      <c r="H22" s="1489"/>
      <c r="I22" s="1490"/>
      <c r="J22" s="1473"/>
      <c r="K22" s="1490"/>
      <c r="L22" s="1490"/>
      <c r="M22" s="1473"/>
      <c r="N22" s="1491"/>
      <c r="O22" s="1490"/>
      <c r="P22" s="1473"/>
      <c r="Q22" s="1490"/>
      <c r="R22" s="1490"/>
      <c r="S22" s="1473"/>
      <c r="T22" s="1491"/>
      <c r="U22" s="1490"/>
      <c r="V22" s="1473"/>
      <c r="W22" s="1490"/>
      <c r="X22" s="1490"/>
      <c r="Y22" s="1473"/>
      <c r="Z22" s="1491"/>
      <c r="AA22" s="1492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</row>
    <row r="23" ht="14.25" customHeight="1">
      <c r="A23" s="1"/>
      <c r="B23" s="1480"/>
      <c r="C23" s="1481" t="s">
        <v>911</v>
      </c>
      <c r="D23" s="1473"/>
      <c r="E23" s="1497">
        <v>0.4</v>
      </c>
      <c r="F23" s="22"/>
      <c r="G23" s="1498">
        <f>'P Fcast 5yr'!I13</f>
        <v>18031822</v>
      </c>
      <c r="H23" s="35"/>
      <c r="I23" s="21"/>
      <c r="J23" s="1473"/>
      <c r="K23" s="1513"/>
      <c r="L23" s="20"/>
      <c r="M23" s="22"/>
      <c r="N23" s="1485" t="str">
        <f>IF(K23&lt;&gt;"",IF($G23&lt;&gt;0,K23/$G23-1,""),"")</f>
        <v/>
      </c>
      <c r="O23" s="1486" t="str">
        <f>IF(K23&gt;0,K23-$G23,"-")</f>
        <v>-</v>
      </c>
      <c r="P23" s="1473"/>
      <c r="Q23" s="1513"/>
      <c r="R23" s="20"/>
      <c r="S23" s="22"/>
      <c r="T23" s="1485" t="str">
        <f>IF(Q23&lt;&gt;"",IF($G23&lt;&gt;0,Q23/$G23-1,""),"")</f>
        <v/>
      </c>
      <c r="U23" s="1486" t="str">
        <f>IF(Q23&gt;0,Q23-$G23,"-")</f>
        <v>-</v>
      </c>
      <c r="V23" s="1473"/>
      <c r="W23" s="1513"/>
      <c r="X23" s="20"/>
      <c r="Y23" s="22"/>
      <c r="Z23" s="1485" t="str">
        <f>IF(W23&lt;&gt;"",IF($G23&lt;&gt;0,W23/$G23-1,""),"")</f>
        <v/>
      </c>
      <c r="AA23" s="1487" t="str">
        <f>IF(W23&gt;0,W23-$G23,"-")</f>
        <v>-</v>
      </c>
      <c r="AB23" s="81"/>
      <c r="AC23" s="81"/>
      <c r="AD23" s="81"/>
      <c r="AE23" s="81"/>
      <c r="AF23" s="81"/>
      <c r="AG23" s="80"/>
      <c r="AH23" s="81" t="s">
        <v>261</v>
      </c>
      <c r="AI23" s="81">
        <f>'F Population'!U13</f>
        <v>464</v>
      </c>
      <c r="AJ23" s="81"/>
      <c r="AK23" s="81"/>
      <c r="AL23" s="81">
        <f>IF(K13&lt;&gt;"",$AI23*K13/$G13,$AI23)</f>
        <v>464</v>
      </c>
      <c r="AM23" s="81"/>
      <c r="AN23" s="81"/>
      <c r="AO23" s="81"/>
      <c r="AP23" s="81"/>
      <c r="AQ23" s="81">
        <f>IF(Q13&lt;&gt;"",$AI23*Q13/$G13,$AI23)</f>
        <v>464</v>
      </c>
      <c r="AR23" s="81"/>
      <c r="AS23" s="81"/>
      <c r="AT23" s="81"/>
      <c r="AU23" s="81"/>
      <c r="AV23" s="81">
        <f>IF(W13&lt;&gt;"",$AI23*W13/$G13,$AI23)</f>
        <v>464</v>
      </c>
    </row>
    <row r="24" ht="4.5" customHeight="1">
      <c r="A24" s="1"/>
      <c r="B24" s="1480"/>
      <c r="C24" s="1481"/>
      <c r="D24" s="1473"/>
      <c r="E24" s="1473"/>
      <c r="F24" s="1473"/>
      <c r="G24" s="1473"/>
      <c r="H24" s="1473"/>
      <c r="I24" s="1473"/>
      <c r="J24" s="1473"/>
      <c r="K24" s="1473"/>
      <c r="L24" s="1473"/>
      <c r="M24" s="1473"/>
      <c r="N24" s="1473"/>
      <c r="O24" s="1473"/>
      <c r="P24" s="1473"/>
      <c r="Q24" s="1473"/>
      <c r="R24" s="1473"/>
      <c r="S24" s="1473"/>
      <c r="T24" s="1473"/>
      <c r="U24" s="1473"/>
      <c r="V24" s="1473"/>
      <c r="W24" s="1473"/>
      <c r="X24" s="1473"/>
      <c r="Y24" s="1473"/>
      <c r="Z24" s="1485"/>
      <c r="AA24" s="1487"/>
      <c r="AB24" s="81"/>
      <c r="AC24" s="81"/>
      <c r="AD24" s="81"/>
      <c r="AE24" s="81"/>
      <c r="AF24" s="81"/>
      <c r="AG24" s="80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</row>
    <row r="25" ht="14.25" customHeight="1">
      <c r="A25" s="1"/>
      <c r="B25" s="1480"/>
      <c r="C25" s="1481" t="s">
        <v>912</v>
      </c>
      <c r="D25" s="1473"/>
      <c r="E25" s="1473"/>
      <c r="F25" s="1473"/>
      <c r="G25" s="1514">
        <v>0.0</v>
      </c>
      <c r="H25" s="35"/>
      <c r="I25" s="21"/>
      <c r="J25" s="1473"/>
      <c r="K25" s="1513"/>
      <c r="L25" s="20"/>
      <c r="M25" s="22"/>
      <c r="N25" s="1485" t="str">
        <f>IF(K25&lt;&gt;"",K25/AL85,"")</f>
        <v/>
      </c>
      <c r="O25" s="1486"/>
      <c r="P25" s="1473"/>
      <c r="Q25" s="1513"/>
      <c r="R25" s="20"/>
      <c r="S25" s="22"/>
      <c r="T25" s="1485" t="str">
        <f>IF(Q25&lt;&gt;"",Q25/AQ85,"")</f>
        <v/>
      </c>
      <c r="U25" s="1486"/>
      <c r="V25" s="1473"/>
      <c r="W25" s="1513"/>
      <c r="X25" s="20"/>
      <c r="Y25" s="22"/>
      <c r="Z25" s="1485" t="str">
        <f>IF(W25&lt;&gt;"",W25/AV85,"")</f>
        <v/>
      </c>
      <c r="AA25" s="1492"/>
      <c r="AB25" s="81"/>
      <c r="AC25" s="81"/>
      <c r="AD25" s="81"/>
      <c r="AE25" s="81"/>
      <c r="AF25" s="81"/>
      <c r="AG25" s="80"/>
      <c r="AH25" s="81" t="s">
        <v>913</v>
      </c>
      <c r="AI25" s="81">
        <f>G7</f>
        <v>580</v>
      </c>
      <c r="AJ25" s="81"/>
      <c r="AK25" s="81"/>
      <c r="AL25" s="81">
        <f>IF(K7&lt;&gt;"",K7,$G7)</f>
        <v>580</v>
      </c>
      <c r="AM25" s="81"/>
      <c r="AN25" s="81"/>
      <c r="AO25" s="81"/>
      <c r="AP25" s="81"/>
      <c r="AQ25" s="81">
        <f>IF(Q7&lt;&gt;"",Q7,$G7)</f>
        <v>580</v>
      </c>
      <c r="AR25" s="81"/>
      <c r="AS25" s="81"/>
      <c r="AT25" s="81"/>
      <c r="AU25" s="81"/>
      <c r="AV25" s="81">
        <f>IF(W7&lt;&gt;"",W7,$G7)</f>
        <v>580</v>
      </c>
    </row>
    <row r="26" ht="4.5" customHeight="1">
      <c r="A26" s="1"/>
      <c r="B26" s="1480"/>
      <c r="C26" s="1481"/>
      <c r="D26" s="1473"/>
      <c r="E26" s="1473"/>
      <c r="F26" s="1473"/>
      <c r="G26" s="1489"/>
      <c r="H26" s="1489"/>
      <c r="I26" s="1490"/>
      <c r="J26" s="1473"/>
      <c r="K26" s="1490"/>
      <c r="L26" s="1490"/>
      <c r="M26" s="1490"/>
      <c r="N26" s="1515"/>
      <c r="O26" s="1490"/>
      <c r="P26" s="1490"/>
      <c r="Q26" s="1490"/>
      <c r="R26" s="1490"/>
      <c r="S26" s="1490"/>
      <c r="T26" s="1515"/>
      <c r="U26" s="1490"/>
      <c r="V26" s="1490"/>
      <c r="W26" s="1490"/>
      <c r="X26" s="1490"/>
      <c r="Y26" s="1490"/>
      <c r="Z26" s="1515"/>
      <c r="AA26" s="1492"/>
      <c r="AB26" s="81"/>
      <c r="AC26" s="81"/>
      <c r="AD26" s="81"/>
      <c r="AE26" s="81"/>
      <c r="AF26" s="81"/>
      <c r="AG26" s="80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</row>
    <row r="27" ht="14.25" customHeight="1">
      <c r="A27" s="1"/>
      <c r="B27" s="1480"/>
      <c r="C27" s="1481" t="s">
        <v>914</v>
      </c>
      <c r="D27" s="1473"/>
      <c r="E27" s="1473"/>
      <c r="F27" s="1473"/>
      <c r="G27" s="1483">
        <f>'P Fcast 5yr'!I28</f>
        <v>105000</v>
      </c>
      <c r="H27" s="35"/>
      <c r="I27" s="21"/>
      <c r="J27" s="1473"/>
      <c r="K27" s="1513"/>
      <c r="L27" s="20"/>
      <c r="M27" s="22"/>
      <c r="N27" s="1485" t="str">
        <f>IF(K27&lt;&gt;"",IF($G27&lt;&gt;0,K27/$G27-1,""),"")</f>
        <v/>
      </c>
      <c r="O27" s="1486" t="str">
        <f>IF(K27&gt;0,K27-$G27,"-")</f>
        <v>-</v>
      </c>
      <c r="P27" s="1473"/>
      <c r="Q27" s="1513"/>
      <c r="R27" s="20"/>
      <c r="S27" s="22"/>
      <c r="T27" s="1485" t="str">
        <f>IF(Q27&lt;&gt;"",IF($G27&lt;&gt;0,Q27/$G27-1,""),"")</f>
        <v/>
      </c>
      <c r="U27" s="1486" t="str">
        <f>IF(Q27&gt;0,Q27-$G27,"-")</f>
        <v>-</v>
      </c>
      <c r="V27" s="1473"/>
      <c r="W27" s="1513"/>
      <c r="X27" s="20"/>
      <c r="Y27" s="22"/>
      <c r="Z27" s="1485" t="str">
        <f>IF(W27&lt;&gt;"",IF($G27&lt;&gt;0,W27/$G27-1,""),"")</f>
        <v/>
      </c>
      <c r="AA27" s="1487" t="str">
        <f>IF(W27&gt;0,W27-$G27,"-")</f>
        <v>-</v>
      </c>
      <c r="AB27" s="81"/>
      <c r="AC27" s="81"/>
      <c r="AD27" s="81"/>
      <c r="AE27" s="81"/>
      <c r="AF27" s="81"/>
      <c r="AG27" s="80"/>
      <c r="AH27" s="81" t="s">
        <v>915</v>
      </c>
      <c r="AI27" s="81">
        <f>G9</f>
        <v>45</v>
      </c>
      <c r="AJ27" s="81"/>
      <c r="AK27" s="81"/>
      <c r="AL27" s="81">
        <f>IF(K9&lt;&gt;"",K9,$G9)</f>
        <v>45</v>
      </c>
      <c r="AM27" s="81"/>
      <c r="AN27" s="81"/>
      <c r="AO27" s="81"/>
      <c r="AP27" s="81"/>
      <c r="AQ27" s="81">
        <f>IF(Q9&lt;&gt;"",Q9,$G9)</f>
        <v>45</v>
      </c>
      <c r="AR27" s="81"/>
      <c r="AS27" s="81"/>
      <c r="AT27" s="81"/>
      <c r="AU27" s="81"/>
      <c r="AV27" s="81">
        <f>IF(W9&lt;&gt;"",W9,$G9)</f>
        <v>45</v>
      </c>
    </row>
    <row r="28" ht="4.5" customHeight="1">
      <c r="A28" s="1"/>
      <c r="B28" s="1480"/>
      <c r="C28" s="1481"/>
      <c r="D28" s="1473"/>
      <c r="E28" s="1473"/>
      <c r="F28" s="1473"/>
      <c r="G28" s="1489"/>
      <c r="H28" s="1489"/>
      <c r="I28" s="1490"/>
      <c r="J28" s="1473"/>
      <c r="K28" s="1490"/>
      <c r="L28" s="1490"/>
      <c r="M28" s="1490"/>
      <c r="N28" s="1515"/>
      <c r="O28" s="1490"/>
      <c r="P28" s="1490"/>
      <c r="Q28" s="1490"/>
      <c r="R28" s="1490"/>
      <c r="S28" s="1490"/>
      <c r="T28" s="1515"/>
      <c r="U28" s="1490"/>
      <c r="V28" s="1490"/>
      <c r="W28" s="1490"/>
      <c r="X28" s="1490"/>
      <c r="Y28" s="1490"/>
      <c r="Z28" s="1515"/>
      <c r="AA28" s="1492"/>
      <c r="AB28" s="81"/>
      <c r="AC28" s="81"/>
      <c r="AD28" s="81"/>
      <c r="AE28" s="81"/>
      <c r="AF28" s="81"/>
      <c r="AG28" s="80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</row>
    <row r="29" ht="14.25" customHeight="1">
      <c r="A29" s="1"/>
      <c r="B29" s="1480"/>
      <c r="C29" s="1481" t="s">
        <v>916</v>
      </c>
      <c r="D29" s="1473"/>
      <c r="E29" s="1473"/>
      <c r="F29" s="1473"/>
      <c r="G29" s="1483">
        <f>'L Capital'!L48</f>
        <v>12000000</v>
      </c>
      <c r="H29" s="35"/>
      <c r="I29" s="21"/>
      <c r="J29" s="1473"/>
      <c r="K29" s="1513"/>
      <c r="L29" s="20"/>
      <c r="M29" s="22"/>
      <c r="N29" s="1485" t="str">
        <f>IF(K29&lt;&gt;"",IF($G29&lt;&gt;0,K29/$G29-1,""),"")</f>
        <v/>
      </c>
      <c r="O29" s="1486" t="str">
        <f>IF(K29&gt;0,K29-$G29,"-")</f>
        <v>-</v>
      </c>
      <c r="P29" s="1473"/>
      <c r="Q29" s="1513"/>
      <c r="R29" s="20"/>
      <c r="S29" s="22"/>
      <c r="T29" s="1485" t="str">
        <f>IF(Q29&lt;&gt;"",IF($G29&lt;&gt;0,Q29/$G29-1,""),"")</f>
        <v/>
      </c>
      <c r="U29" s="1486" t="str">
        <f>IF(Q29&gt;0,Q29-$G29,"-")</f>
        <v>-</v>
      </c>
      <c r="V29" s="1473"/>
      <c r="W29" s="1513"/>
      <c r="X29" s="20"/>
      <c r="Y29" s="22"/>
      <c r="Z29" s="1485" t="str">
        <f>IF(W29&lt;&gt;"",IF($G29&lt;&gt;0,W29/$G29-1,""),"")</f>
        <v/>
      </c>
      <c r="AA29" s="1487" t="str">
        <f>IF(W29&gt;0,W29-$G29,"-")</f>
        <v>-</v>
      </c>
      <c r="AB29" s="81"/>
      <c r="AC29" s="81"/>
      <c r="AD29" s="81"/>
      <c r="AE29" s="81"/>
      <c r="AF29" s="81"/>
      <c r="AG29" s="80"/>
      <c r="AH29" s="81" t="s">
        <v>917</v>
      </c>
      <c r="AI29" s="81">
        <f>G11</f>
        <v>1508</v>
      </c>
      <c r="AJ29" s="81"/>
      <c r="AK29" s="81"/>
      <c r="AL29" s="81">
        <f>IF(K11&lt;&gt;"",K11,$G11)+AL23-$AI23</f>
        <v>1508</v>
      </c>
      <c r="AM29" s="81"/>
      <c r="AN29" s="81"/>
      <c r="AO29" s="81"/>
      <c r="AP29" s="81"/>
      <c r="AQ29" s="81">
        <f>IF(Q11&lt;&gt;"",Q11,$G11)+AQ23-$AI23</f>
        <v>1508</v>
      </c>
      <c r="AR29" s="81"/>
      <c r="AS29" s="81"/>
      <c r="AT29" s="81"/>
      <c r="AU29" s="81"/>
      <c r="AV29" s="81">
        <f>IF(W11&lt;&gt;"",W11,$G11)+AV23-$AI23</f>
        <v>1508</v>
      </c>
    </row>
    <row r="30" ht="4.5" customHeight="1">
      <c r="A30" s="1"/>
      <c r="B30" s="1480"/>
      <c r="C30" s="1481"/>
      <c r="D30" s="1473"/>
      <c r="E30" s="1473"/>
      <c r="F30" s="1473"/>
      <c r="G30" s="1489"/>
      <c r="H30" s="1489"/>
      <c r="I30" s="1490"/>
      <c r="J30" s="1473"/>
      <c r="K30" s="1490"/>
      <c r="L30" s="1490"/>
      <c r="M30" s="1490"/>
      <c r="N30" s="1515"/>
      <c r="O30" s="1490"/>
      <c r="P30" s="1490"/>
      <c r="Q30" s="1490"/>
      <c r="R30" s="1490"/>
      <c r="S30" s="1490"/>
      <c r="T30" s="1515"/>
      <c r="U30" s="1490"/>
      <c r="V30" s="1490"/>
      <c r="W30" s="1490"/>
      <c r="X30" s="1490"/>
      <c r="Y30" s="1490"/>
      <c r="Z30" s="1515"/>
      <c r="AA30" s="1492"/>
      <c r="AB30" s="81"/>
      <c r="AC30" s="81"/>
      <c r="AD30" s="81"/>
      <c r="AE30" s="81"/>
      <c r="AF30" s="81"/>
      <c r="AG30" s="80"/>
      <c r="AH30" s="81"/>
      <c r="AI30" s="81"/>
      <c r="AJ30" s="81"/>
      <c r="AK30" s="81"/>
      <c r="AL30" s="1504"/>
      <c r="AM30" s="81"/>
      <c r="AN30" s="81"/>
      <c r="AO30" s="81"/>
      <c r="AP30" s="81"/>
      <c r="AQ30" s="1504"/>
      <c r="AR30" s="81"/>
      <c r="AS30" s="81"/>
      <c r="AT30" s="81"/>
      <c r="AU30" s="81"/>
      <c r="AV30" s="1504"/>
    </row>
    <row r="31" ht="14.25" customHeight="1">
      <c r="A31" s="1"/>
      <c r="B31" s="1480"/>
      <c r="C31" s="1481" t="s">
        <v>918</v>
      </c>
      <c r="D31" s="1473"/>
      <c r="E31" s="1473"/>
      <c r="F31" s="1473"/>
      <c r="G31" s="1483">
        <f>'L Capital'!P101</f>
        <v>5400000</v>
      </c>
      <c r="H31" s="35"/>
      <c r="I31" s="21"/>
      <c r="J31" s="1473"/>
      <c r="K31" s="1513"/>
      <c r="L31" s="20"/>
      <c r="M31" s="22"/>
      <c r="N31" s="1485" t="str">
        <f>IF(K31&lt;&gt;"",IF($G31&lt;&gt;0,K31/$G31-1,""),"")</f>
        <v/>
      </c>
      <c r="O31" s="1486" t="str">
        <f>IF(K31&gt;0,K31-$G31,"-")</f>
        <v>-</v>
      </c>
      <c r="P31" s="1473"/>
      <c r="Q31" s="1513"/>
      <c r="R31" s="20"/>
      <c r="S31" s="22"/>
      <c r="T31" s="1485" t="str">
        <f>IF(Q31&lt;&gt;"",IF($G31&lt;&gt;0,Q31/$G31-1,""),"")</f>
        <v/>
      </c>
      <c r="U31" s="1486" t="str">
        <f>IF(Q31&gt;0,Q31-$G31,"-")</f>
        <v>-</v>
      </c>
      <c r="V31" s="1473"/>
      <c r="W31" s="1513"/>
      <c r="X31" s="20"/>
      <c r="Y31" s="22"/>
      <c r="Z31" s="1485" t="str">
        <f>IF(W31&lt;&gt;"",IF($G31&lt;&gt;0,W31/$G31-1,""),"")</f>
        <v/>
      </c>
      <c r="AA31" s="1487" t="str">
        <f>IF(W31&gt;0,W31-$G31,"-")</f>
        <v>-</v>
      </c>
      <c r="AB31" s="81"/>
      <c r="AC31" s="81"/>
      <c r="AD31" s="81"/>
      <c r="AE31" s="81"/>
      <c r="AF31" s="81"/>
      <c r="AG31" s="80"/>
      <c r="AH31" s="81" t="s">
        <v>919</v>
      </c>
      <c r="AI31" s="81">
        <f>G31</f>
        <v>5400000</v>
      </c>
      <c r="AJ31" s="81"/>
      <c r="AK31" s="81"/>
      <c r="AL31" s="81">
        <f>IF(K31&lt;&gt;"",K31-$G31,0)</f>
        <v>0</v>
      </c>
      <c r="AM31" s="81"/>
      <c r="AN31" s="81"/>
      <c r="AO31" s="81"/>
      <c r="AP31" s="81"/>
      <c r="AQ31" s="81">
        <f>IF(Q31&lt;&gt;"",Q31-$G31,0)</f>
        <v>0</v>
      </c>
      <c r="AR31" s="81"/>
      <c r="AS31" s="81"/>
      <c r="AT31" s="81"/>
      <c r="AU31" s="81"/>
      <c r="AV31" s="81">
        <f>IF(W31&lt;&gt;"",W31-$G31,0)</f>
        <v>0</v>
      </c>
    </row>
    <row r="32" ht="4.5" customHeight="1">
      <c r="A32" s="1"/>
      <c r="B32" s="1480"/>
      <c r="C32" s="1481"/>
      <c r="D32" s="1473"/>
      <c r="E32" s="1473"/>
      <c r="F32" s="1473"/>
      <c r="G32" s="1489"/>
      <c r="H32" s="1489"/>
      <c r="I32" s="1490"/>
      <c r="J32" s="1473"/>
      <c r="K32" s="1490"/>
      <c r="L32" s="1490"/>
      <c r="M32" s="1490"/>
      <c r="N32" s="1491"/>
      <c r="O32" s="1490"/>
      <c r="P32" s="1473"/>
      <c r="Q32" s="1490"/>
      <c r="R32" s="1490"/>
      <c r="S32" s="1490"/>
      <c r="T32" s="1491"/>
      <c r="U32" s="1490"/>
      <c r="V32" s="1473"/>
      <c r="W32" s="1490"/>
      <c r="X32" s="1490"/>
      <c r="Y32" s="1490"/>
      <c r="Z32" s="1491"/>
      <c r="AA32" s="1492"/>
      <c r="AB32" s="81"/>
      <c r="AC32" s="81"/>
      <c r="AD32" s="81"/>
      <c r="AE32" s="81"/>
      <c r="AF32" s="81"/>
      <c r="AG32" s="80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</row>
    <row r="33" ht="14.25" customHeight="1">
      <c r="A33" s="1"/>
      <c r="B33" s="1480"/>
      <c r="C33" s="1481" t="s">
        <v>920</v>
      </c>
      <c r="D33" s="1473"/>
      <c r="E33" s="1473"/>
      <c r="F33" s="1473"/>
      <c r="G33" s="1483">
        <f>AI80</f>
        <v>10603753.67</v>
      </c>
      <c r="H33" s="35"/>
      <c r="I33" s="21"/>
      <c r="J33" s="1473"/>
      <c r="K33" s="1513"/>
      <c r="L33" s="20"/>
      <c r="M33" s="22"/>
      <c r="N33" s="1485" t="str">
        <f>IF(K33&lt;&gt;"",IF($G33&lt;&gt;0,K33/$G33-1,""),"")</f>
        <v/>
      </c>
      <c r="O33" s="1486" t="str">
        <f>IF(K33&gt;0,K33-$G33,"-")</f>
        <v>-</v>
      </c>
      <c r="P33" s="1473"/>
      <c r="Q33" s="1513"/>
      <c r="R33" s="20"/>
      <c r="S33" s="22"/>
      <c r="T33" s="1485" t="str">
        <f>IF(Q33&lt;&gt;"",IF($G33&lt;&gt;0,Q33/$G33-1,""),"")</f>
        <v/>
      </c>
      <c r="U33" s="1486" t="str">
        <f>IF(Q33&gt;0,Q33-$G33,"-")</f>
        <v>-</v>
      </c>
      <c r="V33" s="1473"/>
      <c r="W33" s="1513"/>
      <c r="X33" s="20"/>
      <c r="Y33" s="22"/>
      <c r="Z33" s="1485" t="str">
        <f>IF(W33&lt;&gt;"",IF($G33&lt;&gt;0,W33/$G33-1,""),"")</f>
        <v/>
      </c>
      <c r="AA33" s="1487" t="str">
        <f>IF(W33&gt;0,W33-$G33,"-")</f>
        <v>-</v>
      </c>
      <c r="AB33" s="81"/>
      <c r="AC33" s="81"/>
      <c r="AD33" s="1"/>
      <c r="AE33" s="1"/>
      <c r="AF33" s="1"/>
      <c r="AG33" s="1"/>
      <c r="AH33" s="81" t="s">
        <v>921</v>
      </c>
      <c r="AI33" s="81">
        <f>G33</f>
        <v>10603753.67</v>
      </c>
      <c r="AJ33" s="81"/>
      <c r="AK33" s="81"/>
      <c r="AL33" s="81">
        <f>IF(K33&lt;&gt;"",K33-$G33,0)</f>
        <v>0</v>
      </c>
      <c r="AM33" s="81"/>
      <c r="AN33" s="81"/>
      <c r="AO33" s="81"/>
      <c r="AP33" s="81"/>
      <c r="AQ33" s="81">
        <f>IF(Q33&lt;&gt;"",Q33-$G33,0)</f>
        <v>0</v>
      </c>
      <c r="AR33" s="81"/>
      <c r="AS33" s="81"/>
      <c r="AT33" s="81"/>
      <c r="AU33" s="81"/>
      <c r="AV33" s="81">
        <f>IF(W33&lt;&gt;"",W33-$G33,0)</f>
        <v>0</v>
      </c>
    </row>
    <row r="34" ht="4.5" customHeight="1">
      <c r="A34" s="1"/>
      <c r="B34" s="1480"/>
      <c r="C34" s="1481"/>
      <c r="D34" s="1473"/>
      <c r="E34" s="1473"/>
      <c r="F34" s="1473"/>
      <c r="G34" s="1489"/>
      <c r="H34" s="1489"/>
      <c r="I34" s="1490"/>
      <c r="J34" s="1473"/>
      <c r="K34" s="1490"/>
      <c r="L34" s="1490"/>
      <c r="M34" s="1490"/>
      <c r="N34" s="1485"/>
      <c r="O34" s="1486"/>
      <c r="P34" s="1473"/>
      <c r="Q34" s="1490"/>
      <c r="R34" s="1490"/>
      <c r="S34" s="1490"/>
      <c r="T34" s="1485"/>
      <c r="U34" s="1486"/>
      <c r="V34" s="1473"/>
      <c r="W34" s="1490"/>
      <c r="X34" s="1490"/>
      <c r="Y34" s="1490"/>
      <c r="Z34" s="1485"/>
      <c r="AA34" s="1487"/>
      <c r="AB34" s="81"/>
      <c r="AC34" s="81"/>
      <c r="AD34" s="1"/>
      <c r="AE34" s="1"/>
      <c r="AF34" s="1"/>
      <c r="AG34" s="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</row>
    <row r="35" ht="14.25" customHeight="1">
      <c r="A35" s="1"/>
      <c r="B35" s="1480"/>
      <c r="C35" s="1481" t="s">
        <v>922</v>
      </c>
      <c r="D35" s="1473"/>
      <c r="E35" s="1473"/>
      <c r="F35" s="1473"/>
      <c r="G35" s="1483" t="str">
        <f>'R Bal sheets'!J26</f>
        <v/>
      </c>
      <c r="H35" s="35"/>
      <c r="I35" s="21"/>
      <c r="J35" s="1473"/>
      <c r="K35" s="1513"/>
      <c r="L35" s="20"/>
      <c r="M35" s="22"/>
      <c r="N35" s="1485" t="str">
        <f>IF(K35&lt;&gt;"",IF($G35&lt;&gt;0,K35/$G35-1,""),"")</f>
        <v/>
      </c>
      <c r="O35" s="1486" t="str">
        <f>IF(K35&gt;0,K35-$G35,"-")</f>
        <v>-</v>
      </c>
      <c r="P35" s="1473"/>
      <c r="Q35" s="1513"/>
      <c r="R35" s="20"/>
      <c r="S35" s="22"/>
      <c r="T35" s="1485" t="str">
        <f>IF(Q35&lt;&gt;"",IF($G35&lt;&gt;0,Q35/$G35-1,""),"")</f>
        <v/>
      </c>
      <c r="U35" s="1486" t="str">
        <f>IF(Q35&gt;0,Q35-$G35,"-")</f>
        <v>-</v>
      </c>
      <c r="V35" s="1473"/>
      <c r="W35" s="1513"/>
      <c r="X35" s="20"/>
      <c r="Y35" s="22"/>
      <c r="Z35" s="1485" t="str">
        <f>IF(W35&lt;&gt;"",IF($G35&lt;&gt;0,W35/$G35-1,""),"")</f>
        <v/>
      </c>
      <c r="AA35" s="1487" t="str">
        <f>IF(W35&gt;0,W35-$G35,"-")</f>
        <v>-</v>
      </c>
      <c r="AB35" s="81"/>
      <c r="AC35" s="81"/>
      <c r="AD35" s="1"/>
      <c r="AE35" s="1"/>
      <c r="AF35" s="1"/>
      <c r="AG35" s="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</row>
    <row r="36" ht="4.5" customHeight="1">
      <c r="A36" s="1"/>
      <c r="B36" s="1480"/>
      <c r="C36" s="1481"/>
      <c r="D36" s="1473"/>
      <c r="E36" s="1473"/>
      <c r="F36" s="1473"/>
      <c r="G36" s="1489"/>
      <c r="H36" s="1489"/>
      <c r="I36" s="1490"/>
      <c r="J36" s="1473"/>
      <c r="K36" s="1490"/>
      <c r="L36" s="1490"/>
      <c r="M36" s="1490"/>
      <c r="N36" s="1515"/>
      <c r="O36" s="1490"/>
      <c r="P36" s="1490"/>
      <c r="Q36" s="1490"/>
      <c r="R36" s="1490"/>
      <c r="S36" s="1490"/>
      <c r="T36" s="1515"/>
      <c r="U36" s="1490"/>
      <c r="V36" s="1473"/>
      <c r="W36" s="1490"/>
      <c r="X36" s="1490"/>
      <c r="Y36" s="1490"/>
      <c r="Z36" s="1515"/>
      <c r="AA36" s="1492"/>
      <c r="AB36" s="81"/>
      <c r="AC36" s="81"/>
      <c r="AD36" s="1"/>
      <c r="AE36" s="1"/>
      <c r="AF36" s="1"/>
      <c r="AG36" s="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</row>
    <row r="37" ht="15.75" customHeight="1">
      <c r="A37" s="1"/>
      <c r="B37" s="1480"/>
      <c r="C37" s="1481" t="s">
        <v>923</v>
      </c>
      <c r="D37" s="1473"/>
      <c r="E37" s="1473"/>
      <c r="F37" s="1473"/>
      <c r="G37" s="1516" t="str">
        <f>'L Capital'!P172</f>
        <v/>
      </c>
      <c r="H37" s="1516"/>
      <c r="I37" s="1517">
        <f>'L Capital'!N172</f>
        <v>0.07</v>
      </c>
      <c r="J37" s="1473"/>
      <c r="K37" s="1518"/>
      <c r="L37" s="1515"/>
      <c r="M37" s="1519"/>
      <c r="N37" s="1520" t="str">
        <f>IF($G35&gt;0,O37/$AI92,"")</f>
        <v/>
      </c>
      <c r="O37" s="1486">
        <f>AL92-$AI92</f>
        <v>0</v>
      </c>
      <c r="P37" s="1490"/>
      <c r="Q37" s="1518"/>
      <c r="R37" s="1521"/>
      <c r="S37" s="1519"/>
      <c r="T37" s="1520" t="str">
        <f>IF($G35&gt;0,U37/$AI92,"")</f>
        <v/>
      </c>
      <c r="U37" s="1486">
        <f>AQ92-AI92</f>
        <v>0</v>
      </c>
      <c r="V37" s="1473"/>
      <c r="W37" s="1518"/>
      <c r="X37" s="1521"/>
      <c r="Y37" s="1519"/>
      <c r="Z37" s="1520" t="str">
        <f>IF($G35&gt;0,AA37/$AI92,"")</f>
        <v/>
      </c>
      <c r="AA37" s="1487">
        <f>AV92-AI92</f>
        <v>0</v>
      </c>
      <c r="AB37" s="81"/>
      <c r="AC37" s="81"/>
      <c r="AD37" s="1"/>
      <c r="AE37" s="1"/>
      <c r="AF37" s="1"/>
      <c r="AG37" s="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</row>
    <row r="38" ht="4.5" customHeight="1">
      <c r="A38" s="1"/>
      <c r="B38" s="1480"/>
      <c r="C38" s="1481"/>
      <c r="D38" s="1473"/>
      <c r="E38" s="1473"/>
      <c r="F38" s="1473"/>
      <c r="G38" s="1489"/>
      <c r="H38" s="1489"/>
      <c r="I38" s="1490"/>
      <c r="J38" s="1473"/>
      <c r="K38" s="1490"/>
      <c r="L38" s="1490"/>
      <c r="M38" s="1490"/>
      <c r="N38" s="1515"/>
      <c r="O38" s="1490"/>
      <c r="P38" s="1490"/>
      <c r="Q38" s="1490"/>
      <c r="R38" s="1490"/>
      <c r="S38" s="1490"/>
      <c r="T38" s="1515"/>
      <c r="U38" s="1490"/>
      <c r="V38" s="1490"/>
      <c r="W38" s="1490"/>
      <c r="X38" s="1490"/>
      <c r="Y38" s="1490"/>
      <c r="Z38" s="1515"/>
      <c r="AA38" s="1492"/>
      <c r="AB38" s="81"/>
      <c r="AC38" s="81"/>
      <c r="AD38" s="1"/>
      <c r="AE38" s="1"/>
      <c r="AF38" s="1"/>
      <c r="AG38" s="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</row>
    <row r="39" ht="14.25" customHeight="1">
      <c r="A39" s="1"/>
      <c r="B39" s="1480"/>
      <c r="C39" s="1481" t="s">
        <v>924</v>
      </c>
      <c r="D39" s="1473"/>
      <c r="E39" s="1473"/>
      <c r="F39" s="1473"/>
      <c r="G39" s="1483">
        <f>'L Capital'!P144-'L Capital'!P156</f>
        <v>0</v>
      </c>
      <c r="H39" s="35"/>
      <c r="I39" s="21"/>
      <c r="J39" s="1473"/>
      <c r="K39" s="1513"/>
      <c r="L39" s="20"/>
      <c r="M39" s="22"/>
      <c r="N39" s="1485" t="str">
        <f>IF(K39&lt;&gt;"",IF($G39&lt;&gt;0,K39/$G39-1,""),"")</f>
        <v/>
      </c>
      <c r="O39" s="1486" t="str">
        <f>IF(K39&gt;0,K39-$G39,"-")</f>
        <v>-</v>
      </c>
      <c r="P39" s="1473"/>
      <c r="Q39" s="1513"/>
      <c r="R39" s="20"/>
      <c r="S39" s="22"/>
      <c r="T39" s="1485" t="str">
        <f>IF(Q39&lt;&gt;"",IF($G39&lt;&gt;0,Q39/$G39-1,""),"")</f>
        <v/>
      </c>
      <c r="U39" s="1486" t="str">
        <f>IF(Q39&gt;0,Q39-$G39,"-")</f>
        <v>-</v>
      </c>
      <c r="V39" s="1473"/>
      <c r="W39" s="1513"/>
      <c r="X39" s="20"/>
      <c r="Y39" s="22"/>
      <c r="Z39" s="1485" t="str">
        <f>IF(W39&lt;&gt;"",IF($G39&lt;&gt;0,W39/$G39-1,""),"")</f>
        <v/>
      </c>
      <c r="AA39" s="1487" t="str">
        <f>IF(W39&gt;0,W39-$G39,"-")</f>
        <v>-</v>
      </c>
      <c r="AB39" s="81"/>
      <c r="AC39" s="81"/>
      <c r="AD39" s="1"/>
      <c r="AE39" s="1"/>
      <c r="AF39" s="1"/>
      <c r="AG39" s="1"/>
      <c r="AH39" s="81" t="s">
        <v>925</v>
      </c>
      <c r="AI39" s="1522"/>
      <c r="AJ39" s="81"/>
      <c r="AK39" s="81"/>
      <c r="AL39" s="81">
        <f>IF(K7&lt;&gt;"",(K7/$G7*$AI46)-$AI46,0)</f>
        <v>0</v>
      </c>
      <c r="AM39" s="81"/>
      <c r="AN39" s="81"/>
      <c r="AO39" s="81"/>
      <c r="AP39" s="81"/>
      <c r="AQ39" s="81">
        <f>IF(Q7&lt;&gt;"",(Q7/$G7*$AI46)-$AI46,0)</f>
        <v>0</v>
      </c>
      <c r="AR39" s="81"/>
      <c r="AS39" s="81"/>
      <c r="AT39" s="81"/>
      <c r="AU39" s="81"/>
      <c r="AV39" s="81">
        <f>IF(W7&lt;&gt;"",(W7/$G7*$AI46)-$AI46,0)</f>
        <v>0</v>
      </c>
    </row>
    <row r="40" ht="4.5" customHeight="1">
      <c r="A40" s="1"/>
      <c r="B40" s="1480"/>
      <c r="C40" s="1481"/>
      <c r="D40" s="1473"/>
      <c r="E40" s="1473"/>
      <c r="F40" s="1473"/>
      <c r="G40" s="1489"/>
      <c r="H40" s="1489"/>
      <c r="I40" s="1489"/>
      <c r="J40" s="1473"/>
      <c r="K40" s="1490"/>
      <c r="L40" s="1490"/>
      <c r="M40" s="1490"/>
      <c r="N40" s="1515"/>
      <c r="O40" s="1490"/>
      <c r="P40" s="1490"/>
      <c r="Q40" s="1490"/>
      <c r="R40" s="1490"/>
      <c r="S40" s="1490"/>
      <c r="T40" s="1515"/>
      <c r="U40" s="1490"/>
      <c r="V40" s="1473"/>
      <c r="W40" s="1490"/>
      <c r="X40" s="1490"/>
      <c r="Y40" s="1490"/>
      <c r="Z40" s="1515"/>
      <c r="AA40" s="1492"/>
      <c r="AB40" s="81"/>
      <c r="AC40" s="81"/>
      <c r="AD40" s="1"/>
      <c r="AE40" s="1"/>
      <c r="AF40" s="1"/>
      <c r="AG40" s="1"/>
      <c r="AH40" s="81"/>
      <c r="AI40" s="1522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</row>
    <row r="41" ht="14.25" customHeight="1">
      <c r="A41" s="1"/>
      <c r="B41" s="1480"/>
      <c r="C41" s="1481" t="s">
        <v>926</v>
      </c>
      <c r="D41" s="1473"/>
      <c r="E41" s="1473"/>
      <c r="F41" s="1473"/>
      <c r="G41" s="1523" t="str">
        <f>'L Capital'!Q148</f>
        <v/>
      </c>
      <c r="H41" s="1516"/>
      <c r="I41" s="1517" t="str">
        <f>'L Capital'!P146</f>
        <v/>
      </c>
      <c r="J41" s="1473"/>
      <c r="K41" s="1524"/>
      <c r="L41" s="1515"/>
      <c r="M41" s="1519"/>
      <c r="N41" s="1520"/>
      <c r="O41" s="1486"/>
      <c r="P41" s="1490"/>
      <c r="Q41" s="1518"/>
      <c r="R41" s="1521"/>
      <c r="S41" s="1519"/>
      <c r="T41" s="1520"/>
      <c r="U41" s="1486"/>
      <c r="V41" s="1473"/>
      <c r="W41" s="1518"/>
      <c r="X41" s="1521"/>
      <c r="Y41" s="1519"/>
      <c r="Z41" s="1520"/>
      <c r="AA41" s="1487"/>
      <c r="AB41" s="81"/>
      <c r="AC41" s="81"/>
      <c r="AD41" s="1"/>
      <c r="AE41" s="1"/>
      <c r="AF41" s="1"/>
      <c r="AG41" s="1"/>
      <c r="AH41" s="81"/>
      <c r="AI41" s="1522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</row>
    <row r="42" ht="6.75" customHeight="1">
      <c r="A42" s="1"/>
      <c r="B42" s="1525"/>
      <c r="C42" s="1526"/>
      <c r="D42" s="1527"/>
      <c r="E42" s="1527"/>
      <c r="F42" s="1527"/>
      <c r="G42" s="1528"/>
      <c r="H42" s="1528"/>
      <c r="I42" s="1528"/>
      <c r="J42" s="1528"/>
      <c r="K42" s="1528"/>
      <c r="L42" s="1528"/>
      <c r="M42" s="1528"/>
      <c r="N42" s="1528"/>
      <c r="O42" s="1528"/>
      <c r="P42" s="1528"/>
      <c r="Q42" s="1528"/>
      <c r="R42" s="1528"/>
      <c r="S42" s="1528"/>
      <c r="T42" s="1528"/>
      <c r="U42" s="1528"/>
      <c r="V42" s="1528"/>
      <c r="W42" s="1528"/>
      <c r="X42" s="1528"/>
      <c r="Y42" s="1528"/>
      <c r="Z42" s="1528"/>
      <c r="AA42" s="1529"/>
      <c r="AB42" s="81"/>
      <c r="AC42" s="81"/>
      <c r="AD42" s="1"/>
      <c r="AE42" s="1"/>
      <c r="AF42" s="1"/>
      <c r="AG42" s="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</row>
    <row r="43" ht="3.0" customHeight="1">
      <c r="A43" s="1"/>
      <c r="B43" s="1530" t="s">
        <v>927</v>
      </c>
      <c r="C43" s="1467"/>
      <c r="D43" s="1531"/>
      <c r="E43" s="1531"/>
      <c r="F43" s="1531"/>
      <c r="G43" s="1532"/>
      <c r="H43" s="1532"/>
      <c r="I43" s="1532"/>
      <c r="J43" s="1532"/>
      <c r="K43" s="1532"/>
      <c r="L43" s="1532"/>
      <c r="M43" s="1532"/>
      <c r="N43" s="1532"/>
      <c r="O43" s="1532"/>
      <c r="P43" s="1532"/>
      <c r="Q43" s="1532"/>
      <c r="R43" s="1532"/>
      <c r="S43" s="1532"/>
      <c r="T43" s="1532"/>
      <c r="U43" s="1532"/>
      <c r="V43" s="1532"/>
      <c r="W43" s="1532"/>
      <c r="X43" s="1532"/>
      <c r="Y43" s="1532"/>
      <c r="Z43" s="1532"/>
      <c r="AA43" s="1533"/>
      <c r="AB43" s="81"/>
      <c r="AC43" s="81"/>
      <c r="AD43" s="1"/>
      <c r="AE43" s="1"/>
      <c r="AF43" s="1"/>
      <c r="AG43" s="1"/>
      <c r="AH43" s="1534"/>
      <c r="AI43" s="1522"/>
      <c r="AJ43" s="81"/>
      <c r="AK43" s="81"/>
      <c r="AL43" s="1522"/>
      <c r="AM43" s="81"/>
      <c r="AN43" s="81"/>
      <c r="AO43" s="81"/>
      <c r="AP43" s="81"/>
      <c r="AQ43" s="1522"/>
      <c r="AR43" s="81"/>
      <c r="AS43" s="81"/>
      <c r="AT43" s="81"/>
      <c r="AU43" s="81"/>
      <c r="AV43" s="1522"/>
    </row>
    <row r="44" ht="15.0" customHeight="1">
      <c r="A44" s="1"/>
      <c r="B44" s="43"/>
      <c r="C44" s="38"/>
      <c r="D44" s="166"/>
      <c r="E44" s="166"/>
      <c r="F44" s="166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535"/>
      <c r="AB44" s="81"/>
      <c r="AC44" s="81"/>
      <c r="AD44" s="1"/>
      <c r="AE44" s="1"/>
      <c r="AF44" s="1"/>
      <c r="AG44" s="1"/>
      <c r="AH44" s="1536" t="s">
        <v>928</v>
      </c>
      <c r="AI44" s="80"/>
      <c r="AJ44" s="80"/>
      <c r="AK44" s="80"/>
      <c r="AL44" s="1141">
        <f>IF(K17&lt;&gt;"",$AG46*K17-$AG48,0)</f>
        <v>0</v>
      </c>
      <c r="AM44" s="81"/>
      <c r="AN44" s="81"/>
      <c r="AO44" s="81"/>
      <c r="AP44" s="81"/>
      <c r="AQ44" s="1141">
        <f>IF(Q17&lt;&gt;"",$AG46*Q17-$AG48,0)</f>
        <v>0</v>
      </c>
      <c r="AR44" s="81"/>
      <c r="AS44" s="81"/>
      <c r="AT44" s="81"/>
      <c r="AU44" s="81"/>
      <c r="AV44" s="1141">
        <f>IF(W17&lt;&gt;"",$AG46*W17-$AG48,0)</f>
        <v>0</v>
      </c>
    </row>
    <row r="45" ht="3.0" customHeight="1">
      <c r="A45" s="1"/>
      <c r="B45" s="1537"/>
      <c r="C45" s="166"/>
      <c r="D45" s="166"/>
      <c r="E45" s="166"/>
      <c r="F45" s="1538"/>
      <c r="G45" s="1539"/>
      <c r="H45" s="1539"/>
      <c r="I45" s="1540"/>
      <c r="J45" s="1541"/>
      <c r="K45" s="1541"/>
      <c r="L45" s="1541"/>
      <c r="M45" s="1541"/>
      <c r="N45" s="1541"/>
      <c r="O45" s="1542"/>
      <c r="P45" s="1543"/>
      <c r="Q45" s="1543"/>
      <c r="R45" s="1543"/>
      <c r="S45" s="1543"/>
      <c r="T45" s="1543"/>
      <c r="U45" s="1544"/>
      <c r="V45" s="1545"/>
      <c r="W45" s="1545"/>
      <c r="X45" s="1545"/>
      <c r="Y45" s="1545"/>
      <c r="Z45" s="1545"/>
      <c r="AA45" s="1546"/>
      <c r="AB45" s="81"/>
      <c r="AC45" s="81"/>
      <c r="AD45" s="1"/>
      <c r="AE45" s="1"/>
      <c r="AF45" s="1"/>
      <c r="AG45" s="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</row>
    <row r="46" ht="11.25" customHeight="1">
      <c r="A46" s="1"/>
      <c r="B46" s="1537"/>
      <c r="C46" s="166" t="s">
        <v>23</v>
      </c>
      <c r="D46" s="166"/>
      <c r="E46" s="166"/>
      <c r="F46" s="1547"/>
      <c r="G46" s="1548">
        <f>'F Population'!U20</f>
        <v>2133</v>
      </c>
      <c r="H46" s="21"/>
      <c r="I46" s="1549"/>
      <c r="J46" s="1550"/>
      <c r="K46" s="1551">
        <f>SUM(AL25:AL29)</f>
        <v>2133</v>
      </c>
      <c r="L46" s="35"/>
      <c r="M46" s="21"/>
      <c r="N46" s="1552">
        <f>K46/$G46-1</f>
        <v>0</v>
      </c>
      <c r="O46" s="1553">
        <f>K46-$G46</f>
        <v>0</v>
      </c>
      <c r="P46" s="1554"/>
      <c r="Q46" s="1555">
        <f>SUM(AQ25:AQ29)</f>
        <v>2133</v>
      </c>
      <c r="R46" s="35"/>
      <c r="S46" s="21"/>
      <c r="T46" s="1556">
        <f>Q46/$G46-1</f>
        <v>0</v>
      </c>
      <c r="U46" s="1557">
        <f>Q46-$G46</f>
        <v>0</v>
      </c>
      <c r="V46" s="1558"/>
      <c r="W46" s="1559">
        <f>SUM(AV25:AV29)</f>
        <v>2133</v>
      </c>
      <c r="X46" s="35"/>
      <c r="Y46" s="21"/>
      <c r="Z46" s="1560">
        <f>W46/$G46-1</f>
        <v>0</v>
      </c>
      <c r="AA46" s="1561">
        <f>W46-$G46</f>
        <v>0</v>
      </c>
      <c r="AB46" s="81"/>
      <c r="AC46" s="81"/>
      <c r="AD46" s="81"/>
      <c r="AE46" s="81"/>
      <c r="AF46" s="81"/>
      <c r="AG46" s="1141">
        <f>AI46/(1+G17)</f>
        <v>8365614.428</v>
      </c>
      <c r="AH46" s="81" t="s">
        <v>929</v>
      </c>
      <c r="AI46" s="81">
        <f>'G Price-Aid'!F54</f>
        <v>8532926.716</v>
      </c>
      <c r="AJ46" s="81"/>
      <c r="AK46" s="81"/>
      <c r="AL46" s="81">
        <f>$AI46*AL11*AL21</f>
        <v>8532926.716</v>
      </c>
      <c r="AM46" s="81"/>
      <c r="AN46" s="81"/>
      <c r="AO46" s="81"/>
      <c r="AP46" s="81"/>
      <c r="AQ46" s="81">
        <f>$AI46*AQ11*AQ21</f>
        <v>8532926.716</v>
      </c>
      <c r="AR46" s="81"/>
      <c r="AS46" s="81"/>
      <c r="AT46" s="81"/>
      <c r="AU46" s="81"/>
      <c r="AV46" s="81">
        <f>$AI46*AV11*AV21</f>
        <v>8532926.716</v>
      </c>
    </row>
    <row r="47" ht="6.75" customHeight="1">
      <c r="A47" s="1"/>
      <c r="B47" s="1537"/>
      <c r="C47" s="166"/>
      <c r="D47" s="166"/>
      <c r="E47" s="166"/>
      <c r="F47" s="1547"/>
      <c r="G47" s="1562"/>
      <c r="H47" s="1562"/>
      <c r="I47" s="1549"/>
      <c r="J47" s="1550"/>
      <c r="K47" s="1550"/>
      <c r="L47" s="1550"/>
      <c r="M47" s="1550"/>
      <c r="N47" s="1563"/>
      <c r="O47" s="1553"/>
      <c r="P47" s="1554"/>
      <c r="Q47" s="1554"/>
      <c r="R47" s="1554"/>
      <c r="S47" s="1554"/>
      <c r="T47" s="1564"/>
      <c r="U47" s="1557"/>
      <c r="V47" s="1558"/>
      <c r="W47" s="1558"/>
      <c r="X47" s="1558"/>
      <c r="Y47" s="1565" t="str">
        <f>IF(W47&gt;$G47,"+","")</f>
        <v/>
      </c>
      <c r="Z47" s="1566"/>
      <c r="AA47" s="1561"/>
      <c r="AB47" s="81"/>
      <c r="AC47" s="81"/>
      <c r="AD47" s="81"/>
      <c r="AE47" s="81"/>
      <c r="AF47" s="81"/>
      <c r="AG47" s="80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</row>
    <row r="48" ht="13.5" customHeight="1">
      <c r="A48" s="1"/>
      <c r="B48" s="1537"/>
      <c r="C48" s="166" t="s">
        <v>930</v>
      </c>
      <c r="D48" s="166"/>
      <c r="E48" s="166"/>
      <c r="F48" s="1567">
        <f>AI70</f>
        <v>29977981.36</v>
      </c>
      <c r="G48" s="35"/>
      <c r="H48" s="21"/>
      <c r="I48" s="1568">
        <f>AJ69</f>
        <v>0.5149576254</v>
      </c>
      <c r="J48" s="1550"/>
      <c r="K48" s="1551">
        <f>AL70</f>
        <v>29977981.36</v>
      </c>
      <c r="L48" s="35"/>
      <c r="M48" s="21"/>
      <c r="N48" s="1552">
        <f>AM69</f>
        <v>0.5149576254</v>
      </c>
      <c r="O48" s="1553">
        <f>K48-$F48</f>
        <v>0</v>
      </c>
      <c r="P48" s="1554"/>
      <c r="Q48" s="1555">
        <f>AQ70</f>
        <v>29977981.36</v>
      </c>
      <c r="R48" s="35"/>
      <c r="S48" s="21"/>
      <c r="T48" s="1556">
        <f>AR69</f>
        <v>0.5149576254</v>
      </c>
      <c r="U48" s="1557">
        <f>Q48-$F48</f>
        <v>0</v>
      </c>
      <c r="V48" s="1558"/>
      <c r="W48" s="1559">
        <f>AV70</f>
        <v>29977981.36</v>
      </c>
      <c r="X48" s="35"/>
      <c r="Y48" s="21"/>
      <c r="Z48" s="1560">
        <f>AW69</f>
        <v>0.5149576254</v>
      </c>
      <c r="AA48" s="1561">
        <f>W48-$F48</f>
        <v>0</v>
      </c>
      <c r="AB48" s="81"/>
      <c r="AC48" s="81"/>
      <c r="AD48" s="81"/>
      <c r="AE48" s="81"/>
      <c r="AF48" s="81"/>
      <c r="AG48" s="81">
        <f>AI46-AG46</f>
        <v>167312.2886</v>
      </c>
      <c r="AH48" s="81" t="s">
        <v>931</v>
      </c>
      <c r="AI48" s="1522">
        <f>-'G Price-Aid'!F56</f>
        <v>-4351792.625</v>
      </c>
      <c r="AJ48" s="1569">
        <f>AI48/AI46</f>
        <v>-0.51</v>
      </c>
      <c r="AK48" s="81"/>
      <c r="AL48" s="1522">
        <f>IF(K15&lt;&gt;"",AL46*-K15,AL46*-$G15)</f>
        <v>-4351792.625</v>
      </c>
      <c r="AM48" s="81"/>
      <c r="AN48" s="81"/>
      <c r="AO48" s="81"/>
      <c r="AP48" s="81"/>
      <c r="AQ48" s="1522">
        <f>IF(Q15&lt;&gt;"",AQ46*-Q15,AQ46*-$G15)</f>
        <v>-4351792.625</v>
      </c>
      <c r="AR48" s="81"/>
      <c r="AS48" s="81"/>
      <c r="AT48" s="81"/>
      <c r="AU48" s="81"/>
      <c r="AV48" s="1522">
        <f>IF(W15&lt;&gt;"",AV46*-W15,AV46*-$G15)</f>
        <v>-4351792.625</v>
      </c>
    </row>
    <row r="49" ht="6.75" customHeight="1">
      <c r="A49" s="1"/>
      <c r="B49" s="1537"/>
      <c r="C49" s="166"/>
      <c r="D49" s="166"/>
      <c r="E49" s="166"/>
      <c r="F49" s="1570"/>
      <c r="G49" s="1571"/>
      <c r="H49" s="1571"/>
      <c r="I49" s="1572"/>
      <c r="J49" s="1550"/>
      <c r="K49" s="1550"/>
      <c r="L49" s="1550"/>
      <c r="M49" s="1550"/>
      <c r="N49" s="1563"/>
      <c r="O49" s="1553"/>
      <c r="P49" s="1554"/>
      <c r="Q49" s="1554"/>
      <c r="R49" s="1554"/>
      <c r="S49" s="1554"/>
      <c r="T49" s="1564"/>
      <c r="U49" s="1557"/>
      <c r="V49" s="1558"/>
      <c r="W49" s="1558"/>
      <c r="X49" s="1558"/>
      <c r="Y49" s="1565" t="str">
        <f>IF(W49&gt;$F49,"+","")</f>
        <v/>
      </c>
      <c r="Z49" s="1566"/>
      <c r="AA49" s="156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</row>
    <row r="50" ht="13.5" customHeight="1">
      <c r="A50" s="1"/>
      <c r="B50" s="1537"/>
      <c r="C50" s="166" t="s">
        <v>932</v>
      </c>
      <c r="D50" s="166"/>
      <c r="E50" s="166"/>
      <c r="F50" s="1567">
        <f>F48/G46</f>
        <v>14054.37476</v>
      </c>
      <c r="G50" s="35"/>
      <c r="H50" s="21"/>
      <c r="I50" s="1572"/>
      <c r="J50" s="1550"/>
      <c r="K50" s="1551">
        <f>IF(K48&gt;0,IF(K46&gt;0,K48/K46,$F50),$F50)</f>
        <v>14054.37476</v>
      </c>
      <c r="L50" s="35"/>
      <c r="M50" s="21"/>
      <c r="N50" s="1552">
        <f>K50/$F50-1</f>
        <v>0</v>
      </c>
      <c r="O50" s="1553">
        <f>K50-$F50</f>
        <v>0</v>
      </c>
      <c r="P50" s="1554"/>
      <c r="Q50" s="1555">
        <f>IF(Q48&gt;0,IF(Q46&gt;0,Q48/Q46,$F50),$F50)</f>
        <v>14054.37476</v>
      </c>
      <c r="R50" s="35"/>
      <c r="S50" s="21"/>
      <c r="T50" s="1556">
        <f>Q50/$F50-1</f>
        <v>0</v>
      </c>
      <c r="U50" s="1557">
        <f>Q50-$F50</f>
        <v>0</v>
      </c>
      <c r="V50" s="1558"/>
      <c r="W50" s="1559">
        <f>IF(W48&gt;0,IF(W46&gt;0,W48/W46,$F50),$F50)</f>
        <v>14054.37476</v>
      </c>
      <c r="X50" s="35"/>
      <c r="Y50" s="21"/>
      <c r="Z50" s="1560">
        <f>W50/$F50-1</f>
        <v>0</v>
      </c>
      <c r="AA50" s="1561">
        <f>W50-$F50</f>
        <v>0</v>
      </c>
      <c r="AB50" s="81"/>
      <c r="AC50" s="81"/>
      <c r="AD50" s="81"/>
      <c r="AE50" s="81"/>
      <c r="AF50" s="81"/>
      <c r="AG50" s="81"/>
      <c r="AH50" s="81" t="s">
        <v>933</v>
      </c>
      <c r="AI50" s="1522">
        <f>AI46+AI48</f>
        <v>4181134.091</v>
      </c>
      <c r="AJ50" s="81"/>
      <c r="AK50" s="81"/>
      <c r="AL50" s="1522">
        <f>AL46+AL48</f>
        <v>4181134.091</v>
      </c>
      <c r="AM50" s="81"/>
      <c r="AN50" s="81"/>
      <c r="AO50" s="81"/>
      <c r="AP50" s="81"/>
      <c r="AQ50" s="1522">
        <f>AQ46+AQ48</f>
        <v>4181134.091</v>
      </c>
      <c r="AR50" s="81"/>
      <c r="AS50" s="81"/>
      <c r="AT50" s="81"/>
      <c r="AU50" s="81"/>
      <c r="AV50" s="1522">
        <f>AV46+AV48</f>
        <v>4181134.091</v>
      </c>
      <c r="AW50" s="81"/>
    </row>
    <row r="51" ht="6.75" customHeight="1">
      <c r="A51" s="1"/>
      <c r="B51" s="1537"/>
      <c r="C51" s="166"/>
      <c r="D51" s="166"/>
      <c r="E51" s="166"/>
      <c r="F51" s="1570"/>
      <c r="G51" s="1571"/>
      <c r="H51" s="1571"/>
      <c r="I51" s="1572"/>
      <c r="J51" s="1550"/>
      <c r="K51" s="1550"/>
      <c r="L51" s="1550"/>
      <c r="M51" s="1550"/>
      <c r="N51" s="1563"/>
      <c r="O51" s="1553"/>
      <c r="P51" s="1554"/>
      <c r="Q51" s="1554"/>
      <c r="R51" s="1554"/>
      <c r="S51" s="1554"/>
      <c r="T51" s="1564"/>
      <c r="U51" s="1557"/>
      <c r="V51" s="1558"/>
      <c r="W51" s="1558"/>
      <c r="X51" s="1558"/>
      <c r="Y51" s="1565" t="str">
        <f>IF(W51&gt;$F51,"+","")</f>
        <v/>
      </c>
      <c r="Z51" s="1566"/>
      <c r="AA51" s="156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</row>
    <row r="52" ht="14.25" customHeight="1">
      <c r="A52" s="1"/>
      <c r="B52" s="1537"/>
      <c r="C52" s="166" t="s">
        <v>25</v>
      </c>
      <c r="D52" s="166"/>
      <c r="E52" s="166"/>
      <c r="F52" s="1567">
        <f>'R Bal sheets'!J7</f>
        <v>30918180.52</v>
      </c>
      <c r="G52" s="35"/>
      <c r="H52" s="21"/>
      <c r="I52" s="1572"/>
      <c r="J52" s="1550"/>
      <c r="K52" s="1551">
        <f>AL112</f>
        <v>33618180.52</v>
      </c>
      <c r="L52" s="35"/>
      <c r="M52" s="21"/>
      <c r="N52" s="1552">
        <f>K52/$F52-1</f>
        <v>0.08732726035</v>
      </c>
      <c r="O52" s="1553">
        <f>K52-$F52</f>
        <v>2700000</v>
      </c>
      <c r="P52" s="1554"/>
      <c r="Q52" s="1555">
        <f>AQ112</f>
        <v>33618180.52</v>
      </c>
      <c r="R52" s="35"/>
      <c r="S52" s="21"/>
      <c r="T52" s="1556">
        <f>Q52/$F52-1</f>
        <v>0.08732726035</v>
      </c>
      <c r="U52" s="1557">
        <f>Q52-$F52</f>
        <v>2700000</v>
      </c>
      <c r="V52" s="1558"/>
      <c r="W52" s="1559">
        <f>AV112</f>
        <v>33618180.52</v>
      </c>
      <c r="X52" s="35"/>
      <c r="Y52" s="21"/>
      <c r="Z52" s="1560">
        <f>W52/$F52-1</f>
        <v>0.08732726035</v>
      </c>
      <c r="AA52" s="1561">
        <f>W52-$F52</f>
        <v>2700000</v>
      </c>
      <c r="AB52" s="81"/>
      <c r="AC52" s="81"/>
      <c r="AD52" s="81"/>
      <c r="AE52" s="81"/>
      <c r="AF52" s="81"/>
      <c r="AG52" s="81"/>
      <c r="AH52" s="81" t="s">
        <v>934</v>
      </c>
      <c r="AI52" s="81">
        <f>'G Price-Aid'!R54-'G Price-Aid'!F54</f>
        <v>22671103.57</v>
      </c>
      <c r="AJ52" s="81"/>
      <c r="AK52" s="81"/>
      <c r="AL52" s="81">
        <f>$AI52*AL$15</f>
        <v>22671103.57</v>
      </c>
      <c r="AM52" s="81"/>
      <c r="AN52" s="81"/>
      <c r="AO52" s="81"/>
      <c r="AP52" s="81"/>
      <c r="AQ52" s="81">
        <f>$AI52*AQ$15</f>
        <v>22671103.57</v>
      </c>
      <c r="AR52" s="81"/>
      <c r="AS52" s="81"/>
      <c r="AT52" s="81"/>
      <c r="AU52" s="81"/>
      <c r="AV52" s="81">
        <f>$AI52*AV$15</f>
        <v>22671103.57</v>
      </c>
      <c r="AW52" s="81"/>
    </row>
    <row r="53" ht="5.25" customHeight="1">
      <c r="A53" s="1"/>
      <c r="B53" s="1537"/>
      <c r="C53" s="166"/>
      <c r="D53" s="166"/>
      <c r="E53" s="166"/>
      <c r="F53" s="1570"/>
      <c r="G53" s="1571"/>
      <c r="H53" s="1571"/>
      <c r="I53" s="1572"/>
      <c r="J53" s="1550"/>
      <c r="K53" s="1550"/>
      <c r="L53" s="1550"/>
      <c r="M53" s="1550"/>
      <c r="N53" s="1573"/>
      <c r="O53" s="1574"/>
      <c r="P53" s="1554"/>
      <c r="Q53" s="1554"/>
      <c r="R53" s="1554"/>
      <c r="S53" s="1554"/>
      <c r="T53" s="1575"/>
      <c r="U53" s="1576"/>
      <c r="V53" s="1558"/>
      <c r="W53" s="1558"/>
      <c r="X53" s="1558"/>
      <c r="Y53" s="1565" t="str">
        <f>IF(W53&gt;$F53,"+","")</f>
        <v/>
      </c>
      <c r="Z53" s="1577"/>
      <c r="AA53" s="1578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</row>
    <row r="54" ht="13.5" customHeight="1">
      <c r="A54" s="1"/>
      <c r="B54" s="1537"/>
      <c r="C54" s="166" t="s">
        <v>935</v>
      </c>
      <c r="D54" s="166"/>
      <c r="E54" s="166"/>
      <c r="F54" s="1567">
        <f>'P Fcast 5yr'!I41</f>
        <v>8207301.158</v>
      </c>
      <c r="G54" s="35"/>
      <c r="H54" s="21"/>
      <c r="I54" s="1572"/>
      <c r="J54" s="1550"/>
      <c r="K54" s="1551">
        <f>AL104</f>
        <v>10907301.16</v>
      </c>
      <c r="L54" s="35"/>
      <c r="M54" s="21"/>
      <c r="N54" s="1552">
        <f>K54/$F54-1</f>
        <v>0.3289753779</v>
      </c>
      <c r="O54" s="1553">
        <f>K54-$F54</f>
        <v>2700000</v>
      </c>
      <c r="P54" s="1554"/>
      <c r="Q54" s="1555">
        <f>AQ104</f>
        <v>10907301.16</v>
      </c>
      <c r="R54" s="35"/>
      <c r="S54" s="21"/>
      <c r="T54" s="1556">
        <f>Q54/$F54-1</f>
        <v>0.3289753779</v>
      </c>
      <c r="U54" s="1557">
        <f>Q54-$F54</f>
        <v>2700000</v>
      </c>
      <c r="V54" s="1558"/>
      <c r="W54" s="1559">
        <f>AV104</f>
        <v>10907301.16</v>
      </c>
      <c r="X54" s="35"/>
      <c r="Y54" s="21"/>
      <c r="Z54" s="1560">
        <f>W54/$F54-1</f>
        <v>0.3289753779</v>
      </c>
      <c r="AA54" s="1561">
        <f>W54-$F54</f>
        <v>2700000</v>
      </c>
      <c r="AB54" s="81"/>
      <c r="AC54" s="81"/>
      <c r="AD54" s="81"/>
      <c r="AE54" s="81"/>
      <c r="AF54" s="81"/>
      <c r="AG54" s="81"/>
      <c r="AH54" s="81" t="s">
        <v>936</v>
      </c>
      <c r="AI54" s="1522">
        <f>-'G Price-Aid'!R56+'G Price-Aid'!F56</f>
        <v>-11763088.17</v>
      </c>
      <c r="AJ54" s="1569">
        <f>-AI54/AI52</f>
        <v>0.5188582078</v>
      </c>
      <c r="AK54" s="1569"/>
      <c r="AL54" s="1522">
        <f>AL52*-$AJ54</f>
        <v>-11763088.17</v>
      </c>
      <c r="AM54" s="1569">
        <f>-AL54/AL52</f>
        <v>0.5188582078</v>
      </c>
      <c r="AN54" s="81"/>
      <c r="AO54" s="81"/>
      <c r="AP54" s="81"/>
      <c r="AQ54" s="1522">
        <f>AQ52*-$AJ54</f>
        <v>-11763088.17</v>
      </c>
      <c r="AR54" s="1569">
        <f>-AQ54/AQ52</f>
        <v>0.5188582078</v>
      </c>
      <c r="AS54" s="81"/>
      <c r="AT54" s="81"/>
      <c r="AU54" s="81"/>
      <c r="AV54" s="1522">
        <f>AV52*-$AJ54</f>
        <v>-11763088.17</v>
      </c>
      <c r="AW54" s="1569">
        <f>-AV54/AV52</f>
        <v>0.5188582078</v>
      </c>
    </row>
    <row r="55" ht="5.25" customHeight="1">
      <c r="A55" s="1"/>
      <c r="B55" s="1537"/>
      <c r="C55" s="166"/>
      <c r="D55" s="166"/>
      <c r="E55" s="166"/>
      <c r="F55" s="1570"/>
      <c r="G55" s="1571"/>
      <c r="H55" s="1571"/>
      <c r="I55" s="1572"/>
      <c r="J55" s="1550"/>
      <c r="K55" s="1550"/>
      <c r="L55" s="1550"/>
      <c r="M55" s="1550"/>
      <c r="N55" s="1579"/>
      <c r="O55" s="1553"/>
      <c r="P55" s="1554"/>
      <c r="Q55" s="1554"/>
      <c r="R55" s="1554"/>
      <c r="S55" s="1580"/>
      <c r="T55" s="1581"/>
      <c r="U55" s="1557"/>
      <c r="V55" s="1558"/>
      <c r="W55" s="1558"/>
      <c r="X55" s="1558"/>
      <c r="Y55" s="1565" t="str">
        <f>IF(W55&gt;$F55,"+","")</f>
        <v/>
      </c>
      <c r="Z55" s="1582"/>
      <c r="AA55" s="156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</row>
    <row r="56" ht="13.5" customHeight="1">
      <c r="A56" s="1"/>
      <c r="B56" s="1537"/>
      <c r="C56" s="166" t="s">
        <v>937</v>
      </c>
      <c r="D56" s="166"/>
      <c r="E56" s="166"/>
      <c r="F56" s="1567">
        <f>AI108</f>
        <v>22804075.76</v>
      </c>
      <c r="G56" s="35"/>
      <c r="H56" s="21"/>
      <c r="I56" s="1572"/>
      <c r="J56" s="1550"/>
      <c r="K56" s="1551">
        <f>AL108</f>
        <v>22804075.76</v>
      </c>
      <c r="L56" s="35"/>
      <c r="M56" s="21"/>
      <c r="N56" s="1552">
        <f>K56/$F56-1</f>
        <v>0</v>
      </c>
      <c r="O56" s="1553">
        <f>K56-$F56</f>
        <v>0</v>
      </c>
      <c r="P56" s="1554"/>
      <c r="Q56" s="1555">
        <f>AQ108</f>
        <v>22804075.76</v>
      </c>
      <c r="R56" s="35"/>
      <c r="S56" s="21"/>
      <c r="T56" s="1556">
        <f>Q56/$F56-1</f>
        <v>0</v>
      </c>
      <c r="U56" s="1557">
        <f>Q56-$F56</f>
        <v>0</v>
      </c>
      <c r="V56" s="1558"/>
      <c r="W56" s="1559">
        <f>AV108</f>
        <v>22804075.76</v>
      </c>
      <c r="X56" s="35"/>
      <c r="Y56" s="21"/>
      <c r="Z56" s="1560">
        <f>W56/$F56-1</f>
        <v>0</v>
      </c>
      <c r="AA56" s="1561">
        <f>W56-$F56</f>
        <v>0</v>
      </c>
      <c r="AB56" s="81"/>
      <c r="AC56" s="81"/>
      <c r="AD56" s="81"/>
      <c r="AE56" s="81"/>
      <c r="AF56" s="81"/>
      <c r="AG56" s="81"/>
      <c r="AH56" s="81" t="s">
        <v>938</v>
      </c>
      <c r="AI56" s="1522">
        <f>AI52+AI54</f>
        <v>10908015.4</v>
      </c>
      <c r="AJ56" s="81"/>
      <c r="AK56" s="81"/>
      <c r="AL56" s="1522">
        <f>AL52+AL54</f>
        <v>10908015.4</v>
      </c>
      <c r="AM56" s="81"/>
      <c r="AN56" s="81"/>
      <c r="AO56" s="81"/>
      <c r="AP56" s="81"/>
      <c r="AQ56" s="1522">
        <f>AQ52+AQ54</f>
        <v>10908015.4</v>
      </c>
      <c r="AR56" s="81"/>
      <c r="AS56" s="81"/>
      <c r="AT56" s="81"/>
      <c r="AU56" s="81"/>
      <c r="AV56" s="1522">
        <f>AV52+AV54</f>
        <v>10908015.4</v>
      </c>
      <c r="AW56" s="81"/>
    </row>
    <row r="57" ht="6.0" customHeight="1">
      <c r="A57" s="1"/>
      <c r="B57" s="1537"/>
      <c r="C57" s="166"/>
      <c r="D57" s="166"/>
      <c r="E57" s="166"/>
      <c r="F57" s="1583"/>
      <c r="G57" s="1562"/>
      <c r="H57" s="1562"/>
      <c r="I57" s="1572"/>
      <c r="J57" s="1550"/>
      <c r="K57" s="1550"/>
      <c r="L57" s="1550"/>
      <c r="M57" s="1550"/>
      <c r="N57" s="183"/>
      <c r="O57" s="1584"/>
      <c r="P57" s="1554"/>
      <c r="Q57" s="1554"/>
      <c r="R57" s="1554"/>
      <c r="S57" s="1585"/>
      <c r="T57" s="1564"/>
      <c r="U57" s="1586"/>
      <c r="V57" s="1558"/>
      <c r="W57" s="1558"/>
      <c r="X57" s="1558"/>
      <c r="Y57" s="1587"/>
      <c r="Z57" s="1566"/>
      <c r="AA57" s="1588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</row>
    <row r="58" ht="14.25" customHeight="1">
      <c r="A58" s="1"/>
      <c r="B58" s="1537"/>
      <c r="C58" s="166" t="s">
        <v>939</v>
      </c>
      <c r="D58" s="166"/>
      <c r="E58" s="166"/>
      <c r="F58" s="1589">
        <f>ROUND(AI167,1)</f>
        <v>3</v>
      </c>
      <c r="G58" s="35"/>
      <c r="H58" s="21"/>
      <c r="I58" s="1572"/>
      <c r="J58" s="1550"/>
      <c r="K58" s="1550"/>
      <c r="L58" s="1590">
        <f>ROUND(AL167,1)</f>
        <v>3</v>
      </c>
      <c r="M58" s="21"/>
      <c r="N58" s="1591" t="str">
        <f>IF((L58-$F58)=0,"no change",L58-$F58)</f>
        <v>no change</v>
      </c>
      <c r="O58" s="1592"/>
      <c r="P58" s="1554"/>
      <c r="Q58" s="1554"/>
      <c r="R58" s="1593">
        <f>ROUND(AQ167,1)</f>
        <v>3</v>
      </c>
      <c r="S58" s="21"/>
      <c r="T58" s="1594" t="str">
        <f>IF((R58-$F58)=0,"no change",R58-$F58)</f>
        <v>no change</v>
      </c>
      <c r="U58" s="1595"/>
      <c r="V58" s="1558"/>
      <c r="W58" s="1558"/>
      <c r="X58" s="1596">
        <f>ROUND(AV167,1)</f>
        <v>3</v>
      </c>
      <c r="Y58" s="21"/>
      <c r="Z58" s="1597" t="str">
        <f>IF((X58-$F58)=0,"no change",X58-$F58)</f>
        <v>no change</v>
      </c>
      <c r="AA58" s="1598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1599"/>
      <c r="AN58" s="81"/>
      <c r="AO58" s="81"/>
      <c r="AP58" s="81"/>
      <c r="AQ58" s="81"/>
      <c r="AR58" s="1599"/>
      <c r="AS58" s="81"/>
      <c r="AT58" s="81"/>
      <c r="AU58" s="81"/>
      <c r="AV58" s="81"/>
      <c r="AW58" s="1599"/>
    </row>
    <row r="59" ht="14.25" customHeight="1">
      <c r="A59" s="1"/>
      <c r="B59" s="1600"/>
      <c r="C59" s="1601"/>
      <c r="D59" s="1601"/>
      <c r="E59" s="1601"/>
      <c r="F59" s="1602"/>
      <c r="G59" s="1603"/>
      <c r="H59" s="1603"/>
      <c r="I59" s="1604"/>
      <c r="J59" s="1605"/>
      <c r="K59" s="1605"/>
      <c r="L59" s="1605"/>
      <c r="M59" s="1605"/>
      <c r="N59" s="1605"/>
      <c r="O59" s="1606"/>
      <c r="P59" s="1607"/>
      <c r="Q59" s="1607"/>
      <c r="R59" s="1607"/>
      <c r="S59" s="1607"/>
      <c r="T59" s="1607"/>
      <c r="U59" s="1608"/>
      <c r="V59" s="1609"/>
      <c r="W59" s="1609"/>
      <c r="X59" s="1609"/>
      <c r="Y59" s="1609"/>
      <c r="Z59" s="1609"/>
      <c r="AA59" s="1610"/>
      <c r="AB59" s="81"/>
      <c r="AC59" s="81"/>
      <c r="AD59" s="81"/>
      <c r="AE59" s="81"/>
      <c r="AF59" s="81"/>
      <c r="AG59" s="81"/>
      <c r="AH59" s="81" t="s">
        <v>940</v>
      </c>
      <c r="AI59" s="81">
        <f>AI46+AI52</f>
        <v>31204030.28</v>
      </c>
      <c r="AJ59" s="81"/>
      <c r="AK59" s="81"/>
      <c r="AL59" s="81">
        <f>AL46+AL52</f>
        <v>31204030.28</v>
      </c>
      <c r="AM59" s="81"/>
      <c r="AN59" s="81"/>
      <c r="AO59" s="81"/>
      <c r="AP59" s="81"/>
      <c r="AQ59" s="81">
        <f>AQ46+AQ52</f>
        <v>31204030.28</v>
      </c>
      <c r="AR59" s="81"/>
      <c r="AS59" s="81"/>
      <c r="AT59" s="81"/>
      <c r="AU59" s="81"/>
      <c r="AV59" s="81">
        <f>AV46+AV52</f>
        <v>31204030.28</v>
      </c>
      <c r="AW59" s="81"/>
    </row>
    <row r="60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565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</row>
    <row r="61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81"/>
      <c r="AE61" s="81"/>
      <c r="AF61" s="81"/>
      <c r="AG61" s="81"/>
      <c r="AH61" s="81" t="s">
        <v>941</v>
      </c>
      <c r="AI61" s="1522">
        <f>AI48+AI54</f>
        <v>-16114880.79</v>
      </c>
      <c r="AJ61" s="81"/>
      <c r="AK61" s="81"/>
      <c r="AL61" s="1522">
        <f>AL48+AL54</f>
        <v>-16114880.79</v>
      </c>
      <c r="AM61" s="81"/>
      <c r="AN61" s="81"/>
      <c r="AO61" s="81"/>
      <c r="AP61" s="81"/>
      <c r="AQ61" s="1522">
        <f>AQ48+AQ54</f>
        <v>-16114880.79</v>
      </c>
      <c r="AR61" s="81"/>
      <c r="AS61" s="81"/>
      <c r="AT61" s="81"/>
      <c r="AU61" s="81"/>
      <c r="AV61" s="1522">
        <f>AV48+AV54</f>
        <v>-16114880.79</v>
      </c>
      <c r="AW61" s="81"/>
    </row>
    <row r="6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81"/>
      <c r="AE62" s="81"/>
      <c r="AF62" s="81"/>
      <c r="AG62" s="81"/>
      <c r="AH62" s="81"/>
      <c r="AI62" s="1522"/>
      <c r="AJ62" s="81"/>
      <c r="AK62" s="81"/>
      <c r="AL62" s="1522"/>
      <c r="AM62" s="81"/>
      <c r="AN62" s="81"/>
      <c r="AO62" s="81"/>
      <c r="AP62" s="81"/>
      <c r="AQ62" s="1522"/>
      <c r="AR62" s="81"/>
      <c r="AS62" s="81"/>
      <c r="AT62" s="81"/>
      <c r="AU62" s="81"/>
      <c r="AV62" s="1522"/>
      <c r="AW62" s="81"/>
    </row>
    <row r="63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81"/>
      <c r="AE63" s="81"/>
      <c r="AF63" s="81"/>
      <c r="AG63" s="81"/>
      <c r="AH63" s="81" t="s">
        <v>943</v>
      </c>
      <c r="AI63" s="1522">
        <f>AI59+AI61</f>
        <v>15089149.49</v>
      </c>
      <c r="AJ63" s="81"/>
      <c r="AK63" s="81"/>
      <c r="AL63" s="1522">
        <f>AL59+AL61</f>
        <v>15089149.49</v>
      </c>
      <c r="AM63" s="81"/>
      <c r="AN63" s="81"/>
      <c r="AO63" s="81"/>
      <c r="AP63" s="81"/>
      <c r="AQ63" s="1522">
        <f>AQ59+AQ61</f>
        <v>15089149.49</v>
      </c>
      <c r="AR63" s="81"/>
      <c r="AS63" s="81"/>
      <c r="AT63" s="81"/>
      <c r="AU63" s="81"/>
      <c r="AV63" s="1522">
        <f>AV59+AV61</f>
        <v>15089149.49</v>
      </c>
      <c r="AW63" s="81"/>
    </row>
    <row r="64" ht="14.25" customHeight="1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I64" s="1611"/>
      <c r="AJ64" s="1611"/>
      <c r="AK64" s="1611"/>
      <c r="AL64" s="1611"/>
      <c r="AM64" s="1611"/>
      <c r="AN64" s="1611"/>
      <c r="AO64" s="1611"/>
      <c r="AP64" s="1611"/>
      <c r="AQ64" s="1611"/>
      <c r="AR64" s="1611"/>
      <c r="AS64" s="1611"/>
      <c r="AT64" s="1611"/>
      <c r="AU64" s="1611"/>
      <c r="AV64" s="1611"/>
    </row>
    <row r="65" ht="14.25" customHeight="1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612" t="s">
        <v>944</v>
      </c>
      <c r="AI65" s="1612"/>
      <c r="AJ65" s="81"/>
      <c r="AK65" s="81"/>
      <c r="AL65" s="81"/>
      <c r="AM65" s="81"/>
      <c r="AN65" s="81"/>
      <c r="AO65" s="81"/>
      <c r="AP65" s="81"/>
      <c r="AQ65" s="81"/>
      <c r="AR65" s="81"/>
      <c r="AS65" s="81"/>
      <c r="AT65" s="81"/>
      <c r="AU65" s="81"/>
      <c r="AV65" s="81"/>
      <c r="AW65" s="81"/>
    </row>
    <row r="66" ht="14.25" customHeight="1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612"/>
      <c r="AI66" s="1612"/>
      <c r="AJ66" s="81"/>
      <c r="AK66" s="81"/>
      <c r="AL66" s="81"/>
      <c r="AM66" s="81"/>
      <c r="AN66" s="81"/>
      <c r="AO66" s="81"/>
      <c r="AP66" s="81"/>
      <c r="AQ66" s="81"/>
      <c r="AR66" s="81"/>
      <c r="AS66" s="81"/>
      <c r="AT66" s="81"/>
      <c r="AU66" s="81"/>
      <c r="AV66" s="81"/>
      <c r="AW66" s="81"/>
    </row>
    <row r="67" ht="14.25" customHeight="1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006"/>
      <c r="AI67" s="1613" t="s">
        <v>884</v>
      </c>
      <c r="AJ67" s="21"/>
      <c r="AK67" s="81"/>
      <c r="AL67" s="1613" t="s">
        <v>885</v>
      </c>
      <c r="AM67" s="21"/>
      <c r="AN67" s="81"/>
      <c r="AO67" s="81"/>
      <c r="AP67" s="81"/>
      <c r="AQ67" s="1613" t="s">
        <v>886</v>
      </c>
      <c r="AR67" s="21"/>
      <c r="AS67" s="81"/>
      <c r="AT67" s="81"/>
      <c r="AU67" s="81"/>
      <c r="AV67" s="1613" t="s">
        <v>887</v>
      </c>
      <c r="AW67" s="21"/>
    </row>
    <row r="68" ht="14.25" customHeight="1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614" t="s">
        <v>28</v>
      </c>
      <c r="AI68" s="1261">
        <f>'I Student rev'!L55</f>
        <v>61804870.92</v>
      </c>
      <c r="AJ68" s="1614"/>
      <c r="AK68" s="1614"/>
      <c r="AL68" s="1261">
        <f>AL59/$AI59*$AI68</f>
        <v>61804870.92</v>
      </c>
      <c r="AM68" s="1614"/>
      <c r="AN68" s="1614"/>
      <c r="AO68" s="1614"/>
      <c r="AP68" s="1614"/>
      <c r="AQ68" s="1261">
        <f>AQ59/$AI59*$AI68</f>
        <v>61804870.92</v>
      </c>
      <c r="AR68" s="1614"/>
      <c r="AS68" s="1614"/>
      <c r="AT68" s="1614"/>
      <c r="AU68" s="1614"/>
      <c r="AV68" s="1261">
        <f>AV59/$AI59*$AI68</f>
        <v>61804870.92</v>
      </c>
      <c r="AW68" s="1614"/>
    </row>
    <row r="69" ht="14.25" customHeight="1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614" t="s">
        <v>946</v>
      </c>
      <c r="AI69" s="1615">
        <f>'I Student rev'!L57</f>
        <v>-31826889.56</v>
      </c>
      <c r="AJ69" s="1616">
        <f>-AI69/AI68</f>
        <v>0.5149576254</v>
      </c>
      <c r="AK69" s="1616"/>
      <c r="AL69" s="1615">
        <f>AL61/$AI61*$AI69</f>
        <v>-31826889.56</v>
      </c>
      <c r="AM69" s="1616">
        <f>-AL69/AL68</f>
        <v>0.5149576254</v>
      </c>
      <c r="AN69" s="1616"/>
      <c r="AO69" s="1616"/>
      <c r="AP69" s="1616"/>
      <c r="AQ69" s="1615">
        <f>AQ61/$AI61*$AI69</f>
        <v>-31826889.56</v>
      </c>
      <c r="AR69" s="1616">
        <f>-AQ69/AQ68</f>
        <v>0.5149576254</v>
      </c>
      <c r="AS69" s="1616"/>
      <c r="AT69" s="1616"/>
      <c r="AU69" s="1616"/>
      <c r="AV69" s="1615">
        <f>AV61/$AI61*$AI69</f>
        <v>-31826889.56</v>
      </c>
      <c r="AW69" s="1616">
        <f>-AV69/AV68</f>
        <v>0.5149576254</v>
      </c>
    </row>
    <row r="70" ht="14.25" customHeight="1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614" t="s">
        <v>38</v>
      </c>
      <c r="AI70" s="1617">
        <f>AI68+AI69</f>
        <v>29977981.36</v>
      </c>
      <c r="AJ70" s="1614"/>
      <c r="AK70" s="1614"/>
      <c r="AL70" s="1617">
        <f>AL68+AL69</f>
        <v>29977981.36</v>
      </c>
      <c r="AM70" s="1614"/>
      <c r="AN70" s="1614"/>
      <c r="AO70" s="1614"/>
      <c r="AP70" s="1614"/>
      <c r="AQ70" s="1617">
        <f>AQ68+AQ69</f>
        <v>29977981.36</v>
      </c>
      <c r="AR70" s="1614"/>
      <c r="AS70" s="1614"/>
      <c r="AT70" s="1614"/>
      <c r="AU70" s="1614"/>
      <c r="AV70" s="1617">
        <f>AV68+AV69</f>
        <v>29977981.36</v>
      </c>
      <c r="AW70" s="1614"/>
    </row>
    <row r="71" ht="14.25" customHeight="1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614"/>
      <c r="AI71" s="1261"/>
      <c r="AJ71" s="1614"/>
      <c r="AK71" s="1614"/>
      <c r="AL71" s="1261"/>
      <c r="AM71" s="1614"/>
      <c r="AN71" s="1614"/>
      <c r="AO71" s="1614"/>
      <c r="AP71" s="1614"/>
      <c r="AQ71" s="1261"/>
      <c r="AR71" s="1614"/>
      <c r="AS71" s="1614"/>
      <c r="AT71" s="1614"/>
      <c r="AU71" s="1614"/>
      <c r="AV71" s="1261"/>
      <c r="AW71" s="1614"/>
    </row>
    <row r="72" ht="14.25" customHeight="1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614" t="s">
        <v>637</v>
      </c>
      <c r="AI72" s="1261">
        <f>'I Student rev'!H61</f>
        <v>19165822</v>
      </c>
      <c r="AJ72" s="1614"/>
      <c r="AK72" s="1614"/>
      <c r="AL72" s="1261"/>
      <c r="AM72" s="1614"/>
      <c r="AN72" s="1614"/>
      <c r="AO72" s="1614"/>
      <c r="AP72" s="1614"/>
      <c r="AQ72" s="1261"/>
      <c r="AR72" s="1614"/>
      <c r="AS72" s="1614"/>
      <c r="AT72" s="1614"/>
      <c r="AU72" s="1614"/>
      <c r="AV72" s="1261"/>
      <c r="AW72" s="1614"/>
    </row>
    <row r="73" ht="14.25" customHeight="1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614" t="s">
        <v>640</v>
      </c>
      <c r="AI73" s="490">
        <f>'I Student rev'!J61</f>
        <v>-1134000</v>
      </c>
      <c r="AJ73" s="1614"/>
      <c r="AK73" s="1614"/>
      <c r="AL73" s="490"/>
      <c r="AM73" s="1614"/>
      <c r="AN73" s="1614"/>
      <c r="AO73" s="1614"/>
      <c r="AP73" s="1614"/>
      <c r="AQ73" s="490"/>
      <c r="AR73" s="1614"/>
      <c r="AS73" s="1614"/>
      <c r="AT73" s="1614"/>
      <c r="AU73" s="1614"/>
      <c r="AV73" s="490"/>
      <c r="AW73" s="1614"/>
    </row>
    <row r="74" ht="14.25" customHeight="1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614" t="s">
        <v>642</v>
      </c>
      <c r="AI74" s="1617">
        <f>AI72+AI73</f>
        <v>18031822</v>
      </c>
      <c r="AJ74" s="1614"/>
      <c r="AK74" s="1614"/>
      <c r="AL74" s="1617">
        <f>IF(K23&lt;&gt;"",K23,$AI74)</f>
        <v>18031822</v>
      </c>
      <c r="AM74" s="1614"/>
      <c r="AN74" s="1614"/>
      <c r="AO74" s="1614"/>
      <c r="AP74" s="1614"/>
      <c r="AQ74" s="1617">
        <f>IF(Q23&lt;&gt;"",Q23,$AI74)</f>
        <v>18031822</v>
      </c>
      <c r="AR74" s="1614"/>
      <c r="AS74" s="1614"/>
      <c r="AT74" s="1614"/>
      <c r="AU74" s="1614"/>
      <c r="AV74" s="1617">
        <f>IF(W23&lt;&gt;"",W23,$AI74)</f>
        <v>18031822</v>
      </c>
      <c r="AW74" s="1614"/>
    </row>
    <row r="75" ht="14.25" customHeight="1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614"/>
      <c r="AI75" s="1261"/>
      <c r="AJ75" s="1614"/>
      <c r="AK75" s="1614"/>
      <c r="AL75" s="1261"/>
      <c r="AM75" s="1614"/>
      <c r="AN75" s="1614"/>
      <c r="AO75" s="1614"/>
      <c r="AP75" s="1614"/>
      <c r="AQ75" s="1261"/>
      <c r="AR75" s="1614"/>
      <c r="AS75" s="1614"/>
      <c r="AT75" s="1614"/>
      <c r="AU75" s="1614"/>
      <c r="AV75" s="1261"/>
      <c r="AW75" s="1614"/>
    </row>
    <row r="76" ht="14.25" customHeight="1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618" t="s">
        <v>947</v>
      </c>
      <c r="AI76" s="1261">
        <f>AI70+AI74</f>
        <v>48009803.36</v>
      </c>
      <c r="AJ76" s="1614"/>
      <c r="AK76" s="1614"/>
      <c r="AL76" s="1261">
        <f>AL70+AL74</f>
        <v>48009803.36</v>
      </c>
      <c r="AM76" s="1614"/>
      <c r="AN76" s="1614"/>
      <c r="AO76" s="1614"/>
      <c r="AP76" s="1614"/>
      <c r="AQ76" s="1261">
        <f>AQ70+AQ74</f>
        <v>48009803.36</v>
      </c>
      <c r="AR76" s="1614"/>
      <c r="AS76" s="1614"/>
      <c r="AT76" s="1614"/>
      <c r="AU76" s="1614"/>
      <c r="AV76" s="1261">
        <f>AV70+AV74</f>
        <v>48009803.36</v>
      </c>
      <c r="AW76" s="1614"/>
    </row>
    <row r="77" ht="14.25" customHeight="1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618" t="s">
        <v>646</v>
      </c>
      <c r="AI77" s="1261">
        <f>'I Student rev'!L63</f>
        <v>10980135.38</v>
      </c>
      <c r="AJ77" s="1614"/>
      <c r="AK77" s="1614"/>
      <c r="AL77" s="1261">
        <f>$AI77*AL7</f>
        <v>10980135.38</v>
      </c>
      <c r="AM77" s="1614"/>
      <c r="AN77" s="1614"/>
      <c r="AO77" s="1614"/>
      <c r="AP77" s="1614"/>
      <c r="AQ77" s="1261">
        <f>$AI77*AQ7</f>
        <v>10980135.38</v>
      </c>
      <c r="AR77" s="1614"/>
      <c r="AS77" s="1614"/>
      <c r="AT77" s="1614"/>
      <c r="AU77" s="1614"/>
      <c r="AV77" s="1261">
        <f>$AI77*AV7</f>
        <v>10980135.38</v>
      </c>
      <c r="AW77" s="1614"/>
    </row>
    <row r="78" ht="14.25" customHeight="1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618" t="s">
        <v>949</v>
      </c>
      <c r="AI78" s="1261">
        <f>'M Non student'!H44</f>
        <v>2700000</v>
      </c>
      <c r="AJ78" s="1614"/>
      <c r="AK78" s="1614"/>
      <c r="AL78" s="1261">
        <f>IF(K19&lt;&gt;"",$AI78+K19-$G19,$AI78)</f>
        <v>2700000</v>
      </c>
      <c r="AM78" s="1614"/>
      <c r="AN78" s="1614"/>
      <c r="AO78" s="1614"/>
      <c r="AP78" s="1614"/>
      <c r="AQ78" s="1261">
        <f>IF(Q19&lt;&gt;"",$AI78+Q19-$G19,$AI78)</f>
        <v>2700000</v>
      </c>
      <c r="AR78" s="1614"/>
      <c r="AS78" s="1614"/>
      <c r="AT78" s="1614"/>
      <c r="AU78" s="1614"/>
      <c r="AV78" s="1261">
        <f>IF(W19&lt;&gt;"",$AI78+W19-$G19,$AI78)</f>
        <v>2700000</v>
      </c>
      <c r="AW78" s="1614"/>
    </row>
    <row r="79" ht="14.25" customHeight="1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618" t="s">
        <v>950</v>
      </c>
      <c r="AI79" s="1261">
        <f>'M Non student'!H23-H19</f>
        <v>5677741.48</v>
      </c>
      <c r="AJ79" s="1614"/>
      <c r="AK79" s="1614"/>
      <c r="AL79" s="1261">
        <f>IF(K21&lt;&gt;"",$AI79+K21-AL78-$G21,$AI79)</f>
        <v>5677741.48</v>
      </c>
      <c r="AM79" s="1614"/>
      <c r="AN79" s="1614"/>
      <c r="AO79" s="1614"/>
      <c r="AP79" s="1614"/>
      <c r="AQ79" s="1261">
        <f>IF(Q21&lt;&gt;"",$AI79+Q21-AQ78-$G21,$AI79)</f>
        <v>5677741.48</v>
      </c>
      <c r="AR79" s="1614"/>
      <c r="AS79" s="1614"/>
      <c r="AT79" s="1614"/>
      <c r="AU79" s="1614"/>
      <c r="AV79" s="1261">
        <f>IF(W21&lt;&gt;"",$AI79+W21-AV78-$G21,$AI79)</f>
        <v>5677741.48</v>
      </c>
      <c r="AW79" s="1614"/>
    </row>
    <row r="80" ht="14.25" customHeight="1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618" t="s">
        <v>951</v>
      </c>
      <c r="AI80" s="1619">
        <f>'L Capital'!P281-'M Non student'!H92+'M Non student'!H119</f>
        <v>10603753.67</v>
      </c>
      <c r="AJ80" s="1614"/>
      <c r="AK80" s="1614"/>
      <c r="AL80" s="1619">
        <f>IF(K30&lt;&gt;"",K30,$AI80)</f>
        <v>10603753.67</v>
      </c>
      <c r="AM80" s="1614"/>
      <c r="AN80" s="1614"/>
      <c r="AO80" s="1614"/>
      <c r="AP80" s="1614"/>
      <c r="AQ80" s="1619">
        <f>IF(Q30&lt;&gt;"",Q30,$AI80)</f>
        <v>10603753.67</v>
      </c>
      <c r="AR80" s="1614"/>
      <c r="AS80" s="1614"/>
      <c r="AT80" s="1614"/>
      <c r="AU80" s="1614"/>
      <c r="AV80" s="1619">
        <f>IF(W30&lt;&gt;"",W30,$AI80)</f>
        <v>10603753.67</v>
      </c>
      <c r="AW80" s="1614"/>
    </row>
    <row r="81" ht="14.25" customHeight="1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I81" s="1611"/>
      <c r="AJ81" s="1611"/>
      <c r="AK81" s="1611"/>
      <c r="AL81" s="1611"/>
      <c r="AM81" s="1611"/>
      <c r="AN81" s="1611"/>
      <c r="AO81" s="1611"/>
      <c r="AP81" s="1611"/>
      <c r="AQ81" s="1611"/>
      <c r="AR81" s="1611"/>
      <c r="AS81" s="1611"/>
      <c r="AT81" s="1611"/>
      <c r="AU81" s="1611"/>
      <c r="AV81" s="1611"/>
    </row>
    <row r="82" ht="14.25" customHeight="1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618" t="s">
        <v>952</v>
      </c>
      <c r="AI82" s="1261">
        <f>SUM(AI76:AI80)</f>
        <v>77971433.88</v>
      </c>
      <c r="AJ82" s="1614"/>
      <c r="AK82" s="1614"/>
      <c r="AL82" s="1261">
        <f>SUM(AL76:AL80)</f>
        <v>77971433.88</v>
      </c>
      <c r="AM82" s="1614"/>
      <c r="AN82" s="1614"/>
      <c r="AO82" s="1614"/>
      <c r="AP82" s="1614"/>
      <c r="AQ82" s="1261">
        <f>SUM(AQ76:AQ80)</f>
        <v>77971433.88</v>
      </c>
      <c r="AR82" s="1614"/>
      <c r="AS82" s="1614"/>
      <c r="AT82" s="1614"/>
      <c r="AU82" s="1614"/>
      <c r="AV82" s="1261">
        <f>SUM(AV76:AV80)</f>
        <v>77971433.88</v>
      </c>
      <c r="AW82" s="1614"/>
    </row>
    <row r="83" ht="14.25" customHeight="1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614"/>
      <c r="AI83" s="1615"/>
      <c r="AJ83" s="1614"/>
      <c r="AK83" s="1614"/>
      <c r="AL83" s="1615"/>
      <c r="AM83" s="1614"/>
      <c r="AN83" s="1614"/>
      <c r="AO83" s="1614"/>
      <c r="AP83" s="1614"/>
      <c r="AQ83" s="1615"/>
      <c r="AR83" s="1614"/>
      <c r="AS83" s="1614"/>
      <c r="AT83" s="1614"/>
      <c r="AU83" s="1614"/>
      <c r="AV83" s="1615"/>
      <c r="AW83" s="1614"/>
    </row>
    <row r="84" ht="14.25" customHeight="1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618" t="s">
        <v>199</v>
      </c>
      <c r="AI84" s="1261"/>
      <c r="AJ84" s="1614"/>
      <c r="AK84" s="1614"/>
      <c r="AL84" s="1261"/>
      <c r="AM84" s="1614"/>
      <c r="AN84" s="1614"/>
      <c r="AO84" s="1614"/>
      <c r="AP84" s="1614"/>
      <c r="AQ84" s="1261"/>
      <c r="AR84" s="1614"/>
      <c r="AS84" s="1614"/>
      <c r="AT84" s="1614"/>
      <c r="AU84" s="1614"/>
      <c r="AV84" s="1261"/>
      <c r="AW84" s="1614"/>
    </row>
    <row r="85" ht="14.25" customHeight="1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614" t="s">
        <v>662</v>
      </c>
      <c r="AI85" s="1261">
        <f>SUM('E Budg CY'!F50:F62)+'N Next Yr'!E40+'N Next Yr'!E67-'N Next Yr'!J38</f>
        <v>40579292</v>
      </c>
      <c r="AJ85" s="1620">
        <f>E11</f>
        <v>0.1</v>
      </c>
      <c r="AK85" s="1614" t="s">
        <v>953</v>
      </c>
      <c r="AL85" s="1261">
        <f>$AI85*(1+(AL7-1)*$AJ85)+K25</f>
        <v>40579292</v>
      </c>
      <c r="AM85" s="1614"/>
      <c r="AN85" s="1614"/>
      <c r="AO85" s="1614"/>
      <c r="AP85" s="1614"/>
      <c r="AQ85" s="1261">
        <f>$AI85*(1+(AQ7-1)*$AJ85)+Q25</f>
        <v>40579292</v>
      </c>
      <c r="AR85" s="1614"/>
      <c r="AS85" s="1614"/>
      <c r="AT85" s="1614"/>
      <c r="AU85" s="1614"/>
      <c r="AV85" s="1261">
        <f>$AI85*(1+(AV7-1)*$AJ85)+W25</f>
        <v>40579292</v>
      </c>
      <c r="AW85" s="1614"/>
    </row>
    <row r="86" ht="14.25" customHeight="1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614" t="s">
        <v>663</v>
      </c>
      <c r="AI86" s="1261">
        <f>'E Budg CY'!F68+'N Next Yr'!J38</f>
        <v>3750000</v>
      </c>
      <c r="AJ86" s="1614"/>
      <c r="AK86" s="1614"/>
      <c r="AL86" s="1261">
        <f>AI86</f>
        <v>3750000</v>
      </c>
      <c r="AM86" s="1614"/>
      <c r="AN86" s="1614"/>
      <c r="AO86" s="1614"/>
      <c r="AP86" s="1614"/>
      <c r="AQ86" s="1261">
        <f>AI86</f>
        <v>3750000</v>
      </c>
      <c r="AR86" s="1614"/>
      <c r="AS86" s="1614"/>
      <c r="AT86" s="1614"/>
      <c r="AU86" s="1614"/>
      <c r="AV86" s="1261">
        <f>AI86</f>
        <v>3750000</v>
      </c>
      <c r="AW86" s="1614"/>
    </row>
    <row r="87" ht="14.25" customHeight="1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614" t="s">
        <v>129</v>
      </c>
      <c r="AI87" s="1261">
        <f>'H Non trad'!H47</f>
        <v>8556000</v>
      </c>
      <c r="AJ87" s="1620">
        <f>IF($E23&lt;&gt;"",$E23,0.4)</f>
        <v>0.4</v>
      </c>
      <c r="AK87" s="1614" t="s">
        <v>953</v>
      </c>
      <c r="AL87" s="1261">
        <f>IF(K23&lt;&gt;"",IF($G23&gt;0,(K23-$G23)/$G23*$AJ87*$AI74+$AI87,0),$AI87)</f>
        <v>8556000</v>
      </c>
      <c r="AM87" s="1614"/>
      <c r="AN87" s="1614"/>
      <c r="AO87" s="1614"/>
      <c r="AP87" s="1614"/>
      <c r="AQ87" s="1261">
        <f>IF(Q23&lt;&gt;"",IF($G23&gt;0,(Q23-$G23)/$G23*$AJ87*$AI74+$AI87,0),$AI87)</f>
        <v>8556000</v>
      </c>
      <c r="AR87" s="1614"/>
      <c r="AS87" s="1614"/>
      <c r="AT87" s="1614"/>
      <c r="AU87" s="1614"/>
      <c r="AV87" s="1261">
        <f>IF(W23&lt;&gt;"",IF($G23&gt;0,(W23-$G23)/$G23*$AJ87*$AI74+$AI87,0),$AI87)</f>
        <v>8556000</v>
      </c>
      <c r="AW87" s="1614"/>
    </row>
    <row r="88" ht="14.25" customHeight="1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614" t="s">
        <v>207</v>
      </c>
      <c r="AI88" s="1261">
        <f>'E Budg CY'!F64+'N Next Yr'!H74-'N Next Yr'!H38</f>
        <v>6750000</v>
      </c>
      <c r="AJ88" s="1620">
        <v>0.33</v>
      </c>
      <c r="AK88" s="1614" t="s">
        <v>953</v>
      </c>
      <c r="AL88" s="1261">
        <f>IF($G46&gt;0,IF(K46&gt;0,$AI88*(1+(K46/$G46-1)*$AJ88),""),"")</f>
        <v>6750000</v>
      </c>
      <c r="AM88" s="1614"/>
      <c r="AN88" s="1614"/>
      <c r="AO88" s="1614"/>
      <c r="AP88" s="1614"/>
      <c r="AQ88" s="1261">
        <f>IF($G46&gt;0,IF(Q46&gt;0,$AI88*(1+(Q46/$G46-1)*$AJ88),""),"")</f>
        <v>6750000</v>
      </c>
      <c r="AR88" s="1614"/>
      <c r="AS88" s="1614"/>
      <c r="AT88" s="1614"/>
      <c r="AU88" s="1614"/>
      <c r="AV88" s="1261">
        <f>IF($G46&gt;0,IF(W46&gt;0,$AI88*(1+(W46/$G46-1)*$AJ88),""),"")</f>
        <v>6750000</v>
      </c>
      <c r="AW88" s="1614"/>
    </row>
    <row r="89" ht="14.25" customHeight="1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614" t="s">
        <v>954</v>
      </c>
      <c r="AI89" s="1261">
        <f>'P Fcast 5yr'!I28</f>
        <v>105000</v>
      </c>
      <c r="AJ89" s="1614"/>
      <c r="AK89" s="1614"/>
      <c r="AL89" s="1261">
        <f>IF(K27&lt;&gt;"",K27,$AI89)</f>
        <v>105000</v>
      </c>
      <c r="AM89" s="1614"/>
      <c r="AN89" s="1614"/>
      <c r="AO89" s="1614"/>
      <c r="AP89" s="1614"/>
      <c r="AQ89" s="1261">
        <f>IF(Q27&lt;&gt;"",Q27,$AI89)</f>
        <v>105000</v>
      </c>
      <c r="AR89" s="1614"/>
      <c r="AS89" s="1614"/>
      <c r="AT89" s="1614"/>
      <c r="AU89" s="1614"/>
      <c r="AV89" s="1261">
        <f>IF(W27&lt;&gt;"",W27,$AI89)</f>
        <v>105000</v>
      </c>
      <c r="AW89" s="1614"/>
    </row>
    <row r="90" ht="14.25" customHeight="1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614" t="s">
        <v>955</v>
      </c>
      <c r="AI90" s="1261">
        <f>'L Capital'!P176</f>
        <v>1155253.23</v>
      </c>
      <c r="AJ90" s="1614"/>
      <c r="AK90" s="1614"/>
      <c r="AL90" s="1261">
        <f>AI90</f>
        <v>1155253.23</v>
      </c>
      <c r="AM90" s="1614"/>
      <c r="AN90" s="1614"/>
      <c r="AO90" s="1614"/>
      <c r="AP90" s="1614"/>
      <c r="AQ90" s="1261">
        <f>AL90</f>
        <v>1155253.23</v>
      </c>
      <c r="AR90" s="1614"/>
      <c r="AS90" s="1614"/>
      <c r="AT90" s="1614"/>
      <c r="AU90" s="1614"/>
      <c r="AV90" s="1261">
        <f>AI90</f>
        <v>1155253.23</v>
      </c>
      <c r="AW90" s="1614"/>
    </row>
    <row r="91" ht="14.25" customHeight="1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614" t="s">
        <v>956</v>
      </c>
      <c r="AI91" s="1261">
        <f>'L Capital'!P180</f>
        <v>451136.7131</v>
      </c>
      <c r="AJ91" s="1614"/>
      <c r="AK91" s="1614"/>
      <c r="AL91" s="1261">
        <f>IF(K39&lt;&gt;"",$AI91+AL184-$AI184,$AI91)</f>
        <v>451136.7131</v>
      </c>
      <c r="AM91" s="1614"/>
      <c r="AN91" s="1614"/>
      <c r="AO91" s="1614"/>
      <c r="AP91" s="1614"/>
      <c r="AQ91" s="1261">
        <f>IF(Q39&lt;&gt;"",$AI91+AQ184-$AI184,$AI91)</f>
        <v>451136.7131</v>
      </c>
      <c r="AR91" s="1614"/>
      <c r="AS91" s="1614"/>
      <c r="AT91" s="1614"/>
      <c r="AU91" s="1614"/>
      <c r="AV91" s="1261">
        <f>IF(W39&lt;&gt;"",$AI91+AV184-$AI184,$AI91)</f>
        <v>451136.7131</v>
      </c>
      <c r="AW91" s="1614"/>
    </row>
    <row r="92" ht="14.25" customHeight="1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614" t="s">
        <v>958</v>
      </c>
      <c r="AI92" s="1261">
        <f>'L Capital'!P178</f>
        <v>0</v>
      </c>
      <c r="AJ92" s="1614"/>
      <c r="AK92" s="1614"/>
      <c r="AL92" s="1261">
        <f>K35*K37/12*M37</f>
        <v>0</v>
      </c>
      <c r="AM92" s="1614"/>
      <c r="AN92" s="1614"/>
      <c r="AO92" s="1614"/>
      <c r="AP92" s="1614"/>
      <c r="AQ92" s="1261">
        <f>IF(Q35&lt;&gt;"",Q35*Q37/12*S37,AI92)</f>
        <v>0</v>
      </c>
      <c r="AR92" s="1614"/>
      <c r="AS92" s="1614"/>
      <c r="AT92" s="1614"/>
      <c r="AU92" s="1614"/>
      <c r="AV92" s="1261">
        <f>IF(W35&lt;&gt;"",W35*W37/12*Y37,AI92)</f>
        <v>0</v>
      </c>
      <c r="AW92" s="1614"/>
    </row>
    <row r="93" ht="14.25" customHeight="1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614" t="s">
        <v>959</v>
      </c>
      <c r="AI93" s="1615">
        <f>'K Strategic'!J33</f>
        <v>0</v>
      </c>
      <c r="AJ93" s="1621"/>
      <c r="AK93" s="1614"/>
      <c r="AL93" s="1615">
        <f>AI93</f>
        <v>0</v>
      </c>
      <c r="AM93" s="1614"/>
      <c r="AN93" s="1614"/>
      <c r="AO93" s="1614"/>
      <c r="AP93" s="1614"/>
      <c r="AQ93" s="1615">
        <f>AI93</f>
        <v>0</v>
      </c>
      <c r="AR93" s="1614"/>
      <c r="AS93" s="1614"/>
      <c r="AT93" s="1614"/>
      <c r="AU93" s="1614"/>
      <c r="AV93" s="1615">
        <f>AI93</f>
        <v>0</v>
      </c>
      <c r="AW93" s="1614"/>
    </row>
    <row r="94" ht="14.25" customHeight="1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618" t="s">
        <v>131</v>
      </c>
      <c r="AI94" s="1261">
        <f>SUM(AI85:AI93)</f>
        <v>61346681.94</v>
      </c>
      <c r="AJ94" s="1614"/>
      <c r="AK94" s="1614"/>
      <c r="AL94" s="1261">
        <f>SUM(AL85:AL93)</f>
        <v>61346681.94</v>
      </c>
      <c r="AM94" s="1614"/>
      <c r="AN94" s="1614"/>
      <c r="AO94" s="1614"/>
      <c r="AP94" s="1614"/>
      <c r="AQ94" s="1261">
        <f>SUM(AQ85:AQ93)</f>
        <v>61346681.94</v>
      </c>
      <c r="AR94" s="1614"/>
      <c r="AS94" s="1614"/>
      <c r="AT94" s="1614"/>
      <c r="AU94" s="1614"/>
      <c r="AV94" s="1261">
        <f>SUM(AV85:AV93)</f>
        <v>61346681.94</v>
      </c>
      <c r="AW94" s="1614"/>
    </row>
    <row r="95" ht="14.25" customHeight="1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618" t="s">
        <v>133</v>
      </c>
      <c r="AI95" s="1615">
        <f>'L Capital'!P192</f>
        <v>6977450.781</v>
      </c>
      <c r="AJ95" s="1614"/>
      <c r="AK95" s="1614"/>
      <c r="AL95" s="1615">
        <f>IF(K29&lt;&gt;"",$AI95+((K29/$G29-1)*'L Capital'!$L188),$AI95)</f>
        <v>6977450.781</v>
      </c>
      <c r="AM95" s="1628">
        <f>AL95-$AI95</f>
        <v>0</v>
      </c>
      <c r="AN95" s="1629"/>
      <c r="AO95" s="1629"/>
      <c r="AP95" s="1614"/>
      <c r="AQ95" s="1615">
        <f>IF(Q29&lt;&gt;"",$AI95+((Q29/$G29-1)*'L Capital'!$L188),$AI95)</f>
        <v>6977450.781</v>
      </c>
      <c r="AR95" s="1628">
        <f>AQ95-$AI95</f>
        <v>0</v>
      </c>
      <c r="AS95" s="1629"/>
      <c r="AT95" s="1629"/>
      <c r="AU95" s="1614"/>
      <c r="AV95" s="1615">
        <f>IF(W29&lt;&gt;"",$AI95+((W29/$G29-1)*'L Capital'!$L188),$AI95)</f>
        <v>6977450.781</v>
      </c>
      <c r="AW95" s="1628">
        <f>AV95-$AI95</f>
        <v>0</v>
      </c>
    </row>
    <row r="96" ht="9.0" customHeight="1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632" t="s">
        <v>475</v>
      </c>
      <c r="AI96" s="1261"/>
      <c r="AJ96" s="1614"/>
      <c r="AK96" s="1614"/>
      <c r="AL96" s="1261"/>
      <c r="AM96" s="1614"/>
      <c r="AN96" s="1614"/>
      <c r="AO96" s="1614"/>
      <c r="AP96" s="1614"/>
      <c r="AQ96" s="1261"/>
      <c r="AR96" s="1614"/>
      <c r="AS96" s="1614"/>
      <c r="AT96" s="1614"/>
      <c r="AU96" s="1614"/>
      <c r="AV96" s="1261"/>
      <c r="AW96" s="1614"/>
    </row>
    <row r="97" ht="12.0" customHeight="1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618" t="s">
        <v>966</v>
      </c>
      <c r="AI97" s="1615">
        <f>AI94+AI95</f>
        <v>68324132.72</v>
      </c>
      <c r="AJ97" s="1614"/>
      <c r="AK97" s="1614"/>
      <c r="AL97" s="1615">
        <f>AL94+AL95</f>
        <v>68324132.72</v>
      </c>
      <c r="AM97" s="1614"/>
      <c r="AN97" s="1614"/>
      <c r="AO97" s="1614"/>
      <c r="AP97" s="1614"/>
      <c r="AQ97" s="1615">
        <f>AQ94+AQ95</f>
        <v>68324132.72</v>
      </c>
      <c r="AR97" s="1614"/>
      <c r="AS97" s="1614"/>
      <c r="AT97" s="1614"/>
      <c r="AU97" s="1614"/>
      <c r="AV97" s="1615">
        <f>AV94+AV95</f>
        <v>68324132.72</v>
      </c>
      <c r="AW97" s="1614"/>
    </row>
    <row r="98" ht="6.75" customHeight="1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632"/>
      <c r="AI98" s="1261"/>
      <c r="AJ98" s="1614"/>
      <c r="AK98" s="1614"/>
      <c r="AL98" s="1261"/>
      <c r="AM98" s="1614"/>
      <c r="AN98" s="1614"/>
      <c r="AO98" s="1614"/>
      <c r="AP98" s="1614"/>
      <c r="AQ98" s="1261"/>
      <c r="AR98" s="1614"/>
      <c r="AS98" s="1614"/>
      <c r="AT98" s="1614"/>
      <c r="AU98" s="1614"/>
      <c r="AV98" s="1261"/>
      <c r="AW98" s="1614"/>
    </row>
    <row r="99" ht="14.25" customHeight="1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618" t="s">
        <v>789</v>
      </c>
      <c r="AI99" s="1261">
        <f>AI82-AI97</f>
        <v>9647301.158</v>
      </c>
      <c r="AJ99" s="1614"/>
      <c r="AK99" s="1614"/>
      <c r="AL99" s="1261">
        <f>AL82-AL97</f>
        <v>9647301.158</v>
      </c>
      <c r="AM99" s="1614"/>
      <c r="AN99" s="1614"/>
      <c r="AO99" s="1614"/>
      <c r="AP99" s="1614"/>
      <c r="AQ99" s="1261">
        <f>AQ82-AQ97</f>
        <v>9647301.158</v>
      </c>
      <c r="AR99" s="1614"/>
      <c r="AS99" s="1614"/>
      <c r="AT99" s="1614"/>
      <c r="AU99" s="1614"/>
      <c r="AV99" s="1261">
        <f>AV82-AV97</f>
        <v>9647301.158</v>
      </c>
      <c r="AW99" s="1614"/>
    </row>
    <row r="100" ht="6.0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614"/>
    </row>
    <row r="101" ht="5.2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614"/>
    </row>
    <row r="102" ht="14.2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637" t="s">
        <v>969</v>
      </c>
      <c r="AI102" s="1619">
        <f>'M Non student'!H38</f>
        <v>1260000</v>
      </c>
      <c r="AJ102" s="1614"/>
      <c r="AK102" s="1614"/>
      <c r="AL102" s="1619">
        <f>AI102</f>
        <v>1260000</v>
      </c>
      <c r="AM102" s="1614"/>
      <c r="AN102" s="1614"/>
      <c r="AO102" s="1614"/>
      <c r="AP102" s="1614"/>
      <c r="AQ102" s="1619">
        <f>AI102</f>
        <v>1260000</v>
      </c>
      <c r="AR102" s="1614"/>
      <c r="AS102" s="1614"/>
      <c r="AT102" s="1614"/>
      <c r="AU102" s="1614"/>
      <c r="AV102" s="1619">
        <f>AI102</f>
        <v>1260000</v>
      </c>
      <c r="AW102" s="1614"/>
    </row>
    <row r="103" ht="14.2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637"/>
      <c r="AI103" s="490"/>
      <c r="AJ103" s="1614"/>
      <c r="AK103" s="1614"/>
      <c r="AL103" s="490"/>
      <c r="AM103" s="1614"/>
      <c r="AN103" s="1614"/>
      <c r="AO103" s="1614"/>
      <c r="AP103" s="1614"/>
      <c r="AQ103" s="490"/>
      <c r="AR103" s="1614"/>
      <c r="AS103" s="1614"/>
      <c r="AT103" s="1614"/>
      <c r="AU103" s="1614"/>
      <c r="AV103" s="490"/>
      <c r="AW103" s="1614"/>
    </row>
    <row r="104" ht="14.2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618" t="s">
        <v>796</v>
      </c>
      <c r="AI104" s="1639">
        <f>AI99+AI102</f>
        <v>10907301.16</v>
      </c>
      <c r="AJ104" s="1614"/>
      <c r="AK104" s="1614"/>
      <c r="AL104" s="1639">
        <f>AL99+AL102</f>
        <v>10907301.16</v>
      </c>
      <c r="AM104" s="1614"/>
      <c r="AN104" s="1614"/>
      <c r="AO104" s="1614"/>
      <c r="AP104" s="1614"/>
      <c r="AQ104" s="1639">
        <f>AQ99+AQ102</f>
        <v>10907301.16</v>
      </c>
      <c r="AR104" s="1614"/>
      <c r="AS104" s="1614"/>
      <c r="AT104" s="1614"/>
      <c r="AU104" s="1614"/>
      <c r="AV104" s="1639">
        <f>AV99+AV102</f>
        <v>10907301.16</v>
      </c>
      <c r="AW104" s="1614"/>
    </row>
    <row r="105" ht="14.2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637" t="s">
        <v>972</v>
      </c>
      <c r="AI105" s="490">
        <f>'M Non student'!H139</f>
        <v>3896774.598</v>
      </c>
      <c r="AJ105" s="1614"/>
      <c r="AK105" s="1614"/>
      <c r="AL105" s="490">
        <f>$AI105+AL31+AL33</f>
        <v>3896774.598</v>
      </c>
      <c r="AM105" s="1614"/>
      <c r="AN105" s="1614"/>
      <c r="AO105" s="1614"/>
      <c r="AP105" s="1614"/>
      <c r="AQ105" s="490">
        <f>$AI105+AQ31+AQ33</f>
        <v>3896774.598</v>
      </c>
      <c r="AR105" s="1614"/>
      <c r="AS105" s="1614"/>
      <c r="AT105" s="1614"/>
      <c r="AU105" s="1614"/>
      <c r="AV105" s="490">
        <f>$AI105+AV31+AV33</f>
        <v>3896774.598</v>
      </c>
      <c r="AW105" s="1614"/>
    </row>
    <row r="106" ht="14.2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637" t="s">
        <v>974</v>
      </c>
      <c r="AI106" s="1640">
        <f>'R Bal sheets'!J38-'R Bal sheets'!H38</f>
        <v>8000000</v>
      </c>
      <c r="AJ106" s="1614"/>
      <c r="AK106" s="1614"/>
      <c r="AL106" s="1640">
        <f>$AI106</f>
        <v>8000000</v>
      </c>
      <c r="AM106" s="1614"/>
      <c r="AN106" s="1614"/>
      <c r="AO106" s="1614"/>
      <c r="AP106" s="1614"/>
      <c r="AQ106" s="1640">
        <f>$AI106</f>
        <v>8000000</v>
      </c>
      <c r="AR106" s="1614"/>
      <c r="AS106" s="1614"/>
      <c r="AT106" s="1614"/>
      <c r="AU106" s="1614"/>
      <c r="AV106" s="1640">
        <f>$AI106</f>
        <v>8000000</v>
      </c>
      <c r="AW106" s="1614"/>
    </row>
    <row r="107" ht="14.2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637"/>
      <c r="AI107" s="1205"/>
      <c r="AJ107" s="1614"/>
      <c r="AK107" s="1614"/>
      <c r="AL107" s="1205"/>
      <c r="AM107" s="1614"/>
      <c r="AN107" s="1614"/>
      <c r="AO107" s="1614"/>
      <c r="AP107" s="1614"/>
      <c r="AQ107" s="1205"/>
      <c r="AR107" s="1614"/>
      <c r="AS107" s="1614"/>
      <c r="AT107" s="1614"/>
      <c r="AU107" s="1614"/>
      <c r="AV107" s="1205"/>
      <c r="AW107" s="1614"/>
    </row>
    <row r="108" ht="14.2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637"/>
      <c r="AI108" s="1639">
        <f>SUM(AI104:AI106)</f>
        <v>22804075.76</v>
      </c>
      <c r="AJ108" s="1614"/>
      <c r="AK108" s="1614"/>
      <c r="AL108" s="1639">
        <f>SUM(AL104:AL106)</f>
        <v>22804075.76</v>
      </c>
      <c r="AM108" s="1614"/>
      <c r="AN108" s="1614"/>
      <c r="AO108" s="1614"/>
      <c r="AP108" s="1614"/>
      <c r="AQ108" s="1639">
        <f>SUM(AQ104:AQ106)</f>
        <v>22804075.76</v>
      </c>
      <c r="AR108" s="1614"/>
      <c r="AS108" s="1614"/>
      <c r="AT108" s="1614"/>
      <c r="AU108" s="1614"/>
      <c r="AV108" s="1639">
        <f>SUM(AV104:AV106)</f>
        <v>22804075.76</v>
      </c>
      <c r="AW108" s="1614"/>
    </row>
    <row r="109" ht="14.2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612" t="s">
        <v>976</v>
      </c>
      <c r="AI109" s="1612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</row>
    <row r="110" ht="14.2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612"/>
      <c r="AI110" s="1612"/>
      <c r="AJ110" s="81"/>
      <c r="AK110" s="81"/>
      <c r="AL110" s="81"/>
      <c r="AM110" s="81"/>
      <c r="AN110" s="81"/>
      <c r="AO110" s="81"/>
      <c r="AP110" s="81"/>
      <c r="AQ110" s="81"/>
      <c r="AR110" s="81"/>
      <c r="AS110" s="81"/>
      <c r="AT110" s="81"/>
      <c r="AU110" s="81"/>
      <c r="AV110" s="81"/>
      <c r="AW110" s="81"/>
    </row>
    <row r="111" ht="14.2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006"/>
      <c r="AI111" s="1613" t="s">
        <v>884</v>
      </c>
      <c r="AJ111" s="21"/>
      <c r="AK111" s="81"/>
      <c r="AL111" s="1613" t="s">
        <v>885</v>
      </c>
      <c r="AM111" s="21"/>
      <c r="AN111" s="81"/>
      <c r="AO111" s="81"/>
      <c r="AP111" s="81"/>
      <c r="AQ111" s="1613" t="s">
        <v>886</v>
      </c>
      <c r="AR111" s="21"/>
      <c r="AS111" s="81"/>
      <c r="AT111" s="81"/>
      <c r="AU111" s="81"/>
      <c r="AV111" s="1613" t="s">
        <v>887</v>
      </c>
      <c r="AW111" s="21"/>
    </row>
    <row r="112" ht="14.2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639" t="s">
        <v>25</v>
      </c>
      <c r="AI112" s="1639">
        <f>'R Bal sheets'!J7</f>
        <v>30918180.52</v>
      </c>
      <c r="AJ112" s="1639"/>
      <c r="AK112" s="1639"/>
      <c r="AL112" s="1639">
        <f>$AI112-AL113+$AI113-AL116+$AI116-AL117+$AI117+SUM(AL122:AL130)-SUM($AI122:$AI130)</f>
        <v>33618180.52</v>
      </c>
      <c r="AM112" s="1614"/>
      <c r="AN112" s="1614"/>
      <c r="AO112" s="1614"/>
      <c r="AP112" s="1614"/>
      <c r="AQ112" s="1639">
        <f>$AI112-AQ113+$AI113-AQ116+$AI116-AQ117+$AI117+SUM(AQ122:AQ130)-SUM($AI122:$AI130)</f>
        <v>33618180.52</v>
      </c>
      <c r="AR112" s="1614"/>
      <c r="AS112" s="1614"/>
      <c r="AT112" s="1614"/>
      <c r="AU112" s="1614"/>
      <c r="AV112" s="1639">
        <f>$AI112-AV113+$AI113-AV116+$AI116-AV117+$AI117+SUM(AV122:AV130)-SUM($AI122:$AI130)</f>
        <v>33618180.52</v>
      </c>
      <c r="AW112" s="1614"/>
    </row>
    <row r="113" ht="14.2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639" t="s">
        <v>30</v>
      </c>
      <c r="AI113" s="1639">
        <f>'R Bal sheets'!J9</f>
        <v>5948800.715</v>
      </c>
      <c r="AJ113" s="1639"/>
      <c r="AK113" s="1639"/>
      <c r="AL113" s="1639">
        <f>$AI113</f>
        <v>5948800.715</v>
      </c>
      <c r="AM113" s="1614"/>
      <c r="AN113" s="1614"/>
      <c r="AO113" s="1614"/>
      <c r="AP113" s="1614"/>
      <c r="AQ113" s="1639">
        <f>$AI113</f>
        <v>5948800.715</v>
      </c>
      <c r="AR113" s="1614"/>
      <c r="AS113" s="1614"/>
      <c r="AT113" s="1614"/>
      <c r="AU113" s="1614"/>
      <c r="AV113" s="1639">
        <f>$AI113</f>
        <v>5948800.715</v>
      </c>
      <c r="AW113" s="1614"/>
    </row>
    <row r="114" ht="14.2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639" t="s">
        <v>980</v>
      </c>
      <c r="AI114" s="1639">
        <f>AI112+AI113</f>
        <v>36866981.24</v>
      </c>
      <c r="AJ114" s="1639"/>
      <c r="AK114" s="1639"/>
      <c r="AL114" s="1639">
        <f>AL112+AL113</f>
        <v>39566981.24</v>
      </c>
      <c r="AM114" s="1614"/>
      <c r="AN114" s="1614"/>
      <c r="AO114" s="1614"/>
      <c r="AP114" s="1614"/>
      <c r="AQ114" s="1639">
        <f>AQ112+AQ113</f>
        <v>39566981.24</v>
      </c>
      <c r="AR114" s="1614"/>
      <c r="AS114" s="1614"/>
      <c r="AT114" s="1614"/>
      <c r="AU114" s="1614"/>
      <c r="AV114" s="1639">
        <f>AV112+AV113</f>
        <v>39566981.24</v>
      </c>
      <c r="AW114" s="1614"/>
    </row>
    <row r="115" ht="14.2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639" t="s">
        <v>981</v>
      </c>
      <c r="AI115" s="1639">
        <f>'R Bal sheets'!J11</f>
        <v>8766899</v>
      </c>
      <c r="AJ115" s="1639"/>
      <c r="AK115" s="1639"/>
      <c r="AL115" s="1639">
        <f t="shared" ref="AL115:AL116" si="1">$AI115</f>
        <v>8766899</v>
      </c>
      <c r="AM115" s="1614"/>
      <c r="AN115" s="1614"/>
      <c r="AO115" s="1614"/>
      <c r="AP115" s="1614"/>
      <c r="AQ115" s="1639">
        <f t="shared" ref="AQ115:AQ116" si="2">$AI115</f>
        <v>8766899</v>
      </c>
      <c r="AR115" s="1614"/>
      <c r="AS115" s="1614"/>
      <c r="AT115" s="1614"/>
      <c r="AU115" s="1614"/>
      <c r="AV115" s="1639">
        <f t="shared" ref="AV115:AV116" si="3">$AI115</f>
        <v>8766899</v>
      </c>
      <c r="AW115" s="1614"/>
    </row>
    <row r="116" ht="14.2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639" t="s">
        <v>41</v>
      </c>
      <c r="AI116" s="1639">
        <f>'R Bal sheets'!J13</f>
        <v>111105579</v>
      </c>
      <c r="AJ116" s="1639"/>
      <c r="AK116" s="1639"/>
      <c r="AL116" s="1639">
        <f t="shared" si="1"/>
        <v>111105579</v>
      </c>
      <c r="AM116" s="1614"/>
      <c r="AN116" s="1614"/>
      <c r="AO116" s="1614"/>
      <c r="AP116" s="1614"/>
      <c r="AQ116" s="1639">
        <f t="shared" si="2"/>
        <v>111105579</v>
      </c>
      <c r="AR116" s="1614"/>
      <c r="AS116" s="1614"/>
      <c r="AT116" s="1614"/>
      <c r="AU116" s="1614"/>
      <c r="AV116" s="1639">
        <f t="shared" si="3"/>
        <v>111105579</v>
      </c>
      <c r="AW116" s="1614"/>
    </row>
    <row r="117" ht="14.2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639" t="s">
        <v>983</v>
      </c>
      <c r="AI117" s="1639">
        <f>'R Bal sheets'!J15</f>
        <v>107175858.4</v>
      </c>
      <c r="AJ117" s="1639"/>
      <c r="AK117" s="1639"/>
      <c r="AL117" s="1639">
        <f>IF(K29&lt;&gt;"",$AI117+K29-$G29-AM95,$AI117)</f>
        <v>107175858.4</v>
      </c>
      <c r="AM117" s="1614"/>
      <c r="AN117" s="1614"/>
      <c r="AO117" s="1614"/>
      <c r="AP117" s="1614"/>
      <c r="AQ117" s="1639">
        <f>IF(Q29&lt;&gt;"",$AI117+Q29-$G29-AR95,$AI117)</f>
        <v>107175858.4</v>
      </c>
      <c r="AR117" s="1614"/>
      <c r="AS117" s="1614"/>
      <c r="AT117" s="1614"/>
      <c r="AU117" s="1614"/>
      <c r="AV117" s="1639">
        <f>IF(W29&lt;&gt;"",$AI117+W29-$G29-AW95,$AI117)</f>
        <v>107175858.4</v>
      </c>
      <c r="AW117" s="1614"/>
    </row>
    <row r="118" ht="14.2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639" t="s">
        <v>49</v>
      </c>
      <c r="AI118" s="1639">
        <f>'R Bal sheets'!J17</f>
        <v>0</v>
      </c>
      <c r="AJ118" s="1639"/>
      <c r="AK118" s="1639"/>
      <c r="AL118" s="1639">
        <f>AL131-SUM(AL114:AL117)</f>
        <v>-0.00000002980232239</v>
      </c>
      <c r="AM118" s="1614"/>
      <c r="AN118" s="1614"/>
      <c r="AO118" s="1614"/>
      <c r="AP118" s="1614"/>
      <c r="AQ118" s="1639">
        <f>AQ131-SUM(AQ114:AQ117)</f>
        <v>-0.00000002980232239</v>
      </c>
      <c r="AR118" s="1614"/>
      <c r="AS118" s="1614"/>
      <c r="AT118" s="1614"/>
      <c r="AU118" s="1614"/>
      <c r="AV118" s="1639">
        <f>AV131-SUM(AV114:AV117)</f>
        <v>-0.00000002980232239</v>
      </c>
      <c r="AW118" s="1614"/>
    </row>
    <row r="119" ht="14.2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639" t="s">
        <v>800</v>
      </c>
      <c r="AI119" s="1639">
        <f>SUM(AI114:AI118)</f>
        <v>263915317.7</v>
      </c>
      <c r="AJ119" s="1639"/>
      <c r="AK119" s="1639"/>
      <c r="AL119" s="1639">
        <f>AL131</f>
        <v>266615317.7</v>
      </c>
      <c r="AM119" s="1648"/>
      <c r="AN119" s="1648"/>
      <c r="AO119" s="1648"/>
      <c r="AP119" s="1648"/>
      <c r="AQ119" s="1639">
        <f>AQ131</f>
        <v>266615317.7</v>
      </c>
      <c r="AR119" s="1648"/>
      <c r="AS119" s="1648"/>
      <c r="AT119" s="1648"/>
      <c r="AU119" s="1648"/>
      <c r="AV119" s="1639">
        <f>AV131</f>
        <v>266615317.7</v>
      </c>
      <c r="AW119" s="1614"/>
    </row>
    <row r="120" ht="14.2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639"/>
      <c r="AI120" s="1639"/>
      <c r="AJ120" s="1639"/>
      <c r="AK120" s="1639"/>
      <c r="AL120" s="1639"/>
      <c r="AM120" s="1648"/>
      <c r="AN120" s="1648"/>
      <c r="AO120" s="1648"/>
      <c r="AP120" s="1648"/>
      <c r="AQ120" s="1639"/>
      <c r="AR120" s="1648"/>
      <c r="AS120" s="1648"/>
      <c r="AT120" s="1648"/>
      <c r="AU120" s="1648"/>
      <c r="AV120" s="1639"/>
      <c r="AW120" s="1614"/>
    </row>
    <row r="121" ht="14.2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639" t="s">
        <v>56</v>
      </c>
      <c r="AI121" s="1639"/>
      <c r="AJ121" s="1639"/>
      <c r="AK121" s="1639"/>
      <c r="AL121" s="1639"/>
      <c r="AM121" s="1648"/>
      <c r="AN121" s="1648"/>
      <c r="AO121" s="1648"/>
      <c r="AP121" s="1648"/>
      <c r="AQ121" s="1639"/>
      <c r="AR121" s="1648"/>
      <c r="AS121" s="1648"/>
      <c r="AT121" s="1648"/>
      <c r="AU121" s="1648"/>
      <c r="AV121" s="1639"/>
      <c r="AW121" s="1614"/>
    </row>
    <row r="122" ht="14.2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639" t="s">
        <v>806</v>
      </c>
      <c r="AI122" s="1639">
        <f>'R Bal sheets'!J24</f>
        <v>13701375.15</v>
      </c>
      <c r="AJ122" s="1639"/>
      <c r="AK122" s="1639"/>
      <c r="AL122" s="1639">
        <f>$AI122</f>
        <v>13701375.15</v>
      </c>
      <c r="AM122" s="1614"/>
      <c r="AN122" s="1614"/>
      <c r="AO122" s="1614"/>
      <c r="AP122" s="1614"/>
      <c r="AQ122" s="1639">
        <f>$AI122</f>
        <v>13701375.15</v>
      </c>
      <c r="AR122" s="1614"/>
      <c r="AS122" s="1614"/>
      <c r="AT122" s="1614"/>
      <c r="AU122" s="1614"/>
      <c r="AV122" s="1639">
        <f>$AI122</f>
        <v>13701375.15</v>
      </c>
      <c r="AW122" s="1614"/>
    </row>
    <row r="123" ht="14.2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639" t="s">
        <v>988</v>
      </c>
      <c r="AI123" s="1639" t="str">
        <f>'R Bal sheets'!J26</f>
        <v/>
      </c>
      <c r="AJ123" s="1639"/>
      <c r="AK123" s="1639"/>
      <c r="AL123" s="1639" t="str">
        <f>IF(K35&lt;&gt;"",K35,$AI123)</f>
        <v/>
      </c>
      <c r="AM123" s="1614"/>
      <c r="AN123" s="1614"/>
      <c r="AO123" s="1614"/>
      <c r="AP123" s="1614"/>
      <c r="AQ123" s="1639" t="str">
        <f>IF(Q35&lt;&gt;"",Q35,$AI123)</f>
        <v/>
      </c>
      <c r="AR123" s="1614"/>
      <c r="AS123" s="1614"/>
      <c r="AT123" s="1614"/>
      <c r="AU123" s="1614"/>
      <c r="AV123" s="1639" t="str">
        <f>IF(W35&lt;&gt;"",W35,$AI123)</f>
        <v/>
      </c>
      <c r="AW123" s="1614"/>
    </row>
    <row r="124" ht="14.2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639" t="s">
        <v>990</v>
      </c>
      <c r="AI124" s="1639">
        <f>'R Bal sheets'!J28</f>
        <v>32124125.16</v>
      </c>
      <c r="AJ124" s="1639"/>
      <c r="AK124" s="1639"/>
      <c r="AL124" s="1639">
        <f>IF(K39&lt;&gt;"",$AI124+K39-$G39+$AI182-AL182,$AI124)</f>
        <v>32124125.16</v>
      </c>
      <c r="AM124" s="1614"/>
      <c r="AN124" s="1614"/>
      <c r="AO124" s="1614"/>
      <c r="AP124" s="1614"/>
      <c r="AQ124" s="1639">
        <f>IF(P39&lt;&gt;"",$AI124+Q39-$G39+$AI182-AQ182,$AI124)</f>
        <v>32124125.16</v>
      </c>
      <c r="AR124" s="1614"/>
      <c r="AS124" s="1614"/>
      <c r="AT124" s="1614"/>
      <c r="AU124" s="1614"/>
      <c r="AV124" s="1639">
        <f>IF(U39&lt;&gt;"",$AI124+W39-$G39+$AI182-AV182,$AI124)</f>
        <v>32124125.16</v>
      </c>
      <c r="AW124" s="1614"/>
    </row>
    <row r="125" ht="14.2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639" t="s">
        <v>68</v>
      </c>
      <c r="AI125" s="1639">
        <f>'R Bal sheets'!J30</f>
        <v>3061386</v>
      </c>
      <c r="AJ125" s="1639"/>
      <c r="AK125" s="1639"/>
      <c r="AL125" s="1639">
        <f>$AI125*AL124/$AI124</f>
        <v>3061386</v>
      </c>
      <c r="AM125" s="1649"/>
      <c r="AN125" s="1649"/>
      <c r="AO125" s="1649"/>
      <c r="AP125" s="1649"/>
      <c r="AQ125" s="1639">
        <f>$AI125*AQ124/$AI124</f>
        <v>3061386</v>
      </c>
      <c r="AR125" s="1649"/>
      <c r="AS125" s="1649"/>
      <c r="AT125" s="1649"/>
      <c r="AU125" s="1649"/>
      <c r="AV125" s="1639">
        <f>$AI125*AV124/$AI124</f>
        <v>3061386</v>
      </c>
      <c r="AW125" s="1614"/>
    </row>
    <row r="126" ht="14.2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639"/>
      <c r="AI126" s="1639"/>
      <c r="AJ126" s="1639"/>
      <c r="AK126" s="1639"/>
      <c r="AL126" s="1639"/>
      <c r="AM126" s="1614"/>
      <c r="AN126" s="1614"/>
      <c r="AO126" s="1614"/>
      <c r="AP126" s="1614"/>
      <c r="AQ126" s="1639"/>
      <c r="AR126" s="1614"/>
      <c r="AS126" s="1614"/>
      <c r="AT126" s="1614"/>
      <c r="AU126" s="1614"/>
      <c r="AV126" s="1639"/>
      <c r="AW126" s="1614"/>
    </row>
    <row r="127" ht="14.2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639" t="s">
        <v>71</v>
      </c>
      <c r="AI127" s="1639"/>
      <c r="AJ127" s="1639"/>
      <c r="AK127" s="1639"/>
      <c r="AL127" s="1639"/>
      <c r="AM127" s="1614"/>
      <c r="AN127" s="1614"/>
      <c r="AO127" s="1614"/>
      <c r="AP127" s="1614"/>
      <c r="AQ127" s="1639"/>
      <c r="AR127" s="1614"/>
      <c r="AS127" s="1614"/>
      <c r="AT127" s="1614"/>
      <c r="AU127" s="1614"/>
      <c r="AV127" s="1639"/>
      <c r="AW127" s="1614"/>
    </row>
    <row r="128" ht="14.2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639" t="s">
        <v>74</v>
      </c>
      <c r="AI128" s="1639">
        <f>'R Bal sheets'!J34</f>
        <v>67130431.37</v>
      </c>
      <c r="AJ128" s="1639"/>
      <c r="AK128" s="1639"/>
      <c r="AL128" s="1639">
        <f>$AI128+O54</f>
        <v>69830431.37</v>
      </c>
      <c r="AM128" s="1614"/>
      <c r="AN128" s="1614"/>
      <c r="AO128" s="1614"/>
      <c r="AP128" s="1614"/>
      <c r="AQ128" s="1639">
        <f>$AI128+U54</f>
        <v>69830431.37</v>
      </c>
      <c r="AR128" s="1614"/>
      <c r="AS128" s="1614"/>
      <c r="AT128" s="1614"/>
      <c r="AU128" s="1614"/>
      <c r="AV128" s="1639">
        <f>$AI128+AA54</f>
        <v>69830431.37</v>
      </c>
      <c r="AW128" s="1614"/>
    </row>
    <row r="129" ht="14.2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639" t="s">
        <v>818</v>
      </c>
      <c r="AI129" s="1639">
        <f>'R Bal sheets'!J36</f>
        <v>70925663</v>
      </c>
      <c r="AJ129" s="1639"/>
      <c r="AK129" s="1639"/>
      <c r="AL129" s="1639">
        <f>$AI129</f>
        <v>70925663</v>
      </c>
      <c r="AM129" s="1614"/>
      <c r="AN129" s="1614"/>
      <c r="AO129" s="1614"/>
      <c r="AP129" s="1614"/>
      <c r="AQ129" s="1639">
        <f>$AI129</f>
        <v>70925663</v>
      </c>
      <c r="AR129" s="1614"/>
      <c r="AS129" s="1614"/>
      <c r="AT129" s="1614"/>
      <c r="AU129" s="1614"/>
      <c r="AV129" s="1639">
        <f>$AI129</f>
        <v>70925663</v>
      </c>
    </row>
    <row r="130" ht="14.2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639" t="s">
        <v>80</v>
      </c>
      <c r="AI130" s="1639">
        <f>'R Bal sheets'!J38</f>
        <v>76972337</v>
      </c>
      <c r="AJ130" s="1639"/>
      <c r="AK130" s="1639"/>
      <c r="AL130" s="1639">
        <f>$AI130-$AI105+AL105</f>
        <v>76972337</v>
      </c>
      <c r="AM130" s="1614"/>
      <c r="AN130" s="1614"/>
      <c r="AO130" s="1614"/>
      <c r="AP130" s="1614"/>
      <c r="AQ130" s="1639">
        <f>$AI130-$AI105+AQ105</f>
        <v>76972337</v>
      </c>
      <c r="AR130" s="1614"/>
      <c r="AS130" s="1614"/>
      <c r="AT130" s="1614"/>
      <c r="AU130" s="1614"/>
      <c r="AV130" s="1639">
        <f>$AI130-$AI105+AV105</f>
        <v>76972337</v>
      </c>
    </row>
    <row r="131" ht="14.2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639" t="s">
        <v>82</v>
      </c>
      <c r="AI131" s="1639">
        <f>SUM(AI122:AI130)</f>
        <v>263915317.7</v>
      </c>
      <c r="AJ131" s="1639"/>
      <c r="AK131" s="1639"/>
      <c r="AL131" s="1639">
        <f>SUM(AL$122:AL$130)</f>
        <v>266615317.7</v>
      </c>
      <c r="AM131" s="1614"/>
      <c r="AN131" s="1614"/>
      <c r="AO131" s="1614"/>
      <c r="AP131" s="1614"/>
      <c r="AQ131" s="1639">
        <f>SUM(AQ$122:AQ$130)</f>
        <v>266615317.7</v>
      </c>
      <c r="AR131" s="1614"/>
      <c r="AS131" s="1614"/>
      <c r="AT131" s="1614"/>
      <c r="AU131" s="1614"/>
      <c r="AV131" s="1639">
        <f>SUM(AV$122:AV$130)</f>
        <v>266615317.7</v>
      </c>
    </row>
    <row r="132" ht="14.2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639"/>
      <c r="AI132" s="1639"/>
      <c r="AJ132" s="1639"/>
      <c r="AK132" s="1639"/>
      <c r="AL132" s="1639"/>
      <c r="AM132" s="1614"/>
      <c r="AN132" s="1614"/>
      <c r="AO132" s="1614"/>
      <c r="AP132" s="1614"/>
      <c r="AQ132" s="1614"/>
      <c r="AR132" s="1614"/>
      <c r="AS132" s="1614"/>
      <c r="AT132" s="1614"/>
      <c r="AU132" s="1614"/>
      <c r="AV132" s="1614"/>
    </row>
    <row r="133" ht="14.2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289" t="s">
        <v>993</v>
      </c>
      <c r="AE133" s="1290"/>
      <c r="AF133" s="1290"/>
      <c r="AG133" s="1290"/>
      <c r="AH133" s="1639"/>
      <c r="AI133" s="1639"/>
      <c r="AJ133" s="1351"/>
      <c r="AK133" s="1351"/>
      <c r="AL133" s="1639"/>
      <c r="AM133" s="1351"/>
      <c r="AN133" s="1351"/>
      <c r="AO133" s="1351"/>
      <c r="AP133" s="1351"/>
      <c r="AQ133" s="1639"/>
      <c r="AR133" s="1351"/>
      <c r="AS133" s="1351"/>
      <c r="AT133" s="1351"/>
      <c r="AU133" s="1351"/>
      <c r="AV133" s="1639"/>
    </row>
    <row r="134" ht="14.2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294" t="s">
        <v>994</v>
      </c>
      <c r="AE134" s="1201"/>
      <c r="AF134" s="1201"/>
      <c r="AG134" s="1201"/>
      <c r="AH134" s="1290"/>
      <c r="AI134" s="1292">
        <f>'S DOE ratios'!K10</f>
        <v>215028431.4</v>
      </c>
      <c r="AJ134" s="1351"/>
      <c r="AK134" s="1351"/>
      <c r="AL134" s="1292">
        <f t="shared" ref="AL134:AL135" si="4">AL128</f>
        <v>69830431.37</v>
      </c>
      <c r="AM134" s="1351"/>
      <c r="AN134" s="1351"/>
      <c r="AO134" s="1351"/>
      <c r="AP134" s="1351"/>
      <c r="AQ134" s="1292">
        <f t="shared" ref="AQ134:AQ135" si="5">AQ128</f>
        <v>69830431.37</v>
      </c>
      <c r="AR134" s="1351"/>
      <c r="AS134" s="1351"/>
      <c r="AT134" s="1351"/>
      <c r="AU134" s="1351"/>
      <c r="AV134" s="1292">
        <f t="shared" ref="AV134:AV135" si="6">AV128</f>
        <v>69830431.37</v>
      </c>
    </row>
    <row r="135" ht="14.2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294" t="s">
        <v>995</v>
      </c>
      <c r="AE135" s="1201"/>
      <c r="AF135" s="1201"/>
      <c r="AG135" s="1201"/>
      <c r="AH135" s="1201"/>
      <c r="AI135" s="1292">
        <f>'S DOE ratios'!K11</f>
        <v>-76972337</v>
      </c>
      <c r="AJ135" s="1351"/>
      <c r="AK135" s="1351"/>
      <c r="AL135" s="1292">
        <f t="shared" si="4"/>
        <v>70925663</v>
      </c>
      <c r="AM135" s="1351"/>
      <c r="AN135" s="1351"/>
      <c r="AO135" s="1351"/>
      <c r="AP135" s="1351"/>
      <c r="AQ135" s="1292">
        <f t="shared" si="5"/>
        <v>70925663</v>
      </c>
      <c r="AR135" s="1351"/>
      <c r="AS135" s="1351"/>
      <c r="AT135" s="1351"/>
      <c r="AU135" s="1351"/>
      <c r="AV135" s="1292">
        <f t="shared" si="6"/>
        <v>70925663</v>
      </c>
    </row>
    <row r="136" ht="14.2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298" t="s">
        <v>779</v>
      </c>
      <c r="AE136" s="1201"/>
      <c r="AF136" s="1201"/>
      <c r="AG136" s="1201"/>
      <c r="AH136" s="1201"/>
      <c r="AI136" s="1292" t="str">
        <f>'S DOE ratios'!K12</f>
        <v/>
      </c>
      <c r="AJ136" s="1351"/>
      <c r="AK136" s="1351"/>
      <c r="AL136" s="1292" t="str">
        <f t="shared" ref="AL136:AL138" si="7">AI136</f>
        <v/>
      </c>
      <c r="AM136" s="1351"/>
      <c r="AN136" s="1351"/>
      <c r="AO136" s="1351"/>
      <c r="AP136" s="1351"/>
      <c r="AQ136" s="1292" t="str">
        <f t="shared" ref="AQ136:AQ138" si="8">AL136</f>
        <v/>
      </c>
      <c r="AR136" s="1351"/>
      <c r="AS136" s="1351"/>
      <c r="AT136" s="1351"/>
      <c r="AU136" s="1351"/>
      <c r="AV136" s="1292" t="str">
        <f t="shared" ref="AV136:AV138" si="9">AQ136</f>
        <v/>
      </c>
    </row>
    <row r="137" ht="14.2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298" t="s">
        <v>781</v>
      </c>
      <c r="AE137" s="1201"/>
      <c r="AF137" s="1201"/>
      <c r="AG137" s="1201"/>
      <c r="AH137" s="1299" t="s">
        <v>780</v>
      </c>
      <c r="AI137" s="1292" t="str">
        <f>'S DOE ratios'!K13</f>
        <v/>
      </c>
      <c r="AJ137" s="1351"/>
      <c r="AK137" s="1351"/>
      <c r="AL137" s="1292" t="str">
        <f t="shared" si="7"/>
        <v/>
      </c>
      <c r="AM137" s="1351"/>
      <c r="AN137" s="1351"/>
      <c r="AO137" s="1351"/>
      <c r="AP137" s="1351"/>
      <c r="AQ137" s="1292" t="str">
        <f t="shared" si="8"/>
        <v/>
      </c>
      <c r="AR137" s="1351"/>
      <c r="AS137" s="1351"/>
      <c r="AT137" s="1351"/>
      <c r="AU137" s="1351"/>
      <c r="AV137" s="1292" t="str">
        <f t="shared" si="9"/>
        <v/>
      </c>
    </row>
    <row r="138" ht="14.2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298" t="s">
        <v>782</v>
      </c>
      <c r="AE138" s="1302"/>
      <c r="AF138" s="1201"/>
      <c r="AG138" s="1201"/>
      <c r="AH138" s="1299" t="s">
        <v>780</v>
      </c>
      <c r="AI138" s="1292" t="str">
        <f>'S DOE ratios'!K14</f>
        <v/>
      </c>
      <c r="AJ138" s="1351"/>
      <c r="AK138" s="1351"/>
      <c r="AL138" s="1292" t="str">
        <f t="shared" si="7"/>
        <v/>
      </c>
      <c r="AM138" s="1351"/>
      <c r="AN138" s="1351"/>
      <c r="AO138" s="1351"/>
      <c r="AP138" s="1351"/>
      <c r="AQ138" s="1292" t="str">
        <f t="shared" si="8"/>
        <v/>
      </c>
      <c r="AR138" s="1351"/>
      <c r="AS138" s="1351"/>
      <c r="AT138" s="1351"/>
      <c r="AU138" s="1351"/>
      <c r="AV138" s="1292" t="str">
        <f t="shared" si="9"/>
        <v/>
      </c>
    </row>
    <row r="139" ht="14.2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294" t="s">
        <v>783</v>
      </c>
      <c r="AE139" s="1201"/>
      <c r="AF139" s="1201"/>
      <c r="AG139" s="1201"/>
      <c r="AH139" s="1299" t="s">
        <v>780</v>
      </c>
      <c r="AI139" s="1292">
        <f>'S DOE ratios'!K15</f>
        <v>-107175858.4</v>
      </c>
      <c r="AJ139" s="1351"/>
      <c r="AK139" s="1351"/>
      <c r="AL139" s="1292">
        <f>-AL117</f>
        <v>-107175858.4</v>
      </c>
      <c r="AM139" s="1351"/>
      <c r="AN139" s="1351"/>
      <c r="AO139" s="1351"/>
      <c r="AP139" s="1351"/>
      <c r="AQ139" s="1292">
        <f>-AQ117</f>
        <v>-107175858.4</v>
      </c>
      <c r="AR139" s="1351"/>
      <c r="AS139" s="1351"/>
      <c r="AT139" s="1351"/>
      <c r="AU139" s="1351"/>
      <c r="AV139" s="1292">
        <f>-AV117</f>
        <v>-107175858.4</v>
      </c>
    </row>
    <row r="140" ht="14.2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298" t="s">
        <v>785</v>
      </c>
      <c r="AE140" s="1201"/>
      <c r="AF140" s="1201"/>
      <c r="AG140" s="1201"/>
      <c r="AH140" s="1201"/>
      <c r="AI140" s="1292" t="str">
        <f>'S DOE ratios'!K16</f>
        <v/>
      </c>
      <c r="AJ140" s="1351"/>
      <c r="AK140" s="1351"/>
      <c r="AL140" s="1292" t="str">
        <f t="shared" ref="AL140:AL141" si="10">AI140</f>
        <v/>
      </c>
      <c r="AM140" s="1351"/>
      <c r="AN140" s="1351"/>
      <c r="AO140" s="1351"/>
      <c r="AP140" s="1351"/>
      <c r="AQ140" s="1292" t="str">
        <f>AL140</f>
        <v/>
      </c>
      <c r="AR140" s="1351"/>
      <c r="AS140" s="1351"/>
      <c r="AT140" s="1351"/>
      <c r="AU140" s="1351"/>
      <c r="AV140" s="1292" t="str">
        <f>AQ140</f>
        <v/>
      </c>
    </row>
    <row r="141" ht="14.2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298" t="s">
        <v>998</v>
      </c>
      <c r="AE141" s="1201"/>
      <c r="AF141" s="1201"/>
      <c r="AG141" s="1201"/>
      <c r="AH141" s="1299" t="s">
        <v>786</v>
      </c>
      <c r="AI141" s="1292" t="str">
        <f>'S DOE ratios'!K17</f>
        <v/>
      </c>
      <c r="AJ141" s="1351"/>
      <c r="AK141" s="1351"/>
      <c r="AL141" s="1292" t="str">
        <f t="shared" si="10"/>
        <v/>
      </c>
      <c r="AM141" s="1351"/>
      <c r="AN141" s="1351"/>
      <c r="AO141" s="1351"/>
      <c r="AP141" s="1351"/>
      <c r="AQ141" s="1292" t="str">
        <f>AN141</f>
        <v/>
      </c>
      <c r="AR141" s="1351"/>
      <c r="AS141" s="1351"/>
      <c r="AT141" s="1351"/>
      <c r="AU141" s="1351"/>
      <c r="AV141" s="1292" t="str">
        <f>AS141</f>
        <v/>
      </c>
    </row>
    <row r="142" ht="14.2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294" t="s">
        <v>999</v>
      </c>
      <c r="AE142" s="1201"/>
      <c r="AF142" s="1201"/>
      <c r="AG142" s="1201"/>
      <c r="AH142" s="1299" t="s">
        <v>780</v>
      </c>
      <c r="AI142" s="1292">
        <f>'S DOE ratios'!K18</f>
        <v>32124125.16</v>
      </c>
      <c r="AJ142" s="1351"/>
      <c r="AK142" s="1351"/>
      <c r="AL142" s="1292">
        <f>AL124</f>
        <v>32124125.16</v>
      </c>
      <c r="AM142" s="1351"/>
      <c r="AN142" s="1351"/>
      <c r="AO142" s="1351"/>
      <c r="AP142" s="1351"/>
      <c r="AQ142" s="1292">
        <f>AQ124</f>
        <v>32124125.16</v>
      </c>
      <c r="AR142" s="1351"/>
      <c r="AS142" s="1351"/>
      <c r="AT142" s="1351"/>
      <c r="AU142" s="1351"/>
      <c r="AV142" s="1292">
        <f>AV124</f>
        <v>32124125.16</v>
      </c>
    </row>
    <row r="143" ht="14.2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304" t="s">
        <v>1000</v>
      </c>
      <c r="AE143" s="1304"/>
      <c r="AF143" s="1304"/>
      <c r="AG143" s="1304"/>
      <c r="AH143" s="1201"/>
      <c r="AI143" s="1305">
        <f>SUM(AI134:AI142)</f>
        <v>63004361.09</v>
      </c>
      <c r="AJ143" s="1351"/>
      <c r="AK143" s="1351"/>
      <c r="AL143" s="1305">
        <f>SUM(AL134:AL142)</f>
        <v>65704361.09</v>
      </c>
      <c r="AM143" s="1351"/>
      <c r="AN143" s="1351"/>
      <c r="AO143" s="1351"/>
      <c r="AP143" s="1351"/>
      <c r="AQ143" s="1305">
        <f>SUM(AQ134:AQ142)</f>
        <v>65704361.09</v>
      </c>
      <c r="AR143" s="1351"/>
      <c r="AS143" s="1351"/>
      <c r="AT143" s="1351"/>
      <c r="AU143" s="1351"/>
      <c r="AV143" s="1305">
        <f>SUM(AV134:AV142)</f>
        <v>65704361.09</v>
      </c>
    </row>
    <row r="144" ht="14.2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307" t="s">
        <v>1001</v>
      </c>
      <c r="AE144" s="1201"/>
      <c r="AF144" s="1201"/>
      <c r="AG144" s="1304"/>
      <c r="AH144" s="1304"/>
      <c r="AI144" s="1653">
        <f>AI97</f>
        <v>68324132.72</v>
      </c>
      <c r="AJ144" s="1351"/>
      <c r="AK144" s="1351"/>
      <c r="AL144" s="1653">
        <f>AL97</f>
        <v>68324132.72</v>
      </c>
      <c r="AM144" s="1351"/>
      <c r="AN144" s="1351"/>
      <c r="AO144" s="1351"/>
      <c r="AP144" s="1351"/>
      <c r="AQ144" s="1653">
        <f>AQ97</f>
        <v>68324132.72</v>
      </c>
      <c r="AR144" s="1351"/>
      <c r="AS144" s="1351"/>
      <c r="AT144" s="1351"/>
      <c r="AU144" s="1351"/>
      <c r="AV144" s="1653">
        <f>AV97</f>
        <v>68324132.72</v>
      </c>
    </row>
    <row r="145" ht="14.2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329"/>
      <c r="AE145" s="1329"/>
      <c r="AF145" s="1329"/>
      <c r="AG145" s="444"/>
      <c r="AH145" s="1304"/>
      <c r="AI145" s="1654">
        <f>AI143/AI144</f>
        <v>0.9221392</v>
      </c>
      <c r="AJ145" s="1351"/>
      <c r="AK145" s="1351"/>
      <c r="AL145" s="1654">
        <f>AL143/AL144</f>
        <v>0.9616567158</v>
      </c>
      <c r="AM145" s="1351"/>
      <c r="AN145" s="1351"/>
      <c r="AO145" s="1351"/>
      <c r="AP145" s="1351"/>
      <c r="AQ145" s="1654">
        <f>AQ143/AQ144</f>
        <v>0.9616567158</v>
      </c>
      <c r="AR145" s="1351"/>
      <c r="AS145" s="1351"/>
      <c r="AT145" s="1351"/>
      <c r="AU145" s="1351"/>
      <c r="AV145" s="1654">
        <f>AV143/AV144</f>
        <v>0.9616567158</v>
      </c>
    </row>
    <row r="146" ht="14.2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289" t="s">
        <v>797</v>
      </c>
      <c r="AE146" s="1290"/>
      <c r="AF146" s="1290"/>
      <c r="AG146" s="1290"/>
      <c r="AH146" s="1655" t="s">
        <v>1003</v>
      </c>
      <c r="AI146" s="1656"/>
      <c r="AJ146" s="1351"/>
      <c r="AK146" s="1351"/>
      <c r="AL146" s="1656"/>
      <c r="AM146" s="1351"/>
      <c r="AN146" s="1351"/>
      <c r="AO146" s="1351"/>
      <c r="AP146" s="1351"/>
      <c r="AQ146" s="1656"/>
      <c r="AR146" s="1351"/>
      <c r="AS146" s="1351"/>
      <c r="AT146" s="1351"/>
      <c r="AU146" s="1351"/>
      <c r="AV146" s="1656"/>
    </row>
    <row r="147" ht="14.2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294" t="s">
        <v>799</v>
      </c>
      <c r="AE147" s="1201"/>
      <c r="AF147" s="1201"/>
      <c r="AG147" s="1201"/>
      <c r="AH147" s="1290"/>
      <c r="AI147" s="1292">
        <f>SUM(AI128:AI130)</f>
        <v>215028431.4</v>
      </c>
      <c r="AJ147" s="1351"/>
      <c r="AK147" s="1351"/>
      <c r="AL147" s="1292">
        <f>SUM(AL128:AL130)</f>
        <v>217728431.4</v>
      </c>
      <c r="AM147" s="1351"/>
      <c r="AN147" s="1351"/>
      <c r="AO147" s="1351"/>
      <c r="AP147" s="1351"/>
      <c r="AQ147" s="1292">
        <f>SUM(AQ128:AQ130)</f>
        <v>217728431.4</v>
      </c>
      <c r="AR147" s="1351"/>
      <c r="AS147" s="1351"/>
      <c r="AT147" s="1351"/>
      <c r="AU147" s="1351"/>
      <c r="AV147" s="1292">
        <f>SUM(AV128:AV130)</f>
        <v>217728431.4</v>
      </c>
    </row>
    <row r="148" ht="14.2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294" t="s">
        <v>1004</v>
      </c>
      <c r="AE148" s="1201"/>
      <c r="AF148" s="1201"/>
      <c r="AG148" s="1201"/>
      <c r="AH148" s="1201"/>
      <c r="AI148" s="1292" t="str">
        <f>'S DOE ratios'!K24</f>
        <v/>
      </c>
      <c r="AJ148" s="1351"/>
      <c r="AK148" s="1351"/>
      <c r="AL148" s="1292" t="str">
        <f t="shared" ref="AL148:AL149" si="11">AI148</f>
        <v/>
      </c>
      <c r="AM148" s="1351"/>
      <c r="AN148" s="1351"/>
      <c r="AO148" s="1351"/>
      <c r="AP148" s="1351"/>
      <c r="AQ148" s="1292" t="str">
        <f t="shared" ref="AQ148:AQ149" si="12">AL148</f>
        <v/>
      </c>
      <c r="AR148" s="1351"/>
      <c r="AS148" s="1351"/>
      <c r="AT148" s="1351"/>
      <c r="AU148" s="1351"/>
      <c r="AV148" s="1292" t="str">
        <f t="shared" ref="AV148:AV149" si="13">AQ148</f>
        <v/>
      </c>
    </row>
    <row r="149" ht="14.2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294" t="s">
        <v>1005</v>
      </c>
      <c r="AE149" s="1201"/>
      <c r="AF149" s="1201"/>
      <c r="AG149" s="1201"/>
      <c r="AH149" s="1201"/>
      <c r="AI149" s="1292" t="str">
        <f>'S DOE ratios'!K25</f>
        <v/>
      </c>
      <c r="AJ149" s="1351"/>
      <c r="AK149" s="1351"/>
      <c r="AL149" s="1292" t="str">
        <f t="shared" si="11"/>
        <v/>
      </c>
      <c r="AM149" s="1351"/>
      <c r="AN149" s="1351"/>
      <c r="AO149" s="1351"/>
      <c r="AP149" s="1351"/>
      <c r="AQ149" s="1292" t="str">
        <f t="shared" si="12"/>
        <v/>
      </c>
      <c r="AR149" s="1351"/>
      <c r="AS149" s="1351"/>
      <c r="AT149" s="1351"/>
      <c r="AU149" s="1351"/>
      <c r="AV149" s="1292" t="str">
        <f t="shared" si="13"/>
        <v/>
      </c>
    </row>
    <row r="150" ht="14.2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201" t="s">
        <v>1006</v>
      </c>
      <c r="AE150" s="1201"/>
      <c r="AF150" s="1201"/>
      <c r="AG150" s="1304"/>
      <c r="AH150" s="1201"/>
      <c r="AI150" s="1325">
        <f>AI147+AI148+AI149</f>
        <v>215028431.4</v>
      </c>
      <c r="AJ150" s="1351"/>
      <c r="AK150" s="1351"/>
      <c r="AL150" s="1325">
        <f>AL147+AL148+AL149</f>
        <v>217728431.4</v>
      </c>
      <c r="AM150" s="1351"/>
      <c r="AN150" s="1351"/>
      <c r="AO150" s="1351"/>
      <c r="AP150" s="1351"/>
      <c r="AQ150" s="1325">
        <f>AQ147+AQ148+AQ149</f>
        <v>217728431.4</v>
      </c>
      <c r="AR150" s="1351"/>
      <c r="AS150" s="1351"/>
      <c r="AT150" s="1351"/>
      <c r="AU150" s="1351"/>
      <c r="AV150" s="1325">
        <f>AV147+AV148+AV149</f>
        <v>217728431.4</v>
      </c>
    </row>
    <row r="151" ht="14.2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294" t="s">
        <v>807</v>
      </c>
      <c r="AE151" s="1201"/>
      <c r="AF151" s="1201"/>
      <c r="AG151" s="1304"/>
      <c r="AH151" s="1304"/>
      <c r="AI151" s="1292">
        <f>AI119</f>
        <v>263915317.7</v>
      </c>
      <c r="AJ151" s="1351"/>
      <c r="AK151" s="1351"/>
      <c r="AL151" s="1292">
        <f>AL119</f>
        <v>266615317.7</v>
      </c>
      <c r="AM151" s="1351"/>
      <c r="AN151" s="1351"/>
      <c r="AO151" s="1351"/>
      <c r="AP151" s="1351"/>
      <c r="AQ151" s="1292">
        <f>AQ119</f>
        <v>266615317.7</v>
      </c>
      <c r="AR151" s="1351"/>
      <c r="AS151" s="1351"/>
      <c r="AT151" s="1351"/>
      <c r="AU151" s="1351"/>
      <c r="AV151" s="1292">
        <f>AV119</f>
        <v>266615317.7</v>
      </c>
    </row>
    <row r="152" ht="14.2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294" t="s">
        <v>1004</v>
      </c>
      <c r="AE152" s="1201"/>
      <c r="AF152" s="1201"/>
      <c r="AG152" s="1304"/>
      <c r="AH152" s="1304"/>
      <c r="AI152" s="1292" t="str">
        <f>'S DOE ratios'!K28</f>
        <v/>
      </c>
      <c r="AJ152" s="1351"/>
      <c r="AK152" s="1351"/>
      <c r="AL152" s="1292" t="str">
        <f>AI152</f>
        <v/>
      </c>
      <c r="AM152" s="1351"/>
      <c r="AN152" s="1351"/>
      <c r="AO152" s="1351"/>
      <c r="AP152" s="1351"/>
      <c r="AQ152" s="1292" t="str">
        <f>AL152</f>
        <v/>
      </c>
      <c r="AR152" s="1351"/>
      <c r="AS152" s="1351"/>
      <c r="AT152" s="1351"/>
      <c r="AU152" s="1351"/>
      <c r="AV152" s="1292" t="str">
        <f>AQ152</f>
        <v/>
      </c>
    </row>
    <row r="153" ht="14.2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294" t="s">
        <v>1005</v>
      </c>
      <c r="AE153" s="1201"/>
      <c r="AF153" s="1201"/>
      <c r="AG153" s="1304"/>
      <c r="AH153" s="1304"/>
      <c r="AI153" s="1292" t="str">
        <f>'S DOE ratios'!K29</f>
        <v/>
      </c>
      <c r="AJ153" s="1351"/>
      <c r="AK153" s="1351"/>
      <c r="AL153" s="1292" t="str">
        <f>AI1246</f>
        <v/>
      </c>
      <c r="AM153" s="1351"/>
      <c r="AN153" s="1351"/>
      <c r="AO153" s="1351"/>
      <c r="AP153" s="1351"/>
      <c r="AQ153" s="1292" t="str">
        <f>AL1246</f>
        <v/>
      </c>
      <c r="AR153" s="1351"/>
      <c r="AS153" s="1351"/>
      <c r="AT153" s="1351"/>
      <c r="AU153" s="1351"/>
      <c r="AV153" s="1292" t="str">
        <f>AQ1246</f>
        <v/>
      </c>
    </row>
    <row r="154" ht="14.2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201" t="s">
        <v>1007</v>
      </c>
      <c r="AE154" s="1201"/>
      <c r="AF154" s="1201"/>
      <c r="AG154" s="1304"/>
      <c r="AH154" s="1304"/>
      <c r="AI154" s="1292">
        <f>'S DOE ratios'!K30</f>
        <v>263915317.7</v>
      </c>
      <c r="AJ154" s="1351"/>
      <c r="AK154" s="1351"/>
      <c r="AL154" s="1657">
        <f>AL151+AL152+AL153</f>
        <v>266615317.7</v>
      </c>
      <c r="AM154" s="1351"/>
      <c r="AN154" s="1351"/>
      <c r="AO154" s="1351"/>
      <c r="AP154" s="1351"/>
      <c r="AQ154" s="1657">
        <f>AQ151+AQ152+AQ153</f>
        <v>266615317.7</v>
      </c>
      <c r="AR154" s="1351"/>
      <c r="AS154" s="1351"/>
      <c r="AT154" s="1351"/>
      <c r="AU154" s="1351"/>
      <c r="AV154" s="1657">
        <f>AV151+AV152+AV153</f>
        <v>266615317.7</v>
      </c>
    </row>
    <row r="155" ht="14.2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329"/>
      <c r="AE155" s="1329"/>
      <c r="AF155" s="1329"/>
      <c r="AG155" s="1655"/>
      <c r="AH155" s="1304"/>
      <c r="AI155" s="1654">
        <f>AI150/AI154</f>
        <v>0.8147629825</v>
      </c>
      <c r="AJ155" s="1351"/>
      <c r="AK155" s="1351"/>
      <c r="AL155" s="1654">
        <f>AL150/AL154</f>
        <v>0.8166388686</v>
      </c>
      <c r="AM155" s="1351"/>
      <c r="AN155" s="1351"/>
      <c r="AO155" s="1351"/>
      <c r="AP155" s="1351"/>
      <c r="AQ155" s="1654">
        <f>AQ150/AQ154</f>
        <v>0.8166388686</v>
      </c>
      <c r="AR155" s="1351"/>
      <c r="AS155" s="1351"/>
      <c r="AT155" s="1351"/>
      <c r="AU155" s="1351"/>
      <c r="AV155" s="1654">
        <f>AV150/AV154</f>
        <v>0.8166388686</v>
      </c>
    </row>
    <row r="156" ht="14.2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289" t="s">
        <v>813</v>
      </c>
      <c r="AE156" s="1290"/>
      <c r="AF156" s="1290"/>
      <c r="AG156" s="1290"/>
      <c r="AH156" s="1655" t="s">
        <v>1008</v>
      </c>
      <c r="AI156" s="1292"/>
      <c r="AJ156" s="1351"/>
      <c r="AK156" s="1351"/>
      <c r="AL156" s="1292"/>
      <c r="AM156" s="1351"/>
      <c r="AN156" s="1351"/>
      <c r="AO156" s="1351"/>
      <c r="AP156" s="1351"/>
      <c r="AQ156" s="1292"/>
      <c r="AR156" s="1351"/>
      <c r="AS156" s="1351"/>
      <c r="AT156" s="1351"/>
      <c r="AU156" s="1351"/>
      <c r="AV156" s="1292"/>
    </row>
    <row r="157" ht="14.2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304" t="s">
        <v>1009</v>
      </c>
      <c r="AE157" s="1304"/>
      <c r="AF157" s="1304"/>
      <c r="AG157" s="1304"/>
      <c r="AH157" s="1290"/>
      <c r="AI157" s="1305">
        <f>AI104</f>
        <v>10907301.16</v>
      </c>
      <c r="AJ157" s="1351"/>
      <c r="AK157" s="1351"/>
      <c r="AL157" s="1305">
        <f>AL104</f>
        <v>10907301.16</v>
      </c>
      <c r="AM157" s="1351"/>
      <c r="AN157" s="1351"/>
      <c r="AO157" s="1351"/>
      <c r="AP157" s="1351"/>
      <c r="AQ157" s="1305">
        <f>AQ104</f>
        <v>10907301.16</v>
      </c>
      <c r="AR157" s="1351"/>
      <c r="AS157" s="1351"/>
      <c r="AT157" s="1351"/>
      <c r="AU157" s="1351"/>
      <c r="AV157" s="1305">
        <f>AV104</f>
        <v>10907301.16</v>
      </c>
    </row>
    <row r="158" ht="14.2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201" t="s">
        <v>1011</v>
      </c>
      <c r="AE158" s="1201"/>
      <c r="AF158" s="1201"/>
      <c r="AG158" s="1304"/>
      <c r="AH158" s="1304"/>
      <c r="AI158" s="1658">
        <f>AI82</f>
        <v>77971433.88</v>
      </c>
      <c r="AJ158" s="1351"/>
      <c r="AK158" s="1351"/>
      <c r="AL158" s="1658">
        <f>AL82</f>
        <v>77971433.88</v>
      </c>
      <c r="AM158" s="1351"/>
      <c r="AN158" s="1351"/>
      <c r="AO158" s="1351"/>
      <c r="AP158" s="1351"/>
      <c r="AQ158" s="1658">
        <f>AQ82</f>
        <v>77971433.88</v>
      </c>
      <c r="AR158" s="1351"/>
      <c r="AS158" s="1351"/>
      <c r="AT158" s="1351"/>
      <c r="AU158" s="1351"/>
      <c r="AV158" s="1658">
        <f>AV82</f>
        <v>77971433.88</v>
      </c>
    </row>
    <row r="159" ht="14.2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329"/>
      <c r="AE159" s="1329"/>
      <c r="AF159" s="1329"/>
      <c r="AG159" s="1655"/>
      <c r="AH159" s="1304"/>
      <c r="AI159" s="1654">
        <f>AI157/AI158</f>
        <v>0.139888426</v>
      </c>
      <c r="AJ159" s="1351"/>
      <c r="AK159" s="1351"/>
      <c r="AL159" s="1654">
        <f>AL157/AL158</f>
        <v>0.139888426</v>
      </c>
      <c r="AM159" s="1351"/>
      <c r="AN159" s="1351"/>
      <c r="AO159" s="1351"/>
      <c r="AP159" s="1351"/>
      <c r="AQ159" s="1654">
        <f>AQ157/AQ158</f>
        <v>0.139888426</v>
      </c>
      <c r="AR159" s="1351"/>
      <c r="AS159" s="1351"/>
      <c r="AT159" s="1351"/>
      <c r="AU159" s="1351"/>
      <c r="AV159" s="1654">
        <f>AV157/AV158</f>
        <v>0.139888426</v>
      </c>
    </row>
    <row r="160" ht="14.2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201"/>
      <c r="AE160" s="1201"/>
      <c r="AF160" s="1201"/>
      <c r="AG160" s="1349"/>
      <c r="AH160" s="1655" t="s">
        <v>1013</v>
      </c>
      <c r="AI160" s="1351"/>
      <c r="AJ160" s="1351"/>
      <c r="AK160" s="1351"/>
      <c r="AL160" s="1351"/>
      <c r="AM160" s="1351"/>
      <c r="AN160" s="1351"/>
      <c r="AO160" s="1351"/>
      <c r="AP160" s="1351"/>
      <c r="AQ160" s="1351"/>
      <c r="AR160" s="1351"/>
      <c r="AS160" s="1351"/>
      <c r="AT160" s="1351"/>
      <c r="AU160" s="1351"/>
      <c r="AV160" s="1351"/>
    </row>
    <row r="161" ht="14.2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I161" s="1611"/>
      <c r="AJ161" s="1611"/>
      <c r="AK161" s="1611"/>
      <c r="AL161" s="1611"/>
      <c r="AM161" s="1611"/>
      <c r="AN161" s="1611"/>
      <c r="AO161" s="1611"/>
      <c r="AP161" s="1611"/>
      <c r="AQ161" s="1611"/>
      <c r="AR161" s="1611"/>
      <c r="AS161" s="1611"/>
      <c r="AT161" s="1611"/>
      <c r="AU161" s="1611"/>
      <c r="AV161" s="1611"/>
    </row>
    <row r="162" ht="14.2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353"/>
      <c r="AE162" s="1659" t="s">
        <v>1014</v>
      </c>
      <c r="AF162" s="1660"/>
      <c r="AG162" s="1661"/>
      <c r="AH162" s="1662" t="s">
        <v>1015</v>
      </c>
      <c r="AI162" s="446"/>
      <c r="AJ162" s="446"/>
      <c r="AK162" s="446"/>
      <c r="AL162" s="446"/>
      <c r="AM162" s="446"/>
      <c r="AN162" s="446"/>
      <c r="AO162" s="446"/>
      <c r="AP162" s="446"/>
      <c r="AQ162" s="446"/>
      <c r="AR162" s="1351"/>
      <c r="AS162" s="1351"/>
      <c r="AT162" s="1351"/>
      <c r="AU162" s="1351"/>
      <c r="AV162" s="1351"/>
    </row>
    <row r="163" ht="14.2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441" t="s">
        <v>200</v>
      </c>
      <c r="AE163" s="1664"/>
      <c r="AF163" s="1201">
        <v>10.0</v>
      </c>
      <c r="AG163" s="1665"/>
      <c r="AH163" s="1666">
        <v>0.4</v>
      </c>
      <c r="AI163" s="1356">
        <f>IF((AI145*$AF163)&lt;3,IF((AI145*$AF163)&gt;-1,AI145*$AF163*$AH163,-1*$AH163),3*$AH163)</f>
        <v>1.2</v>
      </c>
      <c r="AJ163" s="1351"/>
      <c r="AK163" s="1351"/>
      <c r="AL163" s="1356">
        <f>IF((AL145*$AF163)&lt;3,IF((AL145*$AF163)&gt;-1,AL145*$AF163*$AH163,-1*$AH163),3*$AH163)</f>
        <v>1.2</v>
      </c>
      <c r="AM163" s="1351"/>
      <c r="AN163" s="1351"/>
      <c r="AO163" s="1351"/>
      <c r="AP163" s="1351"/>
      <c r="AQ163" s="1356">
        <f>IF((AQ145*$AF163)&lt;3,IF((AQ145*$AF163)&gt;-1,AQ145*$AF163*$AH163,-1*$AH163),3*$AH163)</f>
        <v>1.2</v>
      </c>
      <c r="AR163" s="1351"/>
      <c r="AS163" s="1351"/>
      <c r="AT163" s="1351"/>
      <c r="AU163" s="1351"/>
      <c r="AV163" s="1356">
        <f>IF((AV145*$AF163)&lt;3,IF((AV145*$AF163)&gt;-1,AV145*$AF163*$AH163,-1*$AH163),3*$AH163)</f>
        <v>1.2</v>
      </c>
    </row>
    <row r="164" ht="14.2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441" t="s">
        <v>821</v>
      </c>
      <c r="AE164" s="1664"/>
      <c r="AF164" s="1201">
        <v>6.0</v>
      </c>
      <c r="AG164" s="1665"/>
      <c r="AH164" s="1666">
        <v>0.4</v>
      </c>
      <c r="AI164" s="1356">
        <f>IF((AI155*$AF164)&lt;3,IF((AI155*$AF164)&gt;-1,AI155*$AF164*$AH164,-1*$AH164),3*$AH164)</f>
        <v>1.2</v>
      </c>
      <c r="AJ164" s="1351"/>
      <c r="AK164" s="1351"/>
      <c r="AL164" s="1356">
        <f>IF((AL155*$AF164)&lt;3,IF((AL155*$AF164)&gt;-1,AL155*$AF164*$AH164,-1*$AH164),3*$AH164)</f>
        <v>1.2</v>
      </c>
      <c r="AM164" s="1351"/>
      <c r="AN164" s="1351"/>
      <c r="AO164" s="1351"/>
      <c r="AP164" s="1351"/>
      <c r="AQ164" s="1356">
        <f>IF((AQ155*$AF164)&lt;3,IF((AQ155*$AF164)&gt;-1,AQ155*$AF164*$AH164,-1*$AH164),3*$AH164)</f>
        <v>1.2</v>
      </c>
      <c r="AR164" s="1351"/>
      <c r="AS164" s="1351"/>
      <c r="AT164" s="1351"/>
      <c r="AU164" s="1351"/>
      <c r="AV164" s="1356">
        <f>IF((AV155*$AF164)&lt;3,IF((AV155*$AF164)&gt;-1,AV155*$AF164*$AH164,-1*$AH164),3*$AH164)</f>
        <v>1.2</v>
      </c>
    </row>
    <row r="165" ht="14.2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441" t="s">
        <v>1017</v>
      </c>
      <c r="AE165" s="1667">
        <v>50.0</v>
      </c>
      <c r="AF165" s="1668">
        <v>1.0</v>
      </c>
      <c r="AG165" s="1669">
        <v>25.0</v>
      </c>
      <c r="AH165" s="1670">
        <v>0.2</v>
      </c>
      <c r="AI165" s="1356">
        <f>IF(AI159&lt;&gt;0,IF((1+(AI159*$AG165))&gt;-1,IF((1+(AI159*$AE165))&gt;0,IF((1+(AI159*$AE165))&lt;3,((1+(AI159*$AE165))*$AH165),3*$AH165),((1+(AI159*$AG165))*$AH165)),-1*$AH165),0)</f>
        <v>0.6</v>
      </c>
      <c r="AJ165" s="1351"/>
      <c r="AK165" s="1351"/>
      <c r="AL165" s="1356">
        <f>IF(AL159&lt;&gt;0,IF((1+(AL159*$AG165))&gt;-1,IF((1+(AL159*$AE165))&gt;0,IF((1+(AL159*$AE165))&lt;3,((1+(AL159*$AE165))*$AH165),3*$AH165),((1+(AL159*$AG165))*$AH165)),-1*$AH165),0)</f>
        <v>0.6</v>
      </c>
      <c r="AM165" s="1351"/>
      <c r="AN165" s="1351"/>
      <c r="AO165" s="1351"/>
      <c r="AP165" s="1351"/>
      <c r="AQ165" s="1356">
        <f>IF(AQ159&lt;&gt;0,IF((1+(AQ159*$AG165))&gt;-1,IF((1+(AQ159*$AE165))&gt;0,IF((1+(AQ159*$AE165))&lt;3,((1+(AQ159*$AE165))*$AH165),3*$AH165),((1+(AQ159*$AG165))*$AH165)),-1*$AH165),0)</f>
        <v>0.6</v>
      </c>
      <c r="AR165" s="1351"/>
      <c r="AS165" s="1351"/>
      <c r="AT165" s="1351"/>
      <c r="AU165" s="1351"/>
      <c r="AV165" s="1356">
        <f>IF(AV159&lt;&gt;0,IF((1+(AV159*$AG165))&gt;-1,IF((1+(AV159*$AE165))&gt;0,IF((1+(AV159*$AE165))&lt;3,((1+(AV159*$AE165))*$AH165),3*$AH165),((1+(AV159*$AG165))*$AH165)),-1*$AH165),0)</f>
        <v>0.6</v>
      </c>
    </row>
    <row r="166" ht="14.2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351"/>
      <c r="AS166" s="1351"/>
      <c r="AT166" s="1351"/>
      <c r="AU166" s="1351"/>
      <c r="AV166" s="1356"/>
    </row>
    <row r="167" ht="14.2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672" t="s">
        <v>1018</v>
      </c>
      <c r="AE167" s="1293"/>
      <c r="AF167" s="1293"/>
      <c r="AG167" s="1293"/>
      <c r="AH167" s="1358"/>
      <c r="AI167" s="1673">
        <f>SUM(AI163:AI165)</f>
        <v>3</v>
      </c>
      <c r="AJ167" s="1351"/>
      <c r="AK167" s="1351"/>
      <c r="AL167" s="1673">
        <f>SUM(AL163:AL165)</f>
        <v>3</v>
      </c>
      <c r="AM167" s="1351"/>
      <c r="AN167" s="1351"/>
      <c r="AO167" s="1351"/>
      <c r="AP167" s="1351"/>
      <c r="AQ167" s="1673">
        <f>SUM(AQ163:AQ165)</f>
        <v>3</v>
      </c>
      <c r="AR167" s="1"/>
      <c r="AS167" s="1"/>
      <c r="AT167" s="1"/>
      <c r="AU167" s="1"/>
      <c r="AV167" s="1673">
        <f>SUM(AV163:AV165)</f>
        <v>3</v>
      </c>
    </row>
    <row r="168" ht="14.2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</row>
    <row r="169" ht="14.2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</row>
    <row r="170" ht="14.2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 t="s">
        <v>1019</v>
      </c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</row>
    <row r="171" ht="14.2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 t="s">
        <v>1020</v>
      </c>
      <c r="AI171" s="85">
        <f>G39</f>
        <v>0</v>
      </c>
      <c r="AJ171" s="1"/>
      <c r="AK171" s="1"/>
      <c r="AL171" s="565" t="str">
        <f>K39</f>
        <v/>
      </c>
      <c r="AM171" s="1"/>
      <c r="AN171" s="1"/>
      <c r="AO171" s="1"/>
      <c r="AP171" s="1"/>
      <c r="AQ171" s="565" t="str">
        <f>Q39</f>
        <v/>
      </c>
      <c r="AR171" s="1"/>
      <c r="AS171" s="1"/>
      <c r="AT171" s="1"/>
      <c r="AU171" s="1"/>
      <c r="AV171" s="565" t="str">
        <f>W39</f>
        <v/>
      </c>
    </row>
    <row r="172" ht="14.2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 t="s">
        <v>1021</v>
      </c>
      <c r="AI172" s="1674" t="str">
        <f>I41</f>
        <v/>
      </c>
      <c r="AJ172" s="1"/>
      <c r="AK172" s="1"/>
      <c r="AL172" s="1674" t="str">
        <f>IF(M41&lt;&gt;"",M41,$I41)</f>
        <v/>
      </c>
      <c r="AM172" s="1"/>
      <c r="AN172" s="1"/>
      <c r="AO172" s="1"/>
      <c r="AP172" s="1"/>
      <c r="AQ172" s="1674" t="str">
        <f>IF(S41&lt;&gt;"",S41,$I41)</f>
        <v/>
      </c>
      <c r="AR172" s="1"/>
      <c r="AS172" s="1"/>
      <c r="AT172" s="1"/>
      <c r="AU172" s="1"/>
      <c r="AV172" s="1674" t="str">
        <f>IF(Y41&lt;&gt;"",Y41,$I41)</f>
        <v/>
      </c>
    </row>
    <row r="173" ht="14.2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 t="s">
        <v>1022</v>
      </c>
      <c r="AI173" s="295" t="str">
        <f>G41</f>
        <v/>
      </c>
      <c r="AJ173" s="295"/>
      <c r="AK173" s="295"/>
      <c r="AL173" s="295" t="str">
        <f>IF(K41&lt;&gt;"",K41,$G41)</f>
        <v/>
      </c>
      <c r="AM173" s="295"/>
      <c r="AN173" s="295"/>
      <c r="AO173" s="295"/>
      <c r="AP173" s="295"/>
      <c r="AQ173" s="295" t="str">
        <f>IF(Q41&lt;&gt;"",Q41,$G41)</f>
        <v/>
      </c>
      <c r="AR173" s="295"/>
      <c r="AS173" s="295"/>
      <c r="AT173" s="295"/>
      <c r="AU173" s="295"/>
      <c r="AV173" s="295" t="str">
        <f>IF(W41&lt;&gt;"",W41,$G41)</f>
        <v/>
      </c>
    </row>
    <row r="174" ht="14.2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 t="s">
        <v>1023</v>
      </c>
      <c r="AI174" s="295" t="str">
        <f>'L Capital'!Q150</f>
        <v/>
      </c>
      <c r="AJ174" s="295"/>
      <c r="AK174" s="295"/>
      <c r="AL174" s="295">
        <f>IF($AI174&gt;0,$AI174,12)</f>
        <v>12</v>
      </c>
      <c r="AM174" s="295"/>
      <c r="AN174" s="295"/>
      <c r="AO174" s="295"/>
      <c r="AP174" s="295"/>
      <c r="AQ174" s="295">
        <f>IF($AI174&gt;0,$AI174,12)</f>
        <v>12</v>
      </c>
      <c r="AR174" s="295"/>
      <c r="AS174" s="295"/>
      <c r="AT174" s="295"/>
      <c r="AU174" s="295"/>
      <c r="AV174" s="295">
        <f>IF($AI174&gt;0,$AI174,12)</f>
        <v>12</v>
      </c>
    </row>
    <row r="175" ht="14.2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 t="s">
        <v>1024</v>
      </c>
      <c r="AI175" s="295" t="str">
        <f>IF('L Capital'!Q152&gt;=AI174,AI174,'L Capital'!Q152)</f>
        <v/>
      </c>
      <c r="AJ175" s="295"/>
      <c r="AK175" s="295"/>
      <c r="AL175" s="295">
        <f>IF($AI175&gt;0,$AI175,0)</f>
        <v>0</v>
      </c>
      <c r="AM175" s="295"/>
      <c r="AN175" s="295"/>
      <c r="AO175" s="295"/>
      <c r="AP175" s="295"/>
      <c r="AQ175" s="295">
        <f>IF($AI175&gt;0,$AI175,0)</f>
        <v>0</v>
      </c>
      <c r="AR175" s="295"/>
      <c r="AS175" s="295"/>
      <c r="AT175" s="295"/>
      <c r="AU175" s="295"/>
      <c r="AV175" s="295">
        <f>IF($AI175&gt;0,$AI175,0)</f>
        <v>0</v>
      </c>
    </row>
    <row r="176" ht="14.2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I176" s="1611"/>
      <c r="AJ176" s="1611"/>
      <c r="AK176" s="1611"/>
      <c r="AL176" s="1611"/>
      <c r="AM176" s="1611"/>
      <c r="AN176" s="1611"/>
      <c r="AO176" s="1611"/>
      <c r="AP176" s="1611"/>
      <c r="AQ176" s="1611"/>
      <c r="AR176" s="1611"/>
      <c r="AS176" s="1611"/>
      <c r="AT176" s="1611"/>
      <c r="AU176" s="1611"/>
      <c r="AV176" s="1611"/>
    </row>
    <row r="177" ht="14.2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 t="s">
        <v>1025</v>
      </c>
      <c r="AI177" s="1675">
        <f>IF(AI174&gt;0,AI171*AI172*AI174/12*AI175/AI174,0)</f>
        <v>0</v>
      </c>
      <c r="AJ177" s="1"/>
      <c r="AK177" s="1"/>
      <c r="AL177" s="1675">
        <f>IF(AL174&gt;0,AL171*AL172*AL174/12*AL175/AL174,0)</f>
        <v>0</v>
      </c>
      <c r="AM177" s="1"/>
      <c r="AN177" s="1"/>
      <c r="AO177" s="1"/>
      <c r="AP177" s="1"/>
      <c r="AQ177" s="1675">
        <f>IF(AQ174&gt;0,AQ171*AQ172*AQ174/12*AQ175/AQ174,0)</f>
        <v>0</v>
      </c>
      <c r="AR177" s="1"/>
      <c r="AS177" s="1"/>
      <c r="AT177" s="1"/>
      <c r="AU177" s="1"/>
      <c r="AV177" s="1675">
        <f>IF(AV174&gt;0,AV171*AV172*AV174/12*AV175/AV174,0)</f>
        <v>0</v>
      </c>
    </row>
    <row r="178" ht="14.2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 t="s">
        <v>1026</v>
      </c>
      <c r="AI178" s="1676">
        <f>IF(AI171&gt;0,PMT(AI172/12,AI173*12,-AI171),0)</f>
        <v>0</v>
      </c>
      <c r="AJ178" s="1"/>
      <c r="AK178" s="1"/>
      <c r="AL178" s="1676">
        <f>IF(AL171&gt;0,PMT(AL172/12,AL173*12,-AL171),0)</f>
        <v>0</v>
      </c>
      <c r="AM178" s="1"/>
      <c r="AN178" s="1"/>
      <c r="AO178" s="1"/>
      <c r="AP178" s="1"/>
      <c r="AQ178" s="1676">
        <f>IF(AQ171&gt;0,PMT(AQ172/12,AQ173*12,-AQ171),0)</f>
        <v>0</v>
      </c>
      <c r="AR178" s="1"/>
      <c r="AS178" s="1"/>
      <c r="AT178" s="1"/>
      <c r="AU178" s="1"/>
      <c r="AV178" s="1676">
        <f>IF(AV171&gt;0,PMT(AV172/12,AV173*12,-AV171),0)</f>
        <v>0</v>
      </c>
    </row>
    <row r="179" ht="14.2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 t="s">
        <v>1027</v>
      </c>
      <c r="AI179" s="295">
        <f>AI174-AI175</f>
        <v>0</v>
      </c>
      <c r="AJ179" s="1"/>
      <c r="AK179" s="1"/>
      <c r="AL179" s="295">
        <f>AL174-AL175</f>
        <v>12</v>
      </c>
      <c r="AM179" s="1"/>
      <c r="AN179" s="1"/>
      <c r="AO179" s="1"/>
      <c r="AP179" s="1"/>
      <c r="AQ179" s="295">
        <f>AQ174-AQ175</f>
        <v>12</v>
      </c>
      <c r="AR179" s="1"/>
      <c r="AS179" s="1"/>
      <c r="AT179" s="1"/>
      <c r="AU179" s="1"/>
      <c r="AV179" s="295">
        <f>AV174-AV175</f>
        <v>12</v>
      </c>
    </row>
    <row r="180" ht="14.2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 t="s">
        <v>1028</v>
      </c>
      <c r="AI180" s="295">
        <f>AI178*AI179</f>
        <v>0</v>
      </c>
      <c r="AJ180" s="295"/>
      <c r="AK180" s="295"/>
      <c r="AL180" s="295">
        <f>AL178*AL179</f>
        <v>0</v>
      </c>
      <c r="AM180" s="295"/>
      <c r="AN180" s="295"/>
      <c r="AO180" s="295"/>
      <c r="AP180" s="295"/>
      <c r="AQ180" s="295">
        <f>AQ178*AQ179</f>
        <v>0</v>
      </c>
      <c r="AR180" s="295"/>
      <c r="AS180" s="295"/>
      <c r="AT180" s="295"/>
      <c r="AU180" s="295"/>
      <c r="AV180" s="295">
        <f>AV178*AV179</f>
        <v>0</v>
      </c>
    </row>
    <row r="181" ht="14.2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 t="s">
        <v>1029</v>
      </c>
      <c r="AI181" s="295">
        <f>PV(AI172/12,AI173*12-AI179,-AI178)</f>
        <v>0</v>
      </c>
      <c r="AJ181" s="1"/>
      <c r="AK181" s="1"/>
      <c r="AL181" s="295">
        <f>PV(AL172/12,AL173*12-AL179,-AL178)</f>
        <v>0</v>
      </c>
      <c r="AM181" s="1"/>
      <c r="AN181" s="1"/>
      <c r="AO181" s="1"/>
      <c r="AP181" s="1"/>
      <c r="AQ181" s="295">
        <f>PV(AQ172/12,AQ173*12-AQ179,-AQ178)</f>
        <v>0</v>
      </c>
      <c r="AR181" s="1"/>
      <c r="AS181" s="1"/>
      <c r="AT181" s="1"/>
      <c r="AU181" s="1"/>
      <c r="AV181" s="295">
        <f>PV(AV172/12,AV173*12-AV179,-AV178)</f>
        <v>0</v>
      </c>
    </row>
    <row r="182" ht="14.25" customHeight="1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 t="s">
        <v>1030</v>
      </c>
      <c r="AI182" s="1675">
        <f>AI178*AI179-(AI171-AI181)</f>
        <v>0</v>
      </c>
      <c r="AJ182" s="1"/>
      <c r="AK182" s="1"/>
      <c r="AL182" s="1675">
        <f>AL178*AL179-(AL171-AL181)</f>
        <v>0</v>
      </c>
      <c r="AM182" s="1"/>
      <c r="AN182" s="1"/>
      <c r="AO182" s="1"/>
      <c r="AP182" s="1"/>
      <c r="AQ182" s="1675">
        <f>AQ178*AQ179-(AQ171-AQ181)</f>
        <v>0</v>
      </c>
      <c r="AR182" s="1"/>
      <c r="AS182" s="1"/>
      <c r="AT182" s="1"/>
      <c r="AU182" s="1"/>
      <c r="AV182" s="1675">
        <f>AV178*AV179-(AV171-AV181)</f>
        <v>0</v>
      </c>
    </row>
    <row r="183" ht="14.25" customHeight="1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</row>
    <row r="184" ht="14.25" customHeight="1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 t="s">
        <v>1031</v>
      </c>
      <c r="AI184" s="1675">
        <f>AI177+AI182</f>
        <v>0</v>
      </c>
      <c r="AJ184" s="1"/>
      <c r="AK184" s="1"/>
      <c r="AL184" s="1675">
        <f>AL177+AL182</f>
        <v>0</v>
      </c>
      <c r="AM184" s="1"/>
      <c r="AN184" s="1"/>
      <c r="AO184" s="1"/>
      <c r="AP184" s="1"/>
      <c r="AQ184" s="1675">
        <f>AQ177+AQ182</f>
        <v>0</v>
      </c>
      <c r="AR184" s="1"/>
      <c r="AS184" s="1"/>
      <c r="AT184" s="1"/>
      <c r="AU184" s="1"/>
      <c r="AV184" s="1675">
        <f>AV177+AV182</f>
        <v>0</v>
      </c>
    </row>
    <row r="185" ht="14.25" customHeight="1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</row>
    <row r="186" ht="14.25" customHeight="1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 t="s">
        <v>1032</v>
      </c>
      <c r="AI186" s="295">
        <f>AI171-AI181</f>
        <v>0</v>
      </c>
      <c r="AJ186" s="295"/>
      <c r="AK186" s="295"/>
      <c r="AL186" s="295">
        <f>AL171-AL181</f>
        <v>0</v>
      </c>
      <c r="AM186" s="295"/>
      <c r="AN186" s="295"/>
      <c r="AO186" s="295"/>
      <c r="AP186" s="295"/>
      <c r="AQ186" s="295">
        <f>AQ171-AQ181</f>
        <v>0</v>
      </c>
      <c r="AR186" s="295"/>
      <c r="AS186" s="295"/>
      <c r="AT186" s="295"/>
      <c r="AU186" s="295"/>
      <c r="AV186" s="295">
        <f>AV171-AV181</f>
        <v>0</v>
      </c>
    </row>
    <row r="187" ht="14.25" customHeight="1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I187" s="1611"/>
      <c r="AJ187" s="1611"/>
      <c r="AK187" s="1611"/>
      <c r="AL187" s="1611"/>
      <c r="AM187" s="1611"/>
      <c r="AN187" s="1611"/>
      <c r="AO187" s="1611"/>
      <c r="AP187" s="1611"/>
      <c r="AQ187" s="1611"/>
      <c r="AR187" s="1611"/>
      <c r="AS187" s="1611"/>
      <c r="AT187" s="1611"/>
      <c r="AU187" s="1611"/>
      <c r="AV187" s="1611"/>
    </row>
    <row r="188" ht="14.25" customHeight="1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I188" s="1611"/>
      <c r="AJ188" s="1611"/>
      <c r="AK188" s="1611"/>
      <c r="AL188" s="1611"/>
      <c r="AM188" s="1611"/>
      <c r="AN188" s="1611"/>
      <c r="AO188" s="1611"/>
      <c r="AP188" s="1611"/>
      <c r="AQ188" s="1611"/>
      <c r="AR188" s="1611"/>
      <c r="AS188" s="1611"/>
      <c r="AT188" s="1611"/>
      <c r="AU188" s="1611"/>
      <c r="AV188" s="1611"/>
    </row>
    <row r="189" ht="14.25" customHeigh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I189" s="1611"/>
      <c r="AJ189" s="1611"/>
      <c r="AK189" s="1611"/>
      <c r="AL189" s="1611"/>
      <c r="AM189" s="1611"/>
      <c r="AN189" s="1611"/>
      <c r="AO189" s="1611"/>
      <c r="AP189" s="1611"/>
      <c r="AQ189" s="1611"/>
      <c r="AR189" s="1611"/>
      <c r="AS189" s="1611"/>
      <c r="AT189" s="1611"/>
      <c r="AU189" s="1611"/>
      <c r="AV189" s="1611"/>
    </row>
    <row r="190" ht="14.25" customHeight="1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I190" s="1611"/>
      <c r="AJ190" s="1611"/>
      <c r="AK190" s="1611"/>
      <c r="AL190" s="1611"/>
      <c r="AM190" s="1611"/>
      <c r="AN190" s="1611"/>
      <c r="AO190" s="1611"/>
      <c r="AP190" s="1611"/>
      <c r="AQ190" s="1611"/>
      <c r="AR190" s="1611"/>
      <c r="AS190" s="1611"/>
      <c r="AT190" s="1611"/>
      <c r="AU190" s="1611"/>
      <c r="AV190" s="1611"/>
    </row>
    <row r="191" ht="14.25" customHeight="1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I191" s="1611"/>
      <c r="AJ191" s="1611"/>
      <c r="AK191" s="1611"/>
      <c r="AL191" s="1611"/>
      <c r="AM191" s="1611"/>
      <c r="AN191" s="1611"/>
      <c r="AO191" s="1611"/>
      <c r="AP191" s="1611"/>
      <c r="AQ191" s="1611"/>
      <c r="AR191" s="1611"/>
      <c r="AS191" s="1611"/>
      <c r="AT191" s="1611"/>
      <c r="AU191" s="1611"/>
      <c r="AV191" s="1611"/>
    </row>
    <row r="192" ht="14.25" customHeight="1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I192" s="1611"/>
      <c r="AJ192" s="1611"/>
      <c r="AK192" s="1611"/>
      <c r="AL192" s="1611"/>
      <c r="AM192" s="1611"/>
      <c r="AN192" s="1611"/>
      <c r="AO192" s="1611"/>
      <c r="AP192" s="1611"/>
      <c r="AQ192" s="1611"/>
      <c r="AR192" s="1611"/>
      <c r="AS192" s="1611"/>
      <c r="AT192" s="1611"/>
      <c r="AU192" s="1611"/>
      <c r="AV192" s="1611"/>
    </row>
    <row r="193" ht="14.25" customHeight="1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I193" s="1611"/>
      <c r="AJ193" s="1611"/>
      <c r="AK193" s="1611"/>
      <c r="AL193" s="1611"/>
      <c r="AM193" s="1611"/>
      <c r="AN193" s="1611"/>
      <c r="AO193" s="1611"/>
      <c r="AP193" s="1611"/>
      <c r="AQ193" s="1611"/>
      <c r="AR193" s="1611"/>
      <c r="AS193" s="1611"/>
      <c r="AT193" s="1611"/>
      <c r="AU193" s="1611"/>
      <c r="AV193" s="1611"/>
    </row>
    <row r="194" ht="14.25" customHeight="1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I194" s="1611"/>
      <c r="AJ194" s="1611"/>
      <c r="AK194" s="1611"/>
      <c r="AL194" s="1611"/>
      <c r="AM194" s="1611"/>
      <c r="AN194" s="1611"/>
      <c r="AO194" s="1611"/>
      <c r="AP194" s="1611"/>
      <c r="AQ194" s="1611"/>
      <c r="AR194" s="1611"/>
      <c r="AS194" s="1611"/>
      <c r="AT194" s="1611"/>
      <c r="AU194" s="1611"/>
      <c r="AV194" s="1611"/>
    </row>
    <row r="195" ht="14.25" customHeight="1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I195" s="1611"/>
      <c r="AJ195" s="1611"/>
      <c r="AK195" s="1611"/>
      <c r="AL195" s="1611"/>
      <c r="AM195" s="1611"/>
      <c r="AN195" s="1611"/>
      <c r="AO195" s="1611"/>
      <c r="AP195" s="1611"/>
      <c r="AQ195" s="1611"/>
      <c r="AR195" s="1611"/>
      <c r="AS195" s="1611"/>
      <c r="AT195" s="1611"/>
      <c r="AU195" s="1611"/>
      <c r="AV195" s="1611"/>
    </row>
    <row r="196" ht="14.25" customHeight="1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I196" s="1611"/>
      <c r="AJ196" s="1611"/>
      <c r="AK196" s="1611"/>
      <c r="AL196" s="1611"/>
      <c r="AM196" s="1611"/>
      <c r="AN196" s="1611"/>
      <c r="AO196" s="1611"/>
      <c r="AP196" s="1611"/>
      <c r="AQ196" s="1611"/>
      <c r="AR196" s="1611"/>
      <c r="AS196" s="1611"/>
      <c r="AT196" s="1611"/>
      <c r="AU196" s="1611"/>
      <c r="AV196" s="1611"/>
    </row>
    <row r="197" ht="14.25" customHeight="1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I197" s="1611"/>
      <c r="AJ197" s="1611"/>
      <c r="AK197" s="1611"/>
      <c r="AL197" s="1611"/>
      <c r="AM197" s="1611"/>
      <c r="AN197" s="1611"/>
      <c r="AO197" s="1611"/>
      <c r="AP197" s="1611"/>
      <c r="AQ197" s="1611"/>
      <c r="AR197" s="1611"/>
      <c r="AS197" s="1611"/>
      <c r="AT197" s="1611"/>
      <c r="AU197" s="1611"/>
      <c r="AV197" s="1611"/>
    </row>
    <row r="198" ht="14.25" customHeight="1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I198" s="1611"/>
      <c r="AJ198" s="1611"/>
      <c r="AK198" s="1611"/>
      <c r="AL198" s="1611"/>
      <c r="AM198" s="1611"/>
      <c r="AN198" s="1611"/>
      <c r="AO198" s="1611"/>
      <c r="AP198" s="1611"/>
      <c r="AQ198" s="1611"/>
      <c r="AR198" s="1611"/>
      <c r="AS198" s="1611"/>
      <c r="AT198" s="1611"/>
      <c r="AU198" s="1611"/>
      <c r="AV198" s="1611"/>
    </row>
    <row r="199" ht="14.25" customHeight="1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I199" s="1611"/>
      <c r="AJ199" s="1611"/>
      <c r="AK199" s="1611"/>
      <c r="AL199" s="1611"/>
      <c r="AM199" s="1611"/>
      <c r="AN199" s="1611"/>
      <c r="AO199" s="1611"/>
      <c r="AP199" s="1611"/>
      <c r="AQ199" s="1611"/>
      <c r="AR199" s="1611"/>
      <c r="AS199" s="1611"/>
      <c r="AT199" s="1611"/>
      <c r="AU199" s="1611"/>
      <c r="AV199" s="1611"/>
    </row>
    <row r="200" ht="14.25" customHeight="1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I200" s="1611"/>
      <c r="AJ200" s="1611"/>
      <c r="AK200" s="1611"/>
      <c r="AL200" s="1611"/>
      <c r="AM200" s="1611"/>
      <c r="AN200" s="1611"/>
      <c r="AO200" s="1611"/>
      <c r="AP200" s="1611"/>
      <c r="AQ200" s="1611"/>
      <c r="AR200" s="1611"/>
      <c r="AS200" s="1611"/>
      <c r="AT200" s="1611"/>
      <c r="AU200" s="1611"/>
      <c r="AV200" s="1611"/>
    </row>
    <row r="201" ht="14.25" customHeight="1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I201" s="1611"/>
      <c r="AJ201" s="1611"/>
      <c r="AK201" s="1611"/>
      <c r="AL201" s="1611"/>
      <c r="AM201" s="1611"/>
      <c r="AN201" s="1611"/>
      <c r="AO201" s="1611"/>
      <c r="AP201" s="1611"/>
      <c r="AQ201" s="1611"/>
      <c r="AR201" s="1611"/>
      <c r="AS201" s="1611"/>
      <c r="AT201" s="1611"/>
      <c r="AU201" s="1611"/>
      <c r="AV201" s="1611"/>
    </row>
    <row r="202" ht="14.25" customHeight="1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I202" s="1611"/>
      <c r="AJ202" s="1611"/>
      <c r="AK202" s="1611"/>
      <c r="AL202" s="1611"/>
      <c r="AM202" s="1611"/>
      <c r="AN202" s="1611"/>
      <c r="AO202" s="1611"/>
      <c r="AP202" s="1611"/>
      <c r="AQ202" s="1611"/>
      <c r="AR202" s="1611"/>
      <c r="AS202" s="1611"/>
      <c r="AT202" s="1611"/>
      <c r="AU202" s="1611"/>
      <c r="AV202" s="1611"/>
    </row>
    <row r="203" ht="14.25" customHeight="1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I203" s="1611"/>
      <c r="AJ203" s="1611"/>
      <c r="AK203" s="1611"/>
      <c r="AL203" s="1611"/>
      <c r="AM203" s="1611"/>
      <c r="AN203" s="1611"/>
      <c r="AO203" s="1611"/>
      <c r="AP203" s="1611"/>
      <c r="AQ203" s="1611"/>
      <c r="AR203" s="1611"/>
      <c r="AS203" s="1611"/>
      <c r="AT203" s="1611"/>
      <c r="AU203" s="1611"/>
      <c r="AV203" s="1611"/>
    </row>
    <row r="204" ht="14.25" customHeight="1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I204" s="1611"/>
      <c r="AJ204" s="1611"/>
      <c r="AK204" s="1611"/>
      <c r="AL204" s="1611"/>
      <c r="AM204" s="1611"/>
      <c r="AN204" s="1611"/>
      <c r="AO204" s="1611"/>
      <c r="AP204" s="1611"/>
      <c r="AQ204" s="1611"/>
      <c r="AR204" s="1611"/>
      <c r="AS204" s="1611"/>
      <c r="AT204" s="1611"/>
      <c r="AU204" s="1611"/>
      <c r="AV204" s="1611"/>
    </row>
    <row r="205" ht="14.25" customHeight="1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I205" s="1611"/>
      <c r="AJ205" s="1611"/>
      <c r="AK205" s="1611"/>
      <c r="AL205" s="1611"/>
      <c r="AM205" s="1611"/>
      <c r="AN205" s="1611"/>
      <c r="AO205" s="1611"/>
      <c r="AP205" s="1611"/>
      <c r="AQ205" s="1611"/>
      <c r="AR205" s="1611"/>
      <c r="AS205" s="1611"/>
      <c r="AT205" s="1611"/>
      <c r="AU205" s="1611"/>
      <c r="AV205" s="1611"/>
    </row>
    <row r="206" ht="14.25" customHeight="1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I206" s="1611"/>
      <c r="AJ206" s="1611"/>
      <c r="AK206" s="1611"/>
      <c r="AL206" s="1611"/>
      <c r="AM206" s="1611"/>
      <c r="AN206" s="1611"/>
      <c r="AO206" s="1611"/>
      <c r="AP206" s="1611"/>
      <c r="AQ206" s="1611"/>
      <c r="AR206" s="1611"/>
      <c r="AS206" s="1611"/>
      <c r="AT206" s="1611"/>
      <c r="AU206" s="1611"/>
      <c r="AV206" s="1611"/>
    </row>
    <row r="207" ht="14.25" customHeight="1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I207" s="1611"/>
      <c r="AJ207" s="1611"/>
      <c r="AK207" s="1611"/>
      <c r="AL207" s="1611"/>
      <c r="AM207" s="1611"/>
      <c r="AN207" s="1611"/>
      <c r="AO207" s="1611"/>
      <c r="AP207" s="1611"/>
      <c r="AQ207" s="1611"/>
      <c r="AR207" s="1611"/>
      <c r="AS207" s="1611"/>
      <c r="AT207" s="1611"/>
      <c r="AU207" s="1611"/>
      <c r="AV207" s="1611"/>
    </row>
    <row r="208" ht="14.25" customHeight="1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I208" s="1611"/>
      <c r="AJ208" s="1611"/>
      <c r="AK208" s="1611"/>
      <c r="AL208" s="1611"/>
      <c r="AM208" s="1611"/>
      <c r="AN208" s="1611"/>
      <c r="AO208" s="1611"/>
      <c r="AP208" s="1611"/>
      <c r="AQ208" s="1611"/>
      <c r="AR208" s="1611"/>
      <c r="AS208" s="1611"/>
      <c r="AT208" s="1611"/>
      <c r="AU208" s="1611"/>
      <c r="AV208" s="1611"/>
    </row>
    <row r="209" ht="14.25" customHeight="1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I209" s="1611"/>
      <c r="AJ209" s="1611"/>
      <c r="AK209" s="1611"/>
      <c r="AL209" s="1611"/>
      <c r="AM209" s="1611"/>
      <c r="AN209" s="1611"/>
      <c r="AO209" s="1611"/>
      <c r="AP209" s="1611"/>
      <c r="AQ209" s="1611"/>
      <c r="AR209" s="1611"/>
      <c r="AS209" s="1611"/>
      <c r="AT209" s="1611"/>
      <c r="AU209" s="1611"/>
      <c r="AV209" s="1611"/>
    </row>
    <row r="210" ht="14.25" customHeight="1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I210" s="1611"/>
      <c r="AJ210" s="1611"/>
      <c r="AK210" s="1611"/>
      <c r="AL210" s="1611"/>
      <c r="AM210" s="1611"/>
      <c r="AN210" s="1611"/>
      <c r="AO210" s="1611"/>
      <c r="AP210" s="1611"/>
      <c r="AQ210" s="1611"/>
      <c r="AR210" s="1611"/>
      <c r="AS210" s="1611"/>
      <c r="AT210" s="1611"/>
      <c r="AU210" s="1611"/>
      <c r="AV210" s="1611"/>
    </row>
    <row r="211" ht="14.25" customHeight="1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I211" s="1611"/>
      <c r="AJ211" s="1611"/>
      <c r="AK211" s="1611"/>
      <c r="AL211" s="1611"/>
      <c r="AM211" s="1611"/>
      <c r="AN211" s="1611"/>
      <c r="AO211" s="1611"/>
      <c r="AP211" s="1611"/>
      <c r="AQ211" s="1611"/>
      <c r="AR211" s="1611"/>
      <c r="AS211" s="1611"/>
      <c r="AT211" s="1611"/>
      <c r="AU211" s="1611"/>
      <c r="AV211" s="1611"/>
    </row>
    <row r="212" ht="14.25" customHeight="1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I212" s="1611"/>
      <c r="AJ212" s="1611"/>
      <c r="AK212" s="1611"/>
      <c r="AL212" s="1611"/>
      <c r="AM212" s="1611"/>
      <c r="AN212" s="1611"/>
      <c r="AO212" s="1611"/>
      <c r="AP212" s="1611"/>
      <c r="AQ212" s="1611"/>
      <c r="AR212" s="1611"/>
      <c r="AS212" s="1611"/>
      <c r="AT212" s="1611"/>
      <c r="AU212" s="1611"/>
      <c r="AV212" s="1611"/>
    </row>
    <row r="213" ht="14.25" customHeight="1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I213" s="1611"/>
      <c r="AJ213" s="1611"/>
      <c r="AK213" s="1611"/>
      <c r="AL213" s="1611"/>
      <c r="AM213" s="1611"/>
      <c r="AN213" s="1611"/>
      <c r="AO213" s="1611"/>
      <c r="AP213" s="1611"/>
      <c r="AQ213" s="1611"/>
      <c r="AR213" s="1611"/>
      <c r="AS213" s="1611"/>
      <c r="AT213" s="1611"/>
      <c r="AU213" s="1611"/>
      <c r="AV213" s="1611"/>
    </row>
    <row r="214" ht="14.25" customHeight="1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I214" s="1611"/>
      <c r="AJ214" s="1611"/>
      <c r="AK214" s="1611"/>
      <c r="AL214" s="1611"/>
      <c r="AM214" s="1611"/>
      <c r="AN214" s="1611"/>
      <c r="AO214" s="1611"/>
      <c r="AP214" s="1611"/>
      <c r="AQ214" s="1611"/>
      <c r="AR214" s="1611"/>
      <c r="AS214" s="1611"/>
      <c r="AT214" s="1611"/>
      <c r="AU214" s="1611"/>
      <c r="AV214" s="1611"/>
    </row>
    <row r="215" ht="14.25" customHeight="1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I215" s="1611"/>
      <c r="AJ215" s="1611"/>
      <c r="AK215" s="1611"/>
      <c r="AL215" s="1611"/>
      <c r="AM215" s="1611"/>
      <c r="AN215" s="1611"/>
      <c r="AO215" s="1611"/>
      <c r="AP215" s="1611"/>
      <c r="AQ215" s="1611"/>
      <c r="AR215" s="1611"/>
      <c r="AS215" s="1611"/>
      <c r="AT215" s="1611"/>
      <c r="AU215" s="1611"/>
      <c r="AV215" s="1611"/>
    </row>
    <row r="216" ht="14.25" customHeight="1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I216" s="1611"/>
      <c r="AJ216" s="1611"/>
      <c r="AK216" s="1611"/>
      <c r="AL216" s="1611"/>
      <c r="AM216" s="1611"/>
      <c r="AN216" s="1611"/>
      <c r="AO216" s="1611"/>
      <c r="AP216" s="1611"/>
      <c r="AQ216" s="1611"/>
      <c r="AR216" s="1611"/>
      <c r="AS216" s="1611"/>
      <c r="AT216" s="1611"/>
      <c r="AU216" s="1611"/>
      <c r="AV216" s="1611"/>
    </row>
    <row r="217" ht="14.25" customHeight="1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I217" s="1611"/>
      <c r="AJ217" s="1611"/>
      <c r="AK217" s="1611"/>
      <c r="AL217" s="1611"/>
      <c r="AM217" s="1611"/>
      <c r="AN217" s="1611"/>
      <c r="AO217" s="1611"/>
      <c r="AP217" s="1611"/>
      <c r="AQ217" s="1611"/>
      <c r="AR217" s="1611"/>
      <c r="AS217" s="1611"/>
      <c r="AT217" s="1611"/>
      <c r="AU217" s="1611"/>
      <c r="AV217" s="1611"/>
    </row>
    <row r="218" ht="14.25" customHeight="1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I218" s="1611"/>
      <c r="AJ218" s="1611"/>
      <c r="AK218" s="1611"/>
      <c r="AL218" s="1611"/>
      <c r="AM218" s="1611"/>
      <c r="AN218" s="1611"/>
      <c r="AO218" s="1611"/>
      <c r="AP218" s="1611"/>
      <c r="AQ218" s="1611"/>
      <c r="AR218" s="1611"/>
      <c r="AS218" s="1611"/>
      <c r="AT218" s="1611"/>
      <c r="AU218" s="1611"/>
      <c r="AV218" s="1611"/>
    </row>
    <row r="219" ht="14.25" customHeight="1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I219" s="1611"/>
      <c r="AJ219" s="1611"/>
      <c r="AK219" s="1611"/>
      <c r="AL219" s="1611"/>
      <c r="AM219" s="1611"/>
      <c r="AN219" s="1611"/>
      <c r="AO219" s="1611"/>
      <c r="AP219" s="1611"/>
      <c r="AQ219" s="1611"/>
      <c r="AR219" s="1611"/>
      <c r="AS219" s="1611"/>
      <c r="AT219" s="1611"/>
      <c r="AU219" s="1611"/>
      <c r="AV219" s="1611"/>
    </row>
    <row r="220" ht="14.25" customHeight="1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I220" s="1611"/>
      <c r="AJ220" s="1611"/>
      <c r="AK220" s="1611"/>
      <c r="AL220" s="1611"/>
      <c r="AM220" s="1611"/>
      <c r="AN220" s="1611"/>
      <c r="AO220" s="1611"/>
      <c r="AP220" s="1611"/>
      <c r="AQ220" s="1611"/>
      <c r="AR220" s="1611"/>
      <c r="AS220" s="1611"/>
      <c r="AT220" s="1611"/>
      <c r="AU220" s="1611"/>
      <c r="AV220" s="1611"/>
    </row>
    <row r="221" ht="14.25" customHeight="1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I221" s="1611"/>
      <c r="AJ221" s="1611"/>
      <c r="AK221" s="1611"/>
      <c r="AL221" s="1611"/>
      <c r="AM221" s="1611"/>
      <c r="AN221" s="1611"/>
      <c r="AO221" s="1611"/>
      <c r="AP221" s="1611"/>
      <c r="AQ221" s="1611"/>
      <c r="AR221" s="1611"/>
      <c r="AS221" s="1611"/>
      <c r="AT221" s="1611"/>
      <c r="AU221" s="1611"/>
      <c r="AV221" s="1611"/>
    </row>
    <row r="222" ht="14.25" customHeight="1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I222" s="1611"/>
      <c r="AJ222" s="1611"/>
      <c r="AK222" s="1611"/>
      <c r="AL222" s="1611"/>
      <c r="AM222" s="1611"/>
      <c r="AN222" s="1611"/>
      <c r="AO222" s="1611"/>
      <c r="AP222" s="1611"/>
      <c r="AQ222" s="1611"/>
      <c r="AR222" s="1611"/>
      <c r="AS222" s="1611"/>
      <c r="AT222" s="1611"/>
      <c r="AU222" s="1611"/>
      <c r="AV222" s="1611"/>
    </row>
    <row r="223" ht="14.25" customHeight="1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I223" s="1611"/>
      <c r="AJ223" s="1611"/>
      <c r="AK223" s="1611"/>
      <c r="AL223" s="1611"/>
      <c r="AM223" s="1611"/>
      <c r="AN223" s="1611"/>
      <c r="AO223" s="1611"/>
      <c r="AP223" s="1611"/>
      <c r="AQ223" s="1611"/>
      <c r="AR223" s="1611"/>
      <c r="AS223" s="1611"/>
      <c r="AT223" s="1611"/>
      <c r="AU223" s="1611"/>
      <c r="AV223" s="1611"/>
    </row>
    <row r="224" ht="14.25" customHeight="1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I224" s="1611"/>
      <c r="AJ224" s="1611"/>
      <c r="AK224" s="1611"/>
      <c r="AL224" s="1611"/>
      <c r="AM224" s="1611"/>
      <c r="AN224" s="1611"/>
      <c r="AO224" s="1611"/>
      <c r="AP224" s="1611"/>
      <c r="AQ224" s="1611"/>
      <c r="AR224" s="1611"/>
      <c r="AS224" s="1611"/>
      <c r="AT224" s="1611"/>
      <c r="AU224" s="1611"/>
      <c r="AV224" s="1611"/>
    </row>
    <row r="225" ht="14.25" customHeight="1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I225" s="1611"/>
      <c r="AJ225" s="1611"/>
      <c r="AK225" s="1611"/>
      <c r="AL225" s="1611"/>
      <c r="AM225" s="1611"/>
      <c r="AN225" s="1611"/>
      <c r="AO225" s="1611"/>
      <c r="AP225" s="1611"/>
      <c r="AQ225" s="1611"/>
      <c r="AR225" s="1611"/>
      <c r="AS225" s="1611"/>
      <c r="AT225" s="1611"/>
      <c r="AU225" s="1611"/>
      <c r="AV225" s="1611"/>
    </row>
    <row r="226" ht="14.25" customHeight="1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I226" s="1611"/>
      <c r="AJ226" s="1611"/>
      <c r="AK226" s="1611"/>
      <c r="AL226" s="1611"/>
      <c r="AM226" s="1611"/>
      <c r="AN226" s="1611"/>
      <c r="AO226" s="1611"/>
      <c r="AP226" s="1611"/>
      <c r="AQ226" s="1611"/>
      <c r="AR226" s="1611"/>
      <c r="AS226" s="1611"/>
      <c r="AT226" s="1611"/>
      <c r="AU226" s="1611"/>
      <c r="AV226" s="1611"/>
    </row>
    <row r="227" ht="14.25" customHeight="1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I227" s="1611"/>
      <c r="AJ227" s="1611"/>
      <c r="AK227" s="1611"/>
      <c r="AL227" s="1611"/>
      <c r="AM227" s="1611"/>
      <c r="AN227" s="1611"/>
      <c r="AO227" s="1611"/>
      <c r="AP227" s="1611"/>
      <c r="AQ227" s="1611"/>
      <c r="AR227" s="1611"/>
      <c r="AS227" s="1611"/>
      <c r="AT227" s="1611"/>
      <c r="AU227" s="1611"/>
      <c r="AV227" s="1611"/>
    </row>
    <row r="228" ht="14.25" customHeight="1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I228" s="1611"/>
      <c r="AJ228" s="1611"/>
      <c r="AK228" s="1611"/>
      <c r="AL228" s="1611"/>
      <c r="AM228" s="1611"/>
      <c r="AN228" s="1611"/>
      <c r="AO228" s="1611"/>
      <c r="AP228" s="1611"/>
      <c r="AQ228" s="1611"/>
      <c r="AR228" s="1611"/>
      <c r="AS228" s="1611"/>
      <c r="AT228" s="1611"/>
      <c r="AU228" s="1611"/>
      <c r="AV228" s="1611"/>
    </row>
    <row r="229" ht="14.25" customHeight="1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I229" s="1611"/>
      <c r="AJ229" s="1611"/>
      <c r="AK229" s="1611"/>
      <c r="AL229" s="1611"/>
      <c r="AM229" s="1611"/>
      <c r="AN229" s="1611"/>
      <c r="AO229" s="1611"/>
      <c r="AP229" s="1611"/>
      <c r="AQ229" s="1611"/>
      <c r="AR229" s="1611"/>
      <c r="AS229" s="1611"/>
      <c r="AT229" s="1611"/>
      <c r="AU229" s="1611"/>
      <c r="AV229" s="1611"/>
    </row>
    <row r="230" ht="14.25" customHeight="1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I230" s="1611"/>
      <c r="AJ230" s="1611"/>
      <c r="AK230" s="1611"/>
      <c r="AL230" s="1611"/>
      <c r="AM230" s="1611"/>
      <c r="AN230" s="1611"/>
      <c r="AO230" s="1611"/>
      <c r="AP230" s="1611"/>
      <c r="AQ230" s="1611"/>
      <c r="AR230" s="1611"/>
      <c r="AS230" s="1611"/>
      <c r="AT230" s="1611"/>
      <c r="AU230" s="1611"/>
      <c r="AV230" s="1611"/>
    </row>
    <row r="231" ht="14.25" customHeight="1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I231" s="1611"/>
      <c r="AJ231" s="1611"/>
      <c r="AK231" s="1611"/>
      <c r="AL231" s="1611"/>
      <c r="AM231" s="1611"/>
      <c r="AN231" s="1611"/>
      <c r="AO231" s="1611"/>
      <c r="AP231" s="1611"/>
      <c r="AQ231" s="1611"/>
      <c r="AR231" s="1611"/>
      <c r="AS231" s="1611"/>
      <c r="AT231" s="1611"/>
      <c r="AU231" s="1611"/>
      <c r="AV231" s="1611"/>
    </row>
    <row r="232" ht="14.25" customHeight="1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I232" s="1611"/>
      <c r="AJ232" s="1611"/>
      <c r="AK232" s="1611"/>
      <c r="AL232" s="1611"/>
      <c r="AM232" s="1611"/>
      <c r="AN232" s="1611"/>
      <c r="AO232" s="1611"/>
      <c r="AP232" s="1611"/>
      <c r="AQ232" s="1611"/>
      <c r="AR232" s="1611"/>
      <c r="AS232" s="1611"/>
      <c r="AT232" s="1611"/>
      <c r="AU232" s="1611"/>
      <c r="AV232" s="1611"/>
    </row>
    <row r="233" ht="14.25" customHeight="1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I233" s="1611"/>
      <c r="AJ233" s="1611"/>
      <c r="AK233" s="1611"/>
      <c r="AL233" s="1611"/>
      <c r="AM233" s="1611"/>
      <c r="AN233" s="1611"/>
      <c r="AO233" s="1611"/>
      <c r="AP233" s="1611"/>
      <c r="AQ233" s="1611"/>
      <c r="AR233" s="1611"/>
      <c r="AS233" s="1611"/>
      <c r="AT233" s="1611"/>
      <c r="AU233" s="1611"/>
      <c r="AV233" s="1611"/>
    </row>
    <row r="234" ht="14.25" customHeight="1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I234" s="1611"/>
      <c r="AJ234" s="1611"/>
      <c r="AK234" s="1611"/>
      <c r="AL234" s="1611"/>
      <c r="AM234" s="1611"/>
      <c r="AN234" s="1611"/>
      <c r="AO234" s="1611"/>
      <c r="AP234" s="1611"/>
      <c r="AQ234" s="1611"/>
      <c r="AR234" s="1611"/>
      <c r="AS234" s="1611"/>
      <c r="AT234" s="1611"/>
      <c r="AU234" s="1611"/>
      <c r="AV234" s="1611"/>
    </row>
    <row r="235" ht="14.25" customHeight="1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I235" s="1611"/>
      <c r="AJ235" s="1611"/>
      <c r="AK235" s="1611"/>
      <c r="AL235" s="1611"/>
      <c r="AM235" s="1611"/>
      <c r="AN235" s="1611"/>
      <c r="AO235" s="1611"/>
      <c r="AP235" s="1611"/>
      <c r="AQ235" s="1611"/>
      <c r="AR235" s="1611"/>
      <c r="AS235" s="1611"/>
      <c r="AT235" s="1611"/>
      <c r="AU235" s="1611"/>
      <c r="AV235" s="1611"/>
    </row>
    <row r="236" ht="14.25" customHeight="1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I236" s="1611"/>
      <c r="AJ236" s="1611"/>
      <c r="AK236" s="1611"/>
      <c r="AL236" s="1611"/>
      <c r="AM236" s="1611"/>
      <c r="AN236" s="1611"/>
      <c r="AO236" s="1611"/>
      <c r="AP236" s="1611"/>
      <c r="AQ236" s="1611"/>
      <c r="AR236" s="1611"/>
      <c r="AS236" s="1611"/>
      <c r="AT236" s="1611"/>
      <c r="AU236" s="1611"/>
      <c r="AV236" s="1611"/>
    </row>
    <row r="237" ht="14.25" customHeight="1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I237" s="1611"/>
      <c r="AJ237" s="1611"/>
      <c r="AK237" s="1611"/>
      <c r="AL237" s="1611"/>
      <c r="AM237" s="1611"/>
      <c r="AN237" s="1611"/>
      <c r="AO237" s="1611"/>
      <c r="AP237" s="1611"/>
      <c r="AQ237" s="1611"/>
      <c r="AR237" s="1611"/>
      <c r="AS237" s="1611"/>
      <c r="AT237" s="1611"/>
      <c r="AU237" s="1611"/>
      <c r="AV237" s="1611"/>
    </row>
    <row r="238" ht="14.25" customHeight="1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I238" s="1611"/>
      <c r="AJ238" s="1611"/>
      <c r="AK238" s="1611"/>
      <c r="AL238" s="1611"/>
      <c r="AM238" s="1611"/>
      <c r="AN238" s="1611"/>
      <c r="AO238" s="1611"/>
      <c r="AP238" s="1611"/>
      <c r="AQ238" s="1611"/>
      <c r="AR238" s="1611"/>
      <c r="AS238" s="1611"/>
      <c r="AT238" s="1611"/>
      <c r="AU238" s="1611"/>
      <c r="AV238" s="1611"/>
    </row>
    <row r="239" ht="14.25" customHeight="1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I239" s="1611"/>
      <c r="AJ239" s="1611"/>
      <c r="AK239" s="1611"/>
      <c r="AL239" s="1611"/>
      <c r="AM239" s="1611"/>
      <c r="AN239" s="1611"/>
      <c r="AO239" s="1611"/>
      <c r="AP239" s="1611"/>
      <c r="AQ239" s="1611"/>
      <c r="AR239" s="1611"/>
      <c r="AS239" s="1611"/>
      <c r="AT239" s="1611"/>
      <c r="AU239" s="1611"/>
      <c r="AV239" s="1611"/>
    </row>
    <row r="240" ht="14.25" customHeight="1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I240" s="1611"/>
      <c r="AJ240" s="1611"/>
      <c r="AK240" s="1611"/>
      <c r="AL240" s="1611"/>
      <c r="AM240" s="1611"/>
      <c r="AN240" s="1611"/>
      <c r="AO240" s="1611"/>
      <c r="AP240" s="1611"/>
      <c r="AQ240" s="1611"/>
      <c r="AR240" s="1611"/>
      <c r="AS240" s="1611"/>
      <c r="AT240" s="1611"/>
      <c r="AU240" s="1611"/>
      <c r="AV240" s="1611"/>
    </row>
    <row r="241" ht="14.25" customHeight="1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I241" s="1611"/>
      <c r="AJ241" s="1611"/>
      <c r="AK241" s="1611"/>
      <c r="AL241" s="1611"/>
      <c r="AM241" s="1611"/>
      <c r="AN241" s="1611"/>
      <c r="AO241" s="1611"/>
      <c r="AP241" s="1611"/>
      <c r="AQ241" s="1611"/>
      <c r="AR241" s="1611"/>
      <c r="AS241" s="1611"/>
      <c r="AT241" s="1611"/>
      <c r="AU241" s="1611"/>
      <c r="AV241" s="1611"/>
    </row>
    <row r="242" ht="14.25" customHeight="1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I242" s="1611"/>
      <c r="AJ242" s="1611"/>
      <c r="AK242" s="1611"/>
      <c r="AL242" s="1611"/>
      <c r="AM242" s="1611"/>
      <c r="AN242" s="1611"/>
      <c r="AO242" s="1611"/>
      <c r="AP242" s="1611"/>
      <c r="AQ242" s="1611"/>
      <c r="AR242" s="1611"/>
      <c r="AS242" s="1611"/>
      <c r="AT242" s="1611"/>
      <c r="AU242" s="1611"/>
      <c r="AV242" s="1611"/>
    </row>
    <row r="243" ht="14.25" customHeight="1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I243" s="1611"/>
      <c r="AJ243" s="1611"/>
      <c r="AK243" s="1611"/>
      <c r="AL243" s="1611"/>
      <c r="AM243" s="1611"/>
      <c r="AN243" s="1611"/>
      <c r="AO243" s="1611"/>
      <c r="AP243" s="1611"/>
      <c r="AQ243" s="1611"/>
      <c r="AR243" s="1611"/>
      <c r="AS243" s="1611"/>
      <c r="AT243" s="1611"/>
      <c r="AU243" s="1611"/>
      <c r="AV243" s="1611"/>
    </row>
    <row r="244" ht="14.25" customHeight="1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I244" s="1611"/>
      <c r="AJ244" s="1611"/>
      <c r="AK244" s="1611"/>
      <c r="AL244" s="1611"/>
      <c r="AM244" s="1611"/>
      <c r="AN244" s="1611"/>
      <c r="AO244" s="1611"/>
      <c r="AP244" s="1611"/>
      <c r="AQ244" s="1611"/>
      <c r="AR244" s="1611"/>
      <c r="AS244" s="1611"/>
      <c r="AT244" s="1611"/>
      <c r="AU244" s="1611"/>
      <c r="AV244" s="1611"/>
    </row>
    <row r="245" ht="14.25" customHeight="1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I245" s="1611"/>
      <c r="AJ245" s="1611"/>
      <c r="AK245" s="1611"/>
      <c r="AL245" s="1611"/>
      <c r="AM245" s="1611"/>
      <c r="AN245" s="1611"/>
      <c r="AO245" s="1611"/>
      <c r="AP245" s="1611"/>
      <c r="AQ245" s="1611"/>
      <c r="AR245" s="1611"/>
      <c r="AS245" s="1611"/>
      <c r="AT245" s="1611"/>
      <c r="AU245" s="1611"/>
      <c r="AV245" s="1611"/>
    </row>
    <row r="246" ht="14.25" customHeight="1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I246" s="1611"/>
      <c r="AJ246" s="1611"/>
      <c r="AK246" s="1611"/>
      <c r="AL246" s="1611"/>
      <c r="AM246" s="1611"/>
      <c r="AN246" s="1611"/>
      <c r="AO246" s="1611"/>
      <c r="AP246" s="1611"/>
      <c r="AQ246" s="1611"/>
      <c r="AR246" s="1611"/>
      <c r="AS246" s="1611"/>
      <c r="AT246" s="1611"/>
      <c r="AU246" s="1611"/>
      <c r="AV246" s="1611"/>
    </row>
    <row r="247" ht="14.25" customHeight="1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I247" s="1611"/>
      <c r="AJ247" s="1611"/>
      <c r="AK247" s="1611"/>
      <c r="AL247" s="1611"/>
      <c r="AM247" s="1611"/>
      <c r="AN247" s="1611"/>
      <c r="AO247" s="1611"/>
      <c r="AP247" s="1611"/>
      <c r="AQ247" s="1611"/>
      <c r="AR247" s="1611"/>
      <c r="AS247" s="1611"/>
      <c r="AT247" s="1611"/>
      <c r="AU247" s="1611"/>
      <c r="AV247" s="1611"/>
    </row>
    <row r="248" ht="14.25" customHeight="1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I248" s="1611"/>
      <c r="AJ248" s="1611"/>
      <c r="AK248" s="1611"/>
      <c r="AL248" s="1611"/>
      <c r="AM248" s="1611"/>
      <c r="AN248" s="1611"/>
      <c r="AO248" s="1611"/>
      <c r="AP248" s="1611"/>
      <c r="AQ248" s="1611"/>
      <c r="AR248" s="1611"/>
      <c r="AS248" s="1611"/>
      <c r="AT248" s="1611"/>
      <c r="AU248" s="1611"/>
      <c r="AV248" s="1611"/>
    </row>
    <row r="249" ht="14.25" customHeight="1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I249" s="1611"/>
      <c r="AJ249" s="1611"/>
      <c r="AK249" s="1611"/>
      <c r="AL249" s="1611"/>
      <c r="AM249" s="1611"/>
      <c r="AN249" s="1611"/>
      <c r="AO249" s="1611"/>
      <c r="AP249" s="1611"/>
      <c r="AQ249" s="1611"/>
      <c r="AR249" s="1611"/>
      <c r="AS249" s="1611"/>
      <c r="AT249" s="1611"/>
      <c r="AU249" s="1611"/>
      <c r="AV249" s="1611"/>
    </row>
    <row r="250" ht="14.25" customHeight="1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I250" s="1611"/>
      <c r="AJ250" s="1611"/>
      <c r="AK250" s="1611"/>
      <c r="AL250" s="1611"/>
      <c r="AM250" s="1611"/>
      <c r="AN250" s="1611"/>
      <c r="AO250" s="1611"/>
      <c r="AP250" s="1611"/>
      <c r="AQ250" s="1611"/>
      <c r="AR250" s="1611"/>
      <c r="AS250" s="1611"/>
      <c r="AT250" s="1611"/>
      <c r="AU250" s="1611"/>
      <c r="AV250" s="1611"/>
    </row>
    <row r="251" ht="14.25" customHeight="1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I251" s="1611"/>
      <c r="AJ251" s="1611"/>
      <c r="AK251" s="1611"/>
      <c r="AL251" s="1611"/>
      <c r="AM251" s="1611"/>
      <c r="AN251" s="1611"/>
      <c r="AO251" s="1611"/>
      <c r="AP251" s="1611"/>
      <c r="AQ251" s="1611"/>
      <c r="AR251" s="1611"/>
      <c r="AS251" s="1611"/>
      <c r="AT251" s="1611"/>
      <c r="AU251" s="1611"/>
      <c r="AV251" s="1611"/>
    </row>
    <row r="252" ht="14.25" customHeight="1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I252" s="1611"/>
      <c r="AJ252" s="1611"/>
      <c r="AK252" s="1611"/>
      <c r="AL252" s="1611"/>
      <c r="AM252" s="1611"/>
      <c r="AN252" s="1611"/>
      <c r="AO252" s="1611"/>
      <c r="AP252" s="1611"/>
      <c r="AQ252" s="1611"/>
      <c r="AR252" s="1611"/>
      <c r="AS252" s="1611"/>
      <c r="AT252" s="1611"/>
      <c r="AU252" s="1611"/>
      <c r="AV252" s="1611"/>
    </row>
    <row r="253" ht="14.25" customHeight="1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I253" s="1611"/>
      <c r="AJ253" s="1611"/>
      <c r="AK253" s="1611"/>
      <c r="AL253" s="1611"/>
      <c r="AM253" s="1611"/>
      <c r="AN253" s="1611"/>
      <c r="AO253" s="1611"/>
      <c r="AP253" s="1611"/>
      <c r="AQ253" s="1611"/>
      <c r="AR253" s="1611"/>
      <c r="AS253" s="1611"/>
      <c r="AT253" s="1611"/>
      <c r="AU253" s="1611"/>
      <c r="AV253" s="1611"/>
    </row>
    <row r="254" ht="14.25" customHeight="1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I254" s="1611"/>
      <c r="AJ254" s="1611"/>
      <c r="AK254" s="1611"/>
      <c r="AL254" s="1611"/>
      <c r="AM254" s="1611"/>
      <c r="AN254" s="1611"/>
      <c r="AO254" s="1611"/>
      <c r="AP254" s="1611"/>
      <c r="AQ254" s="1611"/>
      <c r="AR254" s="1611"/>
      <c r="AS254" s="1611"/>
      <c r="AT254" s="1611"/>
      <c r="AU254" s="1611"/>
      <c r="AV254" s="1611"/>
    </row>
    <row r="255" ht="14.25" customHeight="1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I255" s="1611"/>
      <c r="AJ255" s="1611"/>
      <c r="AK255" s="1611"/>
      <c r="AL255" s="1611"/>
      <c r="AM255" s="1611"/>
      <c r="AN255" s="1611"/>
      <c r="AO255" s="1611"/>
      <c r="AP255" s="1611"/>
      <c r="AQ255" s="1611"/>
      <c r="AR255" s="1611"/>
      <c r="AS255" s="1611"/>
      <c r="AT255" s="1611"/>
      <c r="AU255" s="1611"/>
      <c r="AV255" s="1611"/>
    </row>
    <row r="256" ht="14.25" customHeight="1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I256" s="1611"/>
      <c r="AJ256" s="1611"/>
      <c r="AK256" s="1611"/>
      <c r="AL256" s="1611"/>
      <c r="AM256" s="1611"/>
      <c r="AN256" s="1611"/>
      <c r="AO256" s="1611"/>
      <c r="AP256" s="1611"/>
      <c r="AQ256" s="1611"/>
      <c r="AR256" s="1611"/>
      <c r="AS256" s="1611"/>
      <c r="AT256" s="1611"/>
      <c r="AU256" s="1611"/>
      <c r="AV256" s="1611"/>
    </row>
    <row r="257" ht="14.25" customHeight="1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I257" s="1611"/>
      <c r="AJ257" s="1611"/>
      <c r="AK257" s="1611"/>
      <c r="AL257" s="1611"/>
      <c r="AM257" s="1611"/>
      <c r="AN257" s="1611"/>
      <c r="AO257" s="1611"/>
      <c r="AP257" s="1611"/>
      <c r="AQ257" s="1611"/>
      <c r="AR257" s="1611"/>
      <c r="AS257" s="1611"/>
      <c r="AT257" s="1611"/>
      <c r="AU257" s="1611"/>
      <c r="AV257" s="1611"/>
    </row>
    <row r="258" ht="14.25" customHeight="1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I258" s="1611"/>
      <c r="AJ258" s="1611"/>
      <c r="AK258" s="1611"/>
      <c r="AL258" s="1611"/>
      <c r="AM258" s="1611"/>
      <c r="AN258" s="1611"/>
      <c r="AO258" s="1611"/>
      <c r="AP258" s="1611"/>
      <c r="AQ258" s="1611"/>
      <c r="AR258" s="1611"/>
      <c r="AS258" s="1611"/>
      <c r="AT258" s="1611"/>
      <c r="AU258" s="1611"/>
      <c r="AV258" s="1611"/>
    </row>
    <row r="259" ht="14.25" customHeight="1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I259" s="1611"/>
      <c r="AJ259" s="1611"/>
      <c r="AK259" s="1611"/>
      <c r="AL259" s="1611"/>
      <c r="AM259" s="1611"/>
      <c r="AN259" s="1611"/>
      <c r="AO259" s="1611"/>
      <c r="AP259" s="1611"/>
      <c r="AQ259" s="1611"/>
      <c r="AR259" s="1611"/>
      <c r="AS259" s="1611"/>
      <c r="AT259" s="1611"/>
      <c r="AU259" s="1611"/>
      <c r="AV259" s="1611"/>
    </row>
    <row r="260" ht="14.25" customHeight="1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I260" s="1611"/>
      <c r="AJ260" s="1611"/>
      <c r="AK260" s="1611"/>
      <c r="AL260" s="1611"/>
      <c r="AM260" s="1611"/>
      <c r="AN260" s="1611"/>
      <c r="AO260" s="1611"/>
      <c r="AP260" s="1611"/>
      <c r="AQ260" s="1611"/>
      <c r="AR260" s="1611"/>
      <c r="AS260" s="1611"/>
      <c r="AT260" s="1611"/>
      <c r="AU260" s="1611"/>
      <c r="AV260" s="1611"/>
    </row>
    <row r="261" ht="14.25" customHeight="1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I261" s="1611"/>
      <c r="AJ261" s="1611"/>
      <c r="AK261" s="1611"/>
      <c r="AL261" s="1611"/>
      <c r="AM261" s="1611"/>
      <c r="AN261" s="1611"/>
      <c r="AO261" s="1611"/>
      <c r="AP261" s="1611"/>
      <c r="AQ261" s="1611"/>
      <c r="AR261" s="1611"/>
      <c r="AS261" s="1611"/>
      <c r="AT261" s="1611"/>
      <c r="AU261" s="1611"/>
      <c r="AV261" s="1611"/>
    </row>
    <row r="262" ht="14.25" customHeight="1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I262" s="1611"/>
      <c r="AJ262" s="1611"/>
      <c r="AK262" s="1611"/>
      <c r="AL262" s="1611"/>
      <c r="AM262" s="1611"/>
      <c r="AN262" s="1611"/>
      <c r="AO262" s="1611"/>
      <c r="AP262" s="1611"/>
      <c r="AQ262" s="1611"/>
      <c r="AR262" s="1611"/>
      <c r="AS262" s="1611"/>
      <c r="AT262" s="1611"/>
      <c r="AU262" s="1611"/>
      <c r="AV262" s="1611"/>
    </row>
    <row r="263" ht="14.25" customHeight="1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I263" s="1611"/>
      <c r="AJ263" s="1611"/>
      <c r="AK263" s="1611"/>
      <c r="AL263" s="1611"/>
      <c r="AM263" s="1611"/>
      <c r="AN263" s="1611"/>
      <c r="AO263" s="1611"/>
      <c r="AP263" s="1611"/>
      <c r="AQ263" s="1611"/>
      <c r="AR263" s="1611"/>
      <c r="AS263" s="1611"/>
      <c r="AT263" s="1611"/>
      <c r="AU263" s="1611"/>
      <c r="AV263" s="1611"/>
    </row>
    <row r="264" ht="14.25" customHeight="1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I264" s="1611"/>
      <c r="AJ264" s="1611"/>
      <c r="AK264" s="1611"/>
      <c r="AL264" s="1611"/>
      <c r="AM264" s="1611"/>
      <c r="AN264" s="1611"/>
      <c r="AO264" s="1611"/>
      <c r="AP264" s="1611"/>
      <c r="AQ264" s="1611"/>
      <c r="AR264" s="1611"/>
      <c r="AS264" s="1611"/>
      <c r="AT264" s="1611"/>
      <c r="AU264" s="1611"/>
      <c r="AV264" s="1611"/>
    </row>
    <row r="265" ht="14.25" customHeight="1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I265" s="1611"/>
      <c r="AJ265" s="1611"/>
      <c r="AK265" s="1611"/>
      <c r="AL265" s="1611"/>
      <c r="AM265" s="1611"/>
      <c r="AN265" s="1611"/>
      <c r="AO265" s="1611"/>
      <c r="AP265" s="1611"/>
      <c r="AQ265" s="1611"/>
      <c r="AR265" s="1611"/>
      <c r="AS265" s="1611"/>
      <c r="AT265" s="1611"/>
      <c r="AU265" s="1611"/>
      <c r="AV265" s="1611"/>
    </row>
    <row r="266" ht="14.25" customHeight="1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I266" s="1611"/>
      <c r="AJ266" s="1611"/>
      <c r="AK266" s="1611"/>
      <c r="AL266" s="1611"/>
      <c r="AM266" s="1611"/>
      <c r="AN266" s="1611"/>
      <c r="AO266" s="1611"/>
      <c r="AP266" s="1611"/>
      <c r="AQ266" s="1611"/>
      <c r="AR266" s="1611"/>
      <c r="AS266" s="1611"/>
      <c r="AT266" s="1611"/>
      <c r="AU266" s="1611"/>
      <c r="AV266" s="1611"/>
    </row>
    <row r="267" ht="14.25" customHeight="1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I267" s="1611"/>
      <c r="AJ267" s="1611"/>
      <c r="AK267" s="1611"/>
      <c r="AL267" s="1611"/>
      <c r="AM267" s="1611"/>
      <c r="AN267" s="1611"/>
      <c r="AO267" s="1611"/>
      <c r="AP267" s="1611"/>
      <c r="AQ267" s="1611"/>
      <c r="AR267" s="1611"/>
      <c r="AS267" s="1611"/>
      <c r="AT267" s="1611"/>
      <c r="AU267" s="1611"/>
      <c r="AV267" s="1611"/>
    </row>
    <row r="268" ht="14.25" customHeight="1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I268" s="1611"/>
      <c r="AJ268" s="1611"/>
      <c r="AK268" s="1611"/>
      <c r="AL268" s="1611"/>
      <c r="AM268" s="1611"/>
      <c r="AN268" s="1611"/>
      <c r="AO268" s="1611"/>
      <c r="AP268" s="1611"/>
      <c r="AQ268" s="1611"/>
      <c r="AR268" s="1611"/>
      <c r="AS268" s="1611"/>
      <c r="AT268" s="1611"/>
      <c r="AU268" s="1611"/>
      <c r="AV268" s="1611"/>
    </row>
    <row r="269" ht="14.25" customHeight="1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I269" s="1611"/>
      <c r="AJ269" s="1611"/>
      <c r="AK269" s="1611"/>
      <c r="AL269" s="1611"/>
      <c r="AM269" s="1611"/>
      <c r="AN269" s="1611"/>
      <c r="AO269" s="1611"/>
      <c r="AP269" s="1611"/>
      <c r="AQ269" s="1611"/>
      <c r="AR269" s="1611"/>
      <c r="AS269" s="1611"/>
      <c r="AT269" s="1611"/>
      <c r="AU269" s="1611"/>
      <c r="AV269" s="1611"/>
    </row>
    <row r="270" ht="14.25" customHeight="1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I270" s="1611"/>
      <c r="AJ270" s="1611"/>
      <c r="AK270" s="1611"/>
      <c r="AL270" s="1611"/>
      <c r="AM270" s="1611"/>
      <c r="AN270" s="1611"/>
      <c r="AO270" s="1611"/>
      <c r="AP270" s="1611"/>
      <c r="AQ270" s="1611"/>
      <c r="AR270" s="1611"/>
      <c r="AS270" s="1611"/>
      <c r="AT270" s="1611"/>
      <c r="AU270" s="1611"/>
      <c r="AV270" s="1611"/>
    </row>
    <row r="271" ht="14.25" customHeight="1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I271" s="1611"/>
      <c r="AJ271" s="1611"/>
      <c r="AK271" s="1611"/>
      <c r="AL271" s="1611"/>
      <c r="AM271" s="1611"/>
      <c r="AN271" s="1611"/>
      <c r="AO271" s="1611"/>
      <c r="AP271" s="1611"/>
      <c r="AQ271" s="1611"/>
      <c r="AR271" s="1611"/>
      <c r="AS271" s="1611"/>
      <c r="AT271" s="1611"/>
      <c r="AU271" s="1611"/>
      <c r="AV271" s="1611"/>
    </row>
    <row r="272" ht="14.25" customHeight="1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I272" s="1611"/>
      <c r="AJ272" s="1611"/>
      <c r="AK272" s="1611"/>
      <c r="AL272" s="1611"/>
      <c r="AM272" s="1611"/>
      <c r="AN272" s="1611"/>
      <c r="AO272" s="1611"/>
      <c r="AP272" s="1611"/>
      <c r="AQ272" s="1611"/>
      <c r="AR272" s="1611"/>
      <c r="AS272" s="1611"/>
      <c r="AT272" s="1611"/>
      <c r="AU272" s="1611"/>
      <c r="AV272" s="1611"/>
    </row>
    <row r="273" ht="14.25" customHeight="1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I273" s="1611"/>
      <c r="AJ273" s="1611"/>
      <c r="AK273" s="1611"/>
      <c r="AL273" s="1611"/>
      <c r="AM273" s="1611"/>
      <c r="AN273" s="1611"/>
      <c r="AO273" s="1611"/>
      <c r="AP273" s="1611"/>
      <c r="AQ273" s="1611"/>
      <c r="AR273" s="1611"/>
      <c r="AS273" s="1611"/>
      <c r="AT273" s="1611"/>
      <c r="AU273" s="1611"/>
      <c r="AV273" s="1611"/>
    </row>
    <row r="274" ht="14.25" customHeight="1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I274" s="1611"/>
      <c r="AJ274" s="1611"/>
      <c r="AK274" s="1611"/>
      <c r="AL274" s="1611"/>
      <c r="AM274" s="1611"/>
      <c r="AN274" s="1611"/>
      <c r="AO274" s="1611"/>
      <c r="AP274" s="1611"/>
      <c r="AQ274" s="1611"/>
      <c r="AR274" s="1611"/>
      <c r="AS274" s="1611"/>
      <c r="AT274" s="1611"/>
      <c r="AU274" s="1611"/>
      <c r="AV274" s="1611"/>
    </row>
    <row r="275" ht="14.25" customHeight="1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I275" s="1611"/>
      <c r="AJ275" s="1611"/>
      <c r="AK275" s="1611"/>
      <c r="AL275" s="1611"/>
      <c r="AM275" s="1611"/>
      <c r="AN275" s="1611"/>
      <c r="AO275" s="1611"/>
      <c r="AP275" s="1611"/>
      <c r="AQ275" s="1611"/>
      <c r="AR275" s="1611"/>
      <c r="AS275" s="1611"/>
      <c r="AT275" s="1611"/>
      <c r="AU275" s="1611"/>
      <c r="AV275" s="1611"/>
    </row>
    <row r="276" ht="14.25" customHeight="1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I276" s="1611"/>
      <c r="AJ276" s="1611"/>
      <c r="AK276" s="1611"/>
      <c r="AL276" s="1611"/>
      <c r="AM276" s="1611"/>
      <c r="AN276" s="1611"/>
      <c r="AO276" s="1611"/>
      <c r="AP276" s="1611"/>
      <c r="AQ276" s="1611"/>
      <c r="AR276" s="1611"/>
      <c r="AS276" s="1611"/>
      <c r="AT276" s="1611"/>
      <c r="AU276" s="1611"/>
      <c r="AV276" s="1611"/>
    </row>
    <row r="277" ht="14.25" customHeight="1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I277" s="1611"/>
      <c r="AJ277" s="1611"/>
      <c r="AK277" s="1611"/>
      <c r="AL277" s="1611"/>
      <c r="AM277" s="1611"/>
      <c r="AN277" s="1611"/>
      <c r="AO277" s="1611"/>
      <c r="AP277" s="1611"/>
      <c r="AQ277" s="1611"/>
      <c r="AR277" s="1611"/>
      <c r="AS277" s="1611"/>
      <c r="AT277" s="1611"/>
      <c r="AU277" s="1611"/>
      <c r="AV277" s="1611"/>
    </row>
    <row r="278" ht="14.25" customHeight="1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I278" s="1611"/>
      <c r="AJ278" s="1611"/>
      <c r="AK278" s="1611"/>
      <c r="AL278" s="1611"/>
      <c r="AM278" s="1611"/>
      <c r="AN278" s="1611"/>
      <c r="AO278" s="1611"/>
      <c r="AP278" s="1611"/>
      <c r="AQ278" s="1611"/>
      <c r="AR278" s="1611"/>
      <c r="AS278" s="1611"/>
      <c r="AT278" s="1611"/>
      <c r="AU278" s="1611"/>
      <c r="AV278" s="1611"/>
    </row>
    <row r="279" ht="14.25" customHeight="1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I279" s="1611"/>
      <c r="AJ279" s="1611"/>
      <c r="AK279" s="1611"/>
      <c r="AL279" s="1611"/>
      <c r="AM279" s="1611"/>
      <c r="AN279" s="1611"/>
      <c r="AO279" s="1611"/>
      <c r="AP279" s="1611"/>
      <c r="AQ279" s="1611"/>
      <c r="AR279" s="1611"/>
      <c r="AS279" s="1611"/>
      <c r="AT279" s="1611"/>
      <c r="AU279" s="1611"/>
      <c r="AV279" s="1611"/>
    </row>
    <row r="280" ht="14.25" customHeight="1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I280" s="1611"/>
      <c r="AJ280" s="1611"/>
      <c r="AK280" s="1611"/>
      <c r="AL280" s="1611"/>
      <c r="AM280" s="1611"/>
      <c r="AN280" s="1611"/>
      <c r="AO280" s="1611"/>
      <c r="AP280" s="1611"/>
      <c r="AQ280" s="1611"/>
      <c r="AR280" s="1611"/>
      <c r="AS280" s="1611"/>
      <c r="AT280" s="1611"/>
      <c r="AU280" s="1611"/>
      <c r="AV280" s="1611"/>
    </row>
    <row r="281" ht="14.25" customHeight="1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I281" s="1611"/>
      <c r="AJ281" s="1611"/>
      <c r="AK281" s="1611"/>
      <c r="AL281" s="1611"/>
      <c r="AM281" s="1611"/>
      <c r="AN281" s="1611"/>
      <c r="AO281" s="1611"/>
      <c r="AP281" s="1611"/>
      <c r="AQ281" s="1611"/>
      <c r="AR281" s="1611"/>
      <c r="AS281" s="1611"/>
      <c r="AT281" s="1611"/>
      <c r="AU281" s="1611"/>
      <c r="AV281" s="1611"/>
    </row>
    <row r="282" ht="14.25" customHeight="1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I282" s="1611"/>
      <c r="AJ282" s="1611"/>
      <c r="AK282" s="1611"/>
      <c r="AL282" s="1611"/>
      <c r="AM282" s="1611"/>
      <c r="AN282" s="1611"/>
      <c r="AO282" s="1611"/>
      <c r="AP282" s="1611"/>
      <c r="AQ282" s="1611"/>
      <c r="AR282" s="1611"/>
      <c r="AS282" s="1611"/>
      <c r="AT282" s="1611"/>
      <c r="AU282" s="1611"/>
      <c r="AV282" s="1611"/>
    </row>
    <row r="283" ht="14.25" customHeight="1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I283" s="1611"/>
      <c r="AJ283" s="1611"/>
      <c r="AK283" s="1611"/>
      <c r="AL283" s="1611"/>
      <c r="AM283" s="1611"/>
      <c r="AN283" s="1611"/>
      <c r="AO283" s="1611"/>
      <c r="AP283" s="1611"/>
      <c r="AQ283" s="1611"/>
      <c r="AR283" s="1611"/>
      <c r="AS283" s="1611"/>
      <c r="AT283" s="1611"/>
      <c r="AU283" s="1611"/>
      <c r="AV283" s="1611"/>
    </row>
    <row r="284" ht="14.25" customHeight="1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I284" s="1611"/>
      <c r="AJ284" s="1611"/>
      <c r="AK284" s="1611"/>
      <c r="AL284" s="1611"/>
      <c r="AM284" s="1611"/>
      <c r="AN284" s="1611"/>
      <c r="AO284" s="1611"/>
      <c r="AP284" s="1611"/>
      <c r="AQ284" s="1611"/>
      <c r="AR284" s="1611"/>
      <c r="AS284" s="1611"/>
      <c r="AT284" s="1611"/>
      <c r="AU284" s="1611"/>
      <c r="AV284" s="1611"/>
    </row>
    <row r="285" ht="14.25" customHeight="1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I285" s="1611"/>
      <c r="AJ285" s="1611"/>
      <c r="AK285" s="1611"/>
      <c r="AL285" s="1611"/>
      <c r="AM285" s="1611"/>
      <c r="AN285" s="1611"/>
      <c r="AO285" s="1611"/>
      <c r="AP285" s="1611"/>
      <c r="AQ285" s="1611"/>
      <c r="AR285" s="1611"/>
      <c r="AS285" s="1611"/>
      <c r="AT285" s="1611"/>
      <c r="AU285" s="1611"/>
      <c r="AV285" s="1611"/>
    </row>
    <row r="286" ht="14.25" customHeight="1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I286" s="1611"/>
      <c r="AJ286" s="1611"/>
      <c r="AK286" s="1611"/>
      <c r="AL286" s="1611"/>
      <c r="AM286" s="1611"/>
      <c r="AN286" s="1611"/>
      <c r="AO286" s="1611"/>
      <c r="AP286" s="1611"/>
      <c r="AQ286" s="1611"/>
      <c r="AR286" s="1611"/>
      <c r="AS286" s="1611"/>
      <c r="AT286" s="1611"/>
      <c r="AU286" s="1611"/>
      <c r="AV286" s="1611"/>
    </row>
    <row r="287" ht="14.25" customHeight="1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I287" s="1611"/>
      <c r="AJ287" s="1611"/>
      <c r="AK287" s="1611"/>
      <c r="AL287" s="1611"/>
      <c r="AM287" s="1611"/>
      <c r="AN287" s="1611"/>
      <c r="AO287" s="1611"/>
      <c r="AP287" s="1611"/>
      <c r="AQ287" s="1611"/>
      <c r="AR287" s="1611"/>
      <c r="AS287" s="1611"/>
      <c r="AT287" s="1611"/>
      <c r="AU287" s="1611"/>
      <c r="AV287" s="1611"/>
    </row>
    <row r="288" ht="14.25" customHeight="1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I288" s="1611"/>
      <c r="AJ288" s="1611"/>
      <c r="AK288" s="1611"/>
      <c r="AL288" s="1611"/>
      <c r="AM288" s="1611"/>
      <c r="AN288" s="1611"/>
      <c r="AO288" s="1611"/>
      <c r="AP288" s="1611"/>
      <c r="AQ288" s="1611"/>
      <c r="AR288" s="1611"/>
      <c r="AS288" s="1611"/>
      <c r="AT288" s="1611"/>
      <c r="AU288" s="1611"/>
      <c r="AV288" s="1611"/>
    </row>
    <row r="289" ht="14.25" customHeight="1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I289" s="1611"/>
      <c r="AJ289" s="1611"/>
      <c r="AK289" s="1611"/>
      <c r="AL289" s="1611"/>
      <c r="AM289" s="1611"/>
      <c r="AN289" s="1611"/>
      <c r="AO289" s="1611"/>
      <c r="AP289" s="1611"/>
      <c r="AQ289" s="1611"/>
      <c r="AR289" s="1611"/>
      <c r="AS289" s="1611"/>
      <c r="AT289" s="1611"/>
      <c r="AU289" s="1611"/>
      <c r="AV289" s="1611"/>
    </row>
    <row r="290" ht="14.25" customHeight="1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I290" s="1611"/>
      <c r="AJ290" s="1611"/>
      <c r="AK290" s="1611"/>
      <c r="AL290" s="1611"/>
      <c r="AM290" s="1611"/>
      <c r="AN290" s="1611"/>
      <c r="AO290" s="1611"/>
      <c r="AP290" s="1611"/>
      <c r="AQ290" s="1611"/>
      <c r="AR290" s="1611"/>
      <c r="AS290" s="1611"/>
      <c r="AT290" s="1611"/>
      <c r="AU290" s="1611"/>
      <c r="AV290" s="1611"/>
    </row>
    <row r="291" ht="14.25" customHeight="1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I291" s="1611"/>
      <c r="AJ291" s="1611"/>
      <c r="AK291" s="1611"/>
      <c r="AL291" s="1611"/>
      <c r="AM291" s="1611"/>
      <c r="AN291" s="1611"/>
      <c r="AO291" s="1611"/>
      <c r="AP291" s="1611"/>
      <c r="AQ291" s="1611"/>
      <c r="AR291" s="1611"/>
      <c r="AS291" s="1611"/>
      <c r="AT291" s="1611"/>
      <c r="AU291" s="1611"/>
      <c r="AV291" s="1611"/>
    </row>
    <row r="292" ht="14.25" customHeight="1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I292" s="1611"/>
      <c r="AJ292" s="1611"/>
      <c r="AK292" s="1611"/>
      <c r="AL292" s="1611"/>
      <c r="AM292" s="1611"/>
      <c r="AN292" s="1611"/>
      <c r="AO292" s="1611"/>
      <c r="AP292" s="1611"/>
      <c r="AQ292" s="1611"/>
      <c r="AR292" s="1611"/>
      <c r="AS292" s="1611"/>
      <c r="AT292" s="1611"/>
      <c r="AU292" s="1611"/>
      <c r="AV292" s="1611"/>
    </row>
    <row r="293" ht="14.25" customHeight="1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I293" s="1611"/>
      <c r="AJ293" s="1611"/>
      <c r="AK293" s="1611"/>
      <c r="AL293" s="1611"/>
      <c r="AM293" s="1611"/>
      <c r="AN293" s="1611"/>
      <c r="AO293" s="1611"/>
      <c r="AP293" s="1611"/>
      <c r="AQ293" s="1611"/>
      <c r="AR293" s="1611"/>
      <c r="AS293" s="1611"/>
      <c r="AT293" s="1611"/>
      <c r="AU293" s="1611"/>
      <c r="AV293" s="1611"/>
    </row>
    <row r="294" ht="14.25" customHeight="1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I294" s="1611"/>
      <c r="AJ294" s="1611"/>
      <c r="AK294" s="1611"/>
      <c r="AL294" s="1611"/>
      <c r="AM294" s="1611"/>
      <c r="AN294" s="1611"/>
      <c r="AO294" s="1611"/>
      <c r="AP294" s="1611"/>
      <c r="AQ294" s="1611"/>
      <c r="AR294" s="1611"/>
      <c r="AS294" s="1611"/>
      <c r="AT294" s="1611"/>
      <c r="AU294" s="1611"/>
      <c r="AV294" s="1611"/>
    </row>
    <row r="295" ht="14.25" customHeight="1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I295" s="1611"/>
      <c r="AJ295" s="1611"/>
      <c r="AK295" s="1611"/>
      <c r="AL295" s="1611"/>
      <c r="AM295" s="1611"/>
      <c r="AN295" s="1611"/>
      <c r="AO295" s="1611"/>
      <c r="AP295" s="1611"/>
      <c r="AQ295" s="1611"/>
      <c r="AR295" s="1611"/>
      <c r="AS295" s="1611"/>
      <c r="AT295" s="1611"/>
      <c r="AU295" s="1611"/>
      <c r="AV295" s="1611"/>
    </row>
    <row r="296" ht="14.25" customHeight="1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I296" s="1611"/>
      <c r="AJ296" s="1611"/>
      <c r="AK296" s="1611"/>
      <c r="AL296" s="1611"/>
      <c r="AM296" s="1611"/>
      <c r="AN296" s="1611"/>
      <c r="AO296" s="1611"/>
      <c r="AP296" s="1611"/>
      <c r="AQ296" s="1611"/>
      <c r="AR296" s="1611"/>
      <c r="AS296" s="1611"/>
      <c r="AT296" s="1611"/>
      <c r="AU296" s="1611"/>
      <c r="AV296" s="1611"/>
    </row>
    <row r="297" ht="14.25" customHeight="1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I297" s="1611"/>
      <c r="AJ297" s="1611"/>
      <c r="AK297" s="1611"/>
      <c r="AL297" s="1611"/>
      <c r="AM297" s="1611"/>
      <c r="AN297" s="1611"/>
      <c r="AO297" s="1611"/>
      <c r="AP297" s="1611"/>
      <c r="AQ297" s="1611"/>
      <c r="AR297" s="1611"/>
      <c r="AS297" s="1611"/>
      <c r="AT297" s="1611"/>
      <c r="AU297" s="1611"/>
      <c r="AV297" s="1611"/>
    </row>
    <row r="298" ht="14.25" customHeight="1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I298" s="1611"/>
      <c r="AJ298" s="1611"/>
      <c r="AK298" s="1611"/>
      <c r="AL298" s="1611"/>
      <c r="AM298" s="1611"/>
      <c r="AN298" s="1611"/>
      <c r="AO298" s="1611"/>
      <c r="AP298" s="1611"/>
      <c r="AQ298" s="1611"/>
      <c r="AR298" s="1611"/>
      <c r="AS298" s="1611"/>
      <c r="AT298" s="1611"/>
      <c r="AU298" s="1611"/>
      <c r="AV298" s="1611"/>
    </row>
    <row r="299" ht="14.25" customHeight="1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I299" s="1611"/>
      <c r="AJ299" s="1611"/>
      <c r="AK299" s="1611"/>
      <c r="AL299" s="1611"/>
      <c r="AM299" s="1611"/>
      <c r="AN299" s="1611"/>
      <c r="AO299" s="1611"/>
      <c r="AP299" s="1611"/>
      <c r="AQ299" s="1611"/>
      <c r="AR299" s="1611"/>
      <c r="AS299" s="1611"/>
      <c r="AT299" s="1611"/>
      <c r="AU299" s="1611"/>
      <c r="AV299" s="1611"/>
    </row>
    <row r="300" ht="14.25" customHeight="1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I300" s="1611"/>
      <c r="AJ300" s="1611"/>
      <c r="AK300" s="1611"/>
      <c r="AL300" s="1611"/>
      <c r="AM300" s="1611"/>
      <c r="AN300" s="1611"/>
      <c r="AO300" s="1611"/>
      <c r="AP300" s="1611"/>
      <c r="AQ300" s="1611"/>
      <c r="AR300" s="1611"/>
      <c r="AS300" s="1611"/>
      <c r="AT300" s="1611"/>
      <c r="AU300" s="1611"/>
      <c r="AV300" s="1611"/>
    </row>
    <row r="301" ht="14.25" customHeight="1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I301" s="1611"/>
      <c r="AJ301" s="1611"/>
      <c r="AK301" s="1611"/>
      <c r="AL301" s="1611"/>
      <c r="AM301" s="1611"/>
      <c r="AN301" s="1611"/>
      <c r="AO301" s="1611"/>
      <c r="AP301" s="1611"/>
      <c r="AQ301" s="1611"/>
      <c r="AR301" s="1611"/>
      <c r="AS301" s="1611"/>
      <c r="AT301" s="1611"/>
      <c r="AU301" s="1611"/>
      <c r="AV301" s="1611"/>
    </row>
    <row r="302" ht="14.25" customHeight="1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I302" s="1611"/>
      <c r="AJ302" s="1611"/>
      <c r="AK302" s="1611"/>
      <c r="AL302" s="1611"/>
      <c r="AM302" s="1611"/>
      <c r="AN302" s="1611"/>
      <c r="AO302" s="1611"/>
      <c r="AP302" s="1611"/>
      <c r="AQ302" s="1611"/>
      <c r="AR302" s="1611"/>
      <c r="AS302" s="1611"/>
      <c r="AT302" s="1611"/>
      <c r="AU302" s="1611"/>
      <c r="AV302" s="1611"/>
    </row>
    <row r="303" ht="14.25" customHeight="1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I303" s="1611"/>
      <c r="AJ303" s="1611"/>
      <c r="AK303" s="1611"/>
      <c r="AL303" s="1611"/>
      <c r="AM303" s="1611"/>
      <c r="AN303" s="1611"/>
      <c r="AO303" s="1611"/>
      <c r="AP303" s="1611"/>
      <c r="AQ303" s="1611"/>
      <c r="AR303" s="1611"/>
      <c r="AS303" s="1611"/>
      <c r="AT303" s="1611"/>
      <c r="AU303" s="1611"/>
      <c r="AV303" s="1611"/>
    </row>
    <row r="304" ht="14.25" customHeight="1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I304" s="1611"/>
      <c r="AJ304" s="1611"/>
      <c r="AK304" s="1611"/>
      <c r="AL304" s="1611"/>
      <c r="AM304" s="1611"/>
      <c r="AN304" s="1611"/>
      <c r="AO304" s="1611"/>
      <c r="AP304" s="1611"/>
      <c r="AQ304" s="1611"/>
      <c r="AR304" s="1611"/>
      <c r="AS304" s="1611"/>
      <c r="AT304" s="1611"/>
      <c r="AU304" s="1611"/>
      <c r="AV304" s="1611"/>
    </row>
    <row r="305" ht="14.25" customHeight="1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I305" s="1611"/>
      <c r="AJ305" s="1611"/>
      <c r="AK305" s="1611"/>
      <c r="AL305" s="1611"/>
      <c r="AM305" s="1611"/>
      <c r="AN305" s="1611"/>
      <c r="AO305" s="1611"/>
      <c r="AP305" s="1611"/>
      <c r="AQ305" s="1611"/>
      <c r="AR305" s="1611"/>
      <c r="AS305" s="1611"/>
      <c r="AT305" s="1611"/>
      <c r="AU305" s="1611"/>
      <c r="AV305" s="1611"/>
    </row>
    <row r="306" ht="14.25" customHeight="1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I306" s="1611"/>
      <c r="AJ306" s="1611"/>
      <c r="AK306" s="1611"/>
      <c r="AL306" s="1611"/>
      <c r="AM306" s="1611"/>
      <c r="AN306" s="1611"/>
      <c r="AO306" s="1611"/>
      <c r="AP306" s="1611"/>
      <c r="AQ306" s="1611"/>
      <c r="AR306" s="1611"/>
      <c r="AS306" s="1611"/>
      <c r="AT306" s="1611"/>
      <c r="AU306" s="1611"/>
      <c r="AV306" s="1611"/>
    </row>
    <row r="307" ht="14.25" customHeight="1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I307" s="1611"/>
      <c r="AJ307" s="1611"/>
      <c r="AK307" s="1611"/>
      <c r="AL307" s="1611"/>
      <c r="AM307" s="1611"/>
      <c r="AN307" s="1611"/>
      <c r="AO307" s="1611"/>
      <c r="AP307" s="1611"/>
      <c r="AQ307" s="1611"/>
      <c r="AR307" s="1611"/>
      <c r="AS307" s="1611"/>
      <c r="AT307" s="1611"/>
      <c r="AU307" s="1611"/>
      <c r="AV307" s="1611"/>
    </row>
    <row r="308" ht="14.25" customHeight="1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I308" s="1611"/>
      <c r="AJ308" s="1611"/>
      <c r="AK308" s="1611"/>
      <c r="AL308" s="1611"/>
      <c r="AM308" s="1611"/>
      <c r="AN308" s="1611"/>
      <c r="AO308" s="1611"/>
      <c r="AP308" s="1611"/>
      <c r="AQ308" s="1611"/>
      <c r="AR308" s="1611"/>
      <c r="AS308" s="1611"/>
      <c r="AT308" s="1611"/>
      <c r="AU308" s="1611"/>
      <c r="AV308" s="1611"/>
    </row>
    <row r="309" ht="14.25" customHeight="1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I309" s="1611"/>
      <c r="AJ309" s="1611"/>
      <c r="AK309" s="1611"/>
      <c r="AL309" s="1611"/>
      <c r="AM309" s="1611"/>
      <c r="AN309" s="1611"/>
      <c r="AO309" s="1611"/>
      <c r="AP309" s="1611"/>
      <c r="AQ309" s="1611"/>
      <c r="AR309" s="1611"/>
      <c r="AS309" s="1611"/>
      <c r="AT309" s="1611"/>
      <c r="AU309" s="1611"/>
      <c r="AV309" s="1611"/>
    </row>
    <row r="310" ht="14.25" customHeight="1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I310" s="1611"/>
      <c r="AJ310" s="1611"/>
      <c r="AK310" s="1611"/>
      <c r="AL310" s="1611"/>
      <c r="AM310" s="1611"/>
      <c r="AN310" s="1611"/>
      <c r="AO310" s="1611"/>
      <c r="AP310" s="1611"/>
      <c r="AQ310" s="1611"/>
      <c r="AR310" s="1611"/>
      <c r="AS310" s="1611"/>
      <c r="AT310" s="1611"/>
      <c r="AU310" s="1611"/>
      <c r="AV310" s="1611"/>
    </row>
    <row r="311" ht="14.25" customHeight="1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I311" s="1611"/>
      <c r="AJ311" s="1611"/>
      <c r="AK311" s="1611"/>
      <c r="AL311" s="1611"/>
      <c r="AM311" s="1611"/>
      <c r="AN311" s="1611"/>
      <c r="AO311" s="1611"/>
      <c r="AP311" s="1611"/>
      <c r="AQ311" s="1611"/>
      <c r="AR311" s="1611"/>
      <c r="AS311" s="1611"/>
      <c r="AT311" s="1611"/>
      <c r="AU311" s="1611"/>
      <c r="AV311" s="1611"/>
    </row>
    <row r="312" ht="14.25" customHeight="1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I312" s="1611"/>
      <c r="AJ312" s="1611"/>
      <c r="AK312" s="1611"/>
      <c r="AL312" s="1611"/>
      <c r="AM312" s="1611"/>
      <c r="AN312" s="1611"/>
      <c r="AO312" s="1611"/>
      <c r="AP312" s="1611"/>
      <c r="AQ312" s="1611"/>
      <c r="AR312" s="1611"/>
      <c r="AS312" s="1611"/>
      <c r="AT312" s="1611"/>
      <c r="AU312" s="1611"/>
      <c r="AV312" s="1611"/>
    </row>
    <row r="313" ht="14.25" customHeight="1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I313" s="1611"/>
      <c r="AJ313" s="1611"/>
      <c r="AK313" s="1611"/>
      <c r="AL313" s="1611"/>
      <c r="AM313" s="1611"/>
      <c r="AN313" s="1611"/>
      <c r="AO313" s="1611"/>
      <c r="AP313" s="1611"/>
      <c r="AQ313" s="1611"/>
      <c r="AR313" s="1611"/>
      <c r="AS313" s="1611"/>
      <c r="AT313" s="1611"/>
      <c r="AU313" s="1611"/>
      <c r="AV313" s="1611"/>
    </row>
    <row r="314" ht="14.25" customHeight="1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I314" s="1611"/>
      <c r="AJ314" s="1611"/>
      <c r="AK314" s="1611"/>
      <c r="AL314" s="1611"/>
      <c r="AM314" s="1611"/>
      <c r="AN314" s="1611"/>
      <c r="AO314" s="1611"/>
      <c r="AP314" s="1611"/>
      <c r="AQ314" s="1611"/>
      <c r="AR314" s="1611"/>
      <c r="AS314" s="1611"/>
      <c r="AT314" s="1611"/>
      <c r="AU314" s="1611"/>
      <c r="AV314" s="1611"/>
    </row>
    <row r="315" ht="14.25" customHeight="1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I315" s="1611"/>
      <c r="AJ315" s="1611"/>
      <c r="AK315" s="1611"/>
      <c r="AL315" s="1611"/>
      <c r="AM315" s="1611"/>
      <c r="AN315" s="1611"/>
      <c r="AO315" s="1611"/>
      <c r="AP315" s="1611"/>
      <c r="AQ315" s="1611"/>
      <c r="AR315" s="1611"/>
      <c r="AS315" s="1611"/>
      <c r="AT315" s="1611"/>
      <c r="AU315" s="1611"/>
      <c r="AV315" s="1611"/>
    </row>
    <row r="316" ht="14.25" customHeight="1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I316" s="1611"/>
      <c r="AJ316" s="1611"/>
      <c r="AK316" s="1611"/>
      <c r="AL316" s="1611"/>
      <c r="AM316" s="1611"/>
      <c r="AN316" s="1611"/>
      <c r="AO316" s="1611"/>
      <c r="AP316" s="1611"/>
      <c r="AQ316" s="1611"/>
      <c r="AR316" s="1611"/>
      <c r="AS316" s="1611"/>
      <c r="AT316" s="1611"/>
      <c r="AU316" s="1611"/>
      <c r="AV316" s="1611"/>
    </row>
    <row r="317" ht="14.25" customHeight="1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I317" s="1611"/>
      <c r="AJ317" s="1611"/>
      <c r="AK317" s="1611"/>
      <c r="AL317" s="1611"/>
      <c r="AM317" s="1611"/>
      <c r="AN317" s="1611"/>
      <c r="AO317" s="1611"/>
      <c r="AP317" s="1611"/>
      <c r="AQ317" s="1611"/>
      <c r="AR317" s="1611"/>
      <c r="AS317" s="1611"/>
      <c r="AT317" s="1611"/>
      <c r="AU317" s="1611"/>
      <c r="AV317" s="1611"/>
    </row>
    <row r="318" ht="14.25" customHeight="1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I318" s="1611"/>
      <c r="AJ318" s="1611"/>
      <c r="AK318" s="1611"/>
      <c r="AL318" s="1611"/>
      <c r="AM318" s="1611"/>
      <c r="AN318" s="1611"/>
      <c r="AO318" s="1611"/>
      <c r="AP318" s="1611"/>
      <c r="AQ318" s="1611"/>
      <c r="AR318" s="1611"/>
      <c r="AS318" s="1611"/>
      <c r="AT318" s="1611"/>
      <c r="AU318" s="1611"/>
      <c r="AV318" s="1611"/>
    </row>
    <row r="319" ht="14.25" customHeight="1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I319" s="1611"/>
      <c r="AJ319" s="1611"/>
      <c r="AK319" s="1611"/>
      <c r="AL319" s="1611"/>
      <c r="AM319" s="1611"/>
      <c r="AN319" s="1611"/>
      <c r="AO319" s="1611"/>
      <c r="AP319" s="1611"/>
      <c r="AQ319" s="1611"/>
      <c r="AR319" s="1611"/>
      <c r="AS319" s="1611"/>
      <c r="AT319" s="1611"/>
      <c r="AU319" s="1611"/>
      <c r="AV319" s="1611"/>
    </row>
    <row r="320" ht="14.25" customHeight="1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I320" s="1611"/>
      <c r="AJ320" s="1611"/>
      <c r="AK320" s="1611"/>
      <c r="AL320" s="1611"/>
      <c r="AM320" s="1611"/>
      <c r="AN320" s="1611"/>
      <c r="AO320" s="1611"/>
      <c r="AP320" s="1611"/>
      <c r="AQ320" s="1611"/>
      <c r="AR320" s="1611"/>
      <c r="AS320" s="1611"/>
      <c r="AT320" s="1611"/>
      <c r="AU320" s="1611"/>
      <c r="AV320" s="1611"/>
    </row>
    <row r="321" ht="14.25" customHeight="1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I321" s="1611"/>
      <c r="AJ321" s="1611"/>
      <c r="AK321" s="1611"/>
      <c r="AL321" s="1611"/>
      <c r="AM321" s="1611"/>
      <c r="AN321" s="1611"/>
      <c r="AO321" s="1611"/>
      <c r="AP321" s="1611"/>
      <c r="AQ321" s="1611"/>
      <c r="AR321" s="1611"/>
      <c r="AS321" s="1611"/>
      <c r="AT321" s="1611"/>
      <c r="AU321" s="1611"/>
      <c r="AV321" s="1611"/>
    </row>
    <row r="322" ht="14.25" customHeight="1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I322" s="1611"/>
      <c r="AJ322" s="1611"/>
      <c r="AK322" s="1611"/>
      <c r="AL322" s="1611"/>
      <c r="AM322" s="1611"/>
      <c r="AN322" s="1611"/>
      <c r="AO322" s="1611"/>
      <c r="AP322" s="1611"/>
      <c r="AQ322" s="1611"/>
      <c r="AR322" s="1611"/>
      <c r="AS322" s="1611"/>
      <c r="AT322" s="1611"/>
      <c r="AU322" s="1611"/>
      <c r="AV322" s="1611"/>
    </row>
    <row r="323" ht="14.25" customHeight="1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I323" s="1611"/>
      <c r="AJ323" s="1611"/>
      <c r="AK323" s="1611"/>
      <c r="AL323" s="1611"/>
      <c r="AM323" s="1611"/>
      <c r="AN323" s="1611"/>
      <c r="AO323" s="1611"/>
      <c r="AP323" s="1611"/>
      <c r="AQ323" s="1611"/>
      <c r="AR323" s="1611"/>
      <c r="AS323" s="1611"/>
      <c r="AT323" s="1611"/>
      <c r="AU323" s="1611"/>
      <c r="AV323" s="1611"/>
    </row>
    <row r="324" ht="14.25" customHeight="1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I324" s="1611"/>
      <c r="AJ324" s="1611"/>
      <c r="AK324" s="1611"/>
      <c r="AL324" s="1611"/>
      <c r="AM324" s="1611"/>
      <c r="AN324" s="1611"/>
      <c r="AO324" s="1611"/>
      <c r="AP324" s="1611"/>
      <c r="AQ324" s="1611"/>
      <c r="AR324" s="1611"/>
      <c r="AS324" s="1611"/>
      <c r="AT324" s="1611"/>
      <c r="AU324" s="1611"/>
      <c r="AV324" s="1611"/>
    </row>
    <row r="325" ht="14.25" customHeight="1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I325" s="1611"/>
      <c r="AJ325" s="1611"/>
      <c r="AK325" s="1611"/>
      <c r="AL325" s="1611"/>
      <c r="AM325" s="1611"/>
      <c r="AN325" s="1611"/>
      <c r="AO325" s="1611"/>
      <c r="AP325" s="1611"/>
      <c r="AQ325" s="1611"/>
      <c r="AR325" s="1611"/>
      <c r="AS325" s="1611"/>
      <c r="AT325" s="1611"/>
      <c r="AU325" s="1611"/>
      <c r="AV325" s="1611"/>
    </row>
    <row r="326" ht="14.25" customHeight="1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I326" s="1611"/>
      <c r="AJ326" s="1611"/>
      <c r="AK326" s="1611"/>
      <c r="AL326" s="1611"/>
      <c r="AM326" s="1611"/>
      <c r="AN326" s="1611"/>
      <c r="AO326" s="1611"/>
      <c r="AP326" s="1611"/>
      <c r="AQ326" s="1611"/>
      <c r="AR326" s="1611"/>
      <c r="AS326" s="1611"/>
      <c r="AT326" s="1611"/>
      <c r="AU326" s="1611"/>
      <c r="AV326" s="1611"/>
    </row>
    <row r="327" ht="14.25" customHeight="1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I327" s="1611"/>
      <c r="AJ327" s="1611"/>
      <c r="AK327" s="1611"/>
      <c r="AL327" s="1611"/>
      <c r="AM327" s="1611"/>
      <c r="AN327" s="1611"/>
      <c r="AO327" s="1611"/>
      <c r="AP327" s="1611"/>
      <c r="AQ327" s="1611"/>
      <c r="AR327" s="1611"/>
      <c r="AS327" s="1611"/>
      <c r="AT327" s="1611"/>
      <c r="AU327" s="1611"/>
      <c r="AV327" s="1611"/>
    </row>
    <row r="328" ht="14.25" customHeight="1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I328" s="1611"/>
      <c r="AJ328" s="1611"/>
      <c r="AK328" s="1611"/>
      <c r="AL328" s="1611"/>
      <c r="AM328" s="1611"/>
      <c r="AN328" s="1611"/>
      <c r="AO328" s="1611"/>
      <c r="AP328" s="1611"/>
      <c r="AQ328" s="1611"/>
      <c r="AR328" s="1611"/>
      <c r="AS328" s="1611"/>
      <c r="AT328" s="1611"/>
      <c r="AU328" s="1611"/>
      <c r="AV328" s="1611"/>
    </row>
    <row r="329" ht="14.25" customHeight="1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I329" s="1611"/>
      <c r="AJ329" s="1611"/>
      <c r="AK329" s="1611"/>
      <c r="AL329" s="1611"/>
      <c r="AM329" s="1611"/>
      <c r="AN329" s="1611"/>
      <c r="AO329" s="1611"/>
      <c r="AP329" s="1611"/>
      <c r="AQ329" s="1611"/>
      <c r="AR329" s="1611"/>
      <c r="AS329" s="1611"/>
      <c r="AT329" s="1611"/>
      <c r="AU329" s="1611"/>
      <c r="AV329" s="1611"/>
    </row>
    <row r="330" ht="14.25" customHeight="1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I330" s="1611"/>
      <c r="AJ330" s="1611"/>
      <c r="AK330" s="1611"/>
      <c r="AL330" s="1611"/>
      <c r="AM330" s="1611"/>
      <c r="AN330" s="1611"/>
      <c r="AO330" s="1611"/>
      <c r="AP330" s="1611"/>
      <c r="AQ330" s="1611"/>
      <c r="AR330" s="1611"/>
      <c r="AS330" s="1611"/>
      <c r="AT330" s="1611"/>
      <c r="AU330" s="1611"/>
      <c r="AV330" s="1611"/>
    </row>
    <row r="331" ht="14.25" customHeight="1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I331" s="1611"/>
      <c r="AJ331" s="1611"/>
      <c r="AK331" s="1611"/>
      <c r="AL331" s="1611"/>
      <c r="AM331" s="1611"/>
      <c r="AN331" s="1611"/>
      <c r="AO331" s="1611"/>
      <c r="AP331" s="1611"/>
      <c r="AQ331" s="1611"/>
      <c r="AR331" s="1611"/>
      <c r="AS331" s="1611"/>
      <c r="AT331" s="1611"/>
      <c r="AU331" s="1611"/>
      <c r="AV331" s="1611"/>
    </row>
    <row r="332" ht="14.25" customHeight="1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I332" s="1611"/>
      <c r="AJ332" s="1611"/>
      <c r="AK332" s="1611"/>
      <c r="AL332" s="1611"/>
      <c r="AM332" s="1611"/>
      <c r="AN332" s="1611"/>
      <c r="AO332" s="1611"/>
      <c r="AP332" s="1611"/>
      <c r="AQ332" s="1611"/>
      <c r="AR332" s="1611"/>
      <c r="AS332" s="1611"/>
      <c r="AT332" s="1611"/>
      <c r="AU332" s="1611"/>
      <c r="AV332" s="1611"/>
    </row>
    <row r="333" ht="14.25" customHeight="1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I333" s="1611"/>
      <c r="AJ333" s="1611"/>
      <c r="AK333" s="1611"/>
      <c r="AL333" s="1611"/>
      <c r="AM333" s="1611"/>
      <c r="AN333" s="1611"/>
      <c r="AO333" s="1611"/>
      <c r="AP333" s="1611"/>
      <c r="AQ333" s="1611"/>
      <c r="AR333" s="1611"/>
      <c r="AS333" s="1611"/>
      <c r="AT333" s="1611"/>
      <c r="AU333" s="1611"/>
      <c r="AV333" s="1611"/>
    </row>
    <row r="334" ht="14.25" customHeight="1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I334" s="1611"/>
      <c r="AJ334" s="1611"/>
      <c r="AK334" s="1611"/>
      <c r="AL334" s="1611"/>
      <c r="AM334" s="1611"/>
      <c r="AN334" s="1611"/>
      <c r="AO334" s="1611"/>
      <c r="AP334" s="1611"/>
      <c r="AQ334" s="1611"/>
      <c r="AR334" s="1611"/>
      <c r="AS334" s="1611"/>
      <c r="AT334" s="1611"/>
      <c r="AU334" s="1611"/>
      <c r="AV334" s="1611"/>
    </row>
    <row r="335" ht="14.25" customHeight="1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I335" s="1611"/>
      <c r="AJ335" s="1611"/>
      <c r="AK335" s="1611"/>
      <c r="AL335" s="1611"/>
      <c r="AM335" s="1611"/>
      <c r="AN335" s="1611"/>
      <c r="AO335" s="1611"/>
      <c r="AP335" s="1611"/>
      <c r="AQ335" s="1611"/>
      <c r="AR335" s="1611"/>
      <c r="AS335" s="1611"/>
      <c r="AT335" s="1611"/>
      <c r="AU335" s="1611"/>
      <c r="AV335" s="1611"/>
    </row>
    <row r="336" ht="14.25" customHeight="1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I336" s="1611"/>
      <c r="AJ336" s="1611"/>
      <c r="AK336" s="1611"/>
      <c r="AL336" s="1611"/>
      <c r="AM336" s="1611"/>
      <c r="AN336" s="1611"/>
      <c r="AO336" s="1611"/>
      <c r="AP336" s="1611"/>
      <c r="AQ336" s="1611"/>
      <c r="AR336" s="1611"/>
      <c r="AS336" s="1611"/>
      <c r="AT336" s="1611"/>
      <c r="AU336" s="1611"/>
      <c r="AV336" s="1611"/>
    </row>
    <row r="337" ht="14.25" customHeight="1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I337" s="1611"/>
      <c r="AJ337" s="1611"/>
      <c r="AK337" s="1611"/>
      <c r="AL337" s="1611"/>
      <c r="AM337" s="1611"/>
      <c r="AN337" s="1611"/>
      <c r="AO337" s="1611"/>
      <c r="AP337" s="1611"/>
      <c r="AQ337" s="1611"/>
      <c r="AR337" s="1611"/>
      <c r="AS337" s="1611"/>
      <c r="AT337" s="1611"/>
      <c r="AU337" s="1611"/>
      <c r="AV337" s="1611"/>
    </row>
    <row r="338" ht="14.25" customHeight="1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I338" s="1611"/>
      <c r="AJ338" s="1611"/>
      <c r="AK338" s="1611"/>
      <c r="AL338" s="1611"/>
      <c r="AM338" s="1611"/>
      <c r="AN338" s="1611"/>
      <c r="AO338" s="1611"/>
      <c r="AP338" s="1611"/>
      <c r="AQ338" s="1611"/>
      <c r="AR338" s="1611"/>
      <c r="AS338" s="1611"/>
      <c r="AT338" s="1611"/>
      <c r="AU338" s="1611"/>
      <c r="AV338" s="1611"/>
    </row>
    <row r="339" ht="14.25" customHeight="1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I339" s="1611"/>
      <c r="AJ339" s="1611"/>
      <c r="AK339" s="1611"/>
      <c r="AL339" s="1611"/>
      <c r="AM339" s="1611"/>
      <c r="AN339" s="1611"/>
      <c r="AO339" s="1611"/>
      <c r="AP339" s="1611"/>
      <c r="AQ339" s="1611"/>
      <c r="AR339" s="1611"/>
      <c r="AS339" s="1611"/>
      <c r="AT339" s="1611"/>
      <c r="AU339" s="1611"/>
      <c r="AV339" s="1611"/>
    </row>
    <row r="340" ht="14.25" customHeight="1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I340" s="1611"/>
      <c r="AJ340" s="1611"/>
      <c r="AK340" s="1611"/>
      <c r="AL340" s="1611"/>
      <c r="AM340" s="1611"/>
      <c r="AN340" s="1611"/>
      <c r="AO340" s="1611"/>
      <c r="AP340" s="1611"/>
      <c r="AQ340" s="1611"/>
      <c r="AR340" s="1611"/>
      <c r="AS340" s="1611"/>
      <c r="AT340" s="1611"/>
      <c r="AU340" s="1611"/>
      <c r="AV340" s="1611"/>
    </row>
    <row r="341" ht="14.25" customHeight="1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I341" s="1611"/>
      <c r="AJ341" s="1611"/>
      <c r="AK341" s="1611"/>
      <c r="AL341" s="1611"/>
      <c r="AM341" s="1611"/>
      <c r="AN341" s="1611"/>
      <c r="AO341" s="1611"/>
      <c r="AP341" s="1611"/>
      <c r="AQ341" s="1611"/>
      <c r="AR341" s="1611"/>
      <c r="AS341" s="1611"/>
      <c r="AT341" s="1611"/>
      <c r="AU341" s="1611"/>
      <c r="AV341" s="1611"/>
    </row>
    <row r="342" ht="14.25" customHeight="1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I342" s="1611"/>
      <c r="AJ342" s="1611"/>
      <c r="AK342" s="1611"/>
      <c r="AL342" s="1611"/>
      <c r="AM342" s="1611"/>
      <c r="AN342" s="1611"/>
      <c r="AO342" s="1611"/>
      <c r="AP342" s="1611"/>
      <c r="AQ342" s="1611"/>
      <c r="AR342" s="1611"/>
      <c r="AS342" s="1611"/>
      <c r="AT342" s="1611"/>
      <c r="AU342" s="1611"/>
      <c r="AV342" s="1611"/>
    </row>
    <row r="343" ht="14.25" customHeight="1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I343" s="1611"/>
      <c r="AJ343" s="1611"/>
      <c r="AK343" s="1611"/>
      <c r="AL343" s="1611"/>
      <c r="AM343" s="1611"/>
      <c r="AN343" s="1611"/>
      <c r="AO343" s="1611"/>
      <c r="AP343" s="1611"/>
      <c r="AQ343" s="1611"/>
      <c r="AR343" s="1611"/>
      <c r="AS343" s="1611"/>
      <c r="AT343" s="1611"/>
      <c r="AU343" s="1611"/>
      <c r="AV343" s="1611"/>
    </row>
    <row r="344" ht="14.25" customHeight="1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I344" s="1611"/>
      <c r="AJ344" s="1611"/>
      <c r="AK344" s="1611"/>
      <c r="AL344" s="1611"/>
      <c r="AM344" s="1611"/>
      <c r="AN344" s="1611"/>
      <c r="AO344" s="1611"/>
      <c r="AP344" s="1611"/>
      <c r="AQ344" s="1611"/>
      <c r="AR344" s="1611"/>
      <c r="AS344" s="1611"/>
      <c r="AT344" s="1611"/>
      <c r="AU344" s="1611"/>
      <c r="AV344" s="1611"/>
    </row>
    <row r="345" ht="14.25" customHeight="1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I345" s="1611"/>
      <c r="AJ345" s="1611"/>
      <c r="AK345" s="1611"/>
      <c r="AL345" s="1611"/>
      <c r="AM345" s="1611"/>
      <c r="AN345" s="1611"/>
      <c r="AO345" s="1611"/>
      <c r="AP345" s="1611"/>
      <c r="AQ345" s="1611"/>
      <c r="AR345" s="1611"/>
      <c r="AS345" s="1611"/>
      <c r="AT345" s="1611"/>
      <c r="AU345" s="1611"/>
      <c r="AV345" s="1611"/>
    </row>
    <row r="346" ht="14.25" customHeight="1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I346" s="1611"/>
      <c r="AJ346" s="1611"/>
      <c r="AK346" s="1611"/>
      <c r="AL346" s="1611"/>
      <c r="AM346" s="1611"/>
      <c r="AN346" s="1611"/>
      <c r="AO346" s="1611"/>
      <c r="AP346" s="1611"/>
      <c r="AQ346" s="1611"/>
      <c r="AR346" s="1611"/>
      <c r="AS346" s="1611"/>
      <c r="AT346" s="1611"/>
      <c r="AU346" s="1611"/>
      <c r="AV346" s="1611"/>
    </row>
    <row r="347" ht="14.25" customHeight="1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I347" s="1611"/>
      <c r="AJ347" s="1611"/>
      <c r="AK347" s="1611"/>
      <c r="AL347" s="1611"/>
      <c r="AM347" s="1611"/>
      <c r="AN347" s="1611"/>
      <c r="AO347" s="1611"/>
      <c r="AP347" s="1611"/>
      <c r="AQ347" s="1611"/>
      <c r="AR347" s="1611"/>
      <c r="AS347" s="1611"/>
      <c r="AT347" s="1611"/>
      <c r="AU347" s="1611"/>
      <c r="AV347" s="1611"/>
    </row>
    <row r="348" ht="14.25" customHeight="1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I348" s="1611"/>
      <c r="AJ348" s="1611"/>
      <c r="AK348" s="1611"/>
      <c r="AL348" s="1611"/>
      <c r="AM348" s="1611"/>
      <c r="AN348" s="1611"/>
      <c r="AO348" s="1611"/>
      <c r="AP348" s="1611"/>
      <c r="AQ348" s="1611"/>
      <c r="AR348" s="1611"/>
      <c r="AS348" s="1611"/>
      <c r="AT348" s="1611"/>
      <c r="AU348" s="1611"/>
      <c r="AV348" s="1611"/>
    </row>
    <row r="349" ht="14.25" customHeight="1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I349" s="1611"/>
      <c r="AJ349" s="1611"/>
      <c r="AK349" s="1611"/>
      <c r="AL349" s="1611"/>
      <c r="AM349" s="1611"/>
      <c r="AN349" s="1611"/>
      <c r="AO349" s="1611"/>
      <c r="AP349" s="1611"/>
      <c r="AQ349" s="1611"/>
      <c r="AR349" s="1611"/>
      <c r="AS349" s="1611"/>
      <c r="AT349" s="1611"/>
      <c r="AU349" s="1611"/>
      <c r="AV349" s="1611"/>
    </row>
    <row r="350" ht="14.25" customHeight="1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I350" s="1611"/>
      <c r="AJ350" s="1611"/>
      <c r="AK350" s="1611"/>
      <c r="AL350" s="1611"/>
      <c r="AM350" s="1611"/>
      <c r="AN350" s="1611"/>
      <c r="AO350" s="1611"/>
      <c r="AP350" s="1611"/>
      <c r="AQ350" s="1611"/>
      <c r="AR350" s="1611"/>
      <c r="AS350" s="1611"/>
      <c r="AT350" s="1611"/>
      <c r="AU350" s="1611"/>
      <c r="AV350" s="1611"/>
    </row>
    <row r="351" ht="14.25" customHeight="1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I351" s="1611"/>
      <c r="AJ351" s="1611"/>
      <c r="AK351" s="1611"/>
      <c r="AL351" s="1611"/>
      <c r="AM351" s="1611"/>
      <c r="AN351" s="1611"/>
      <c r="AO351" s="1611"/>
      <c r="AP351" s="1611"/>
      <c r="AQ351" s="1611"/>
      <c r="AR351" s="1611"/>
      <c r="AS351" s="1611"/>
      <c r="AT351" s="1611"/>
      <c r="AU351" s="1611"/>
      <c r="AV351" s="1611"/>
    </row>
    <row r="352" ht="14.25" customHeight="1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I352" s="1611"/>
      <c r="AJ352" s="1611"/>
      <c r="AK352" s="1611"/>
      <c r="AL352" s="1611"/>
      <c r="AM352" s="1611"/>
      <c r="AN352" s="1611"/>
      <c r="AO352" s="1611"/>
      <c r="AP352" s="1611"/>
      <c r="AQ352" s="1611"/>
      <c r="AR352" s="1611"/>
      <c r="AS352" s="1611"/>
      <c r="AT352" s="1611"/>
      <c r="AU352" s="1611"/>
      <c r="AV352" s="1611"/>
    </row>
    <row r="353" ht="14.25" customHeight="1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I353" s="1611"/>
      <c r="AJ353" s="1611"/>
      <c r="AK353" s="1611"/>
      <c r="AL353" s="1611"/>
      <c r="AM353" s="1611"/>
      <c r="AN353" s="1611"/>
      <c r="AO353" s="1611"/>
      <c r="AP353" s="1611"/>
      <c r="AQ353" s="1611"/>
      <c r="AR353" s="1611"/>
      <c r="AS353" s="1611"/>
      <c r="AT353" s="1611"/>
      <c r="AU353" s="1611"/>
      <c r="AV353" s="1611"/>
    </row>
    <row r="354" ht="14.25" customHeight="1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I354" s="1611"/>
      <c r="AJ354" s="1611"/>
      <c r="AK354" s="1611"/>
      <c r="AL354" s="1611"/>
      <c r="AM354" s="1611"/>
      <c r="AN354" s="1611"/>
      <c r="AO354" s="1611"/>
      <c r="AP354" s="1611"/>
      <c r="AQ354" s="1611"/>
      <c r="AR354" s="1611"/>
      <c r="AS354" s="1611"/>
      <c r="AT354" s="1611"/>
      <c r="AU354" s="1611"/>
      <c r="AV354" s="1611"/>
    </row>
    <row r="355" ht="14.25" customHeight="1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I355" s="1611"/>
      <c r="AJ355" s="1611"/>
      <c r="AK355" s="1611"/>
      <c r="AL355" s="1611"/>
      <c r="AM355" s="1611"/>
      <c r="AN355" s="1611"/>
      <c r="AO355" s="1611"/>
      <c r="AP355" s="1611"/>
      <c r="AQ355" s="1611"/>
      <c r="AR355" s="1611"/>
      <c r="AS355" s="1611"/>
      <c r="AT355" s="1611"/>
      <c r="AU355" s="1611"/>
      <c r="AV355" s="1611"/>
    </row>
    <row r="356" ht="14.25" customHeight="1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I356" s="1611"/>
      <c r="AJ356" s="1611"/>
      <c r="AK356" s="1611"/>
      <c r="AL356" s="1611"/>
      <c r="AM356" s="1611"/>
      <c r="AN356" s="1611"/>
      <c r="AO356" s="1611"/>
      <c r="AP356" s="1611"/>
      <c r="AQ356" s="1611"/>
      <c r="AR356" s="1611"/>
      <c r="AS356" s="1611"/>
      <c r="AT356" s="1611"/>
      <c r="AU356" s="1611"/>
      <c r="AV356" s="1611"/>
    </row>
    <row r="357" ht="14.25" customHeight="1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I357" s="1611"/>
      <c r="AJ357" s="1611"/>
      <c r="AK357" s="1611"/>
      <c r="AL357" s="1611"/>
      <c r="AM357" s="1611"/>
      <c r="AN357" s="1611"/>
      <c r="AO357" s="1611"/>
      <c r="AP357" s="1611"/>
      <c r="AQ357" s="1611"/>
      <c r="AR357" s="1611"/>
      <c r="AS357" s="1611"/>
      <c r="AT357" s="1611"/>
      <c r="AU357" s="1611"/>
      <c r="AV357" s="1611"/>
    </row>
    <row r="358" ht="14.25" customHeight="1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I358" s="1611"/>
      <c r="AJ358" s="1611"/>
      <c r="AK358" s="1611"/>
      <c r="AL358" s="1611"/>
      <c r="AM358" s="1611"/>
      <c r="AN358" s="1611"/>
      <c r="AO358" s="1611"/>
      <c r="AP358" s="1611"/>
      <c r="AQ358" s="1611"/>
      <c r="AR358" s="1611"/>
      <c r="AS358" s="1611"/>
      <c r="AT358" s="1611"/>
      <c r="AU358" s="1611"/>
      <c r="AV358" s="1611"/>
    </row>
    <row r="359" ht="14.25" customHeight="1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I359" s="1611"/>
      <c r="AJ359" s="1611"/>
      <c r="AK359" s="1611"/>
      <c r="AL359" s="1611"/>
      <c r="AM359" s="1611"/>
      <c r="AN359" s="1611"/>
      <c r="AO359" s="1611"/>
      <c r="AP359" s="1611"/>
      <c r="AQ359" s="1611"/>
      <c r="AR359" s="1611"/>
      <c r="AS359" s="1611"/>
      <c r="AT359" s="1611"/>
      <c r="AU359" s="1611"/>
      <c r="AV359" s="1611"/>
    </row>
    <row r="360" ht="14.25" customHeight="1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I360" s="1611"/>
      <c r="AJ360" s="1611"/>
      <c r="AK360" s="1611"/>
      <c r="AL360" s="1611"/>
      <c r="AM360" s="1611"/>
      <c r="AN360" s="1611"/>
      <c r="AO360" s="1611"/>
      <c r="AP360" s="1611"/>
      <c r="AQ360" s="1611"/>
      <c r="AR360" s="1611"/>
      <c r="AS360" s="1611"/>
      <c r="AT360" s="1611"/>
      <c r="AU360" s="1611"/>
      <c r="AV360" s="1611"/>
    </row>
    <row r="361" ht="14.25" customHeight="1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I361" s="1611"/>
      <c r="AJ361" s="1611"/>
      <c r="AK361" s="1611"/>
      <c r="AL361" s="1611"/>
      <c r="AM361" s="1611"/>
      <c r="AN361" s="1611"/>
      <c r="AO361" s="1611"/>
      <c r="AP361" s="1611"/>
      <c r="AQ361" s="1611"/>
      <c r="AR361" s="1611"/>
      <c r="AS361" s="1611"/>
      <c r="AT361" s="1611"/>
      <c r="AU361" s="1611"/>
      <c r="AV361" s="1611"/>
    </row>
    <row r="362" ht="14.25" customHeight="1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I362" s="1611"/>
      <c r="AJ362" s="1611"/>
      <c r="AK362" s="1611"/>
      <c r="AL362" s="1611"/>
      <c r="AM362" s="1611"/>
      <c r="AN362" s="1611"/>
      <c r="AO362" s="1611"/>
      <c r="AP362" s="1611"/>
      <c r="AQ362" s="1611"/>
      <c r="AR362" s="1611"/>
      <c r="AS362" s="1611"/>
      <c r="AT362" s="1611"/>
      <c r="AU362" s="1611"/>
      <c r="AV362" s="1611"/>
    </row>
    <row r="363" ht="14.25" customHeight="1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I363" s="1611"/>
      <c r="AJ363" s="1611"/>
      <c r="AK363" s="1611"/>
      <c r="AL363" s="1611"/>
      <c r="AM363" s="1611"/>
      <c r="AN363" s="1611"/>
      <c r="AO363" s="1611"/>
      <c r="AP363" s="1611"/>
      <c r="AQ363" s="1611"/>
      <c r="AR363" s="1611"/>
      <c r="AS363" s="1611"/>
      <c r="AT363" s="1611"/>
      <c r="AU363" s="1611"/>
      <c r="AV363" s="1611"/>
    </row>
    <row r="364" ht="14.25" customHeight="1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I364" s="1611"/>
      <c r="AJ364" s="1611"/>
      <c r="AK364" s="1611"/>
      <c r="AL364" s="1611"/>
      <c r="AM364" s="1611"/>
      <c r="AN364" s="1611"/>
      <c r="AO364" s="1611"/>
      <c r="AP364" s="1611"/>
      <c r="AQ364" s="1611"/>
      <c r="AR364" s="1611"/>
      <c r="AS364" s="1611"/>
      <c r="AT364" s="1611"/>
      <c r="AU364" s="1611"/>
      <c r="AV364" s="1611"/>
    </row>
    <row r="365" ht="14.25" customHeight="1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I365" s="1611"/>
      <c r="AJ365" s="1611"/>
      <c r="AK365" s="1611"/>
      <c r="AL365" s="1611"/>
      <c r="AM365" s="1611"/>
      <c r="AN365" s="1611"/>
      <c r="AO365" s="1611"/>
      <c r="AP365" s="1611"/>
      <c r="AQ365" s="1611"/>
      <c r="AR365" s="1611"/>
      <c r="AS365" s="1611"/>
      <c r="AT365" s="1611"/>
      <c r="AU365" s="1611"/>
      <c r="AV365" s="1611"/>
    </row>
    <row r="366" ht="14.25" customHeight="1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I366" s="1611"/>
      <c r="AJ366" s="1611"/>
      <c r="AK366" s="1611"/>
      <c r="AL366" s="1611"/>
      <c r="AM366" s="1611"/>
      <c r="AN366" s="1611"/>
      <c r="AO366" s="1611"/>
      <c r="AP366" s="1611"/>
      <c r="AQ366" s="1611"/>
      <c r="AR366" s="1611"/>
      <c r="AS366" s="1611"/>
      <c r="AT366" s="1611"/>
      <c r="AU366" s="1611"/>
      <c r="AV366" s="1611"/>
    </row>
    <row r="367" ht="14.25" customHeight="1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I367" s="1611"/>
      <c r="AJ367" s="1611"/>
      <c r="AK367" s="1611"/>
      <c r="AL367" s="1611"/>
      <c r="AM367" s="1611"/>
      <c r="AN367" s="1611"/>
      <c r="AO367" s="1611"/>
      <c r="AP367" s="1611"/>
      <c r="AQ367" s="1611"/>
      <c r="AR367" s="1611"/>
      <c r="AS367" s="1611"/>
      <c r="AT367" s="1611"/>
      <c r="AU367" s="1611"/>
      <c r="AV367" s="1611"/>
    </row>
    <row r="368" ht="14.25" customHeight="1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I368" s="1611"/>
      <c r="AJ368" s="1611"/>
      <c r="AK368" s="1611"/>
      <c r="AL368" s="1611"/>
      <c r="AM368" s="1611"/>
      <c r="AN368" s="1611"/>
      <c r="AO368" s="1611"/>
      <c r="AP368" s="1611"/>
      <c r="AQ368" s="1611"/>
      <c r="AR368" s="1611"/>
      <c r="AS368" s="1611"/>
      <c r="AT368" s="1611"/>
      <c r="AU368" s="1611"/>
      <c r="AV368" s="1611"/>
    </row>
    <row r="369" ht="14.25" customHeight="1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I369" s="1611"/>
      <c r="AJ369" s="1611"/>
      <c r="AK369" s="1611"/>
      <c r="AL369" s="1611"/>
      <c r="AM369" s="1611"/>
      <c r="AN369" s="1611"/>
      <c r="AO369" s="1611"/>
      <c r="AP369" s="1611"/>
      <c r="AQ369" s="1611"/>
      <c r="AR369" s="1611"/>
      <c r="AS369" s="1611"/>
      <c r="AT369" s="1611"/>
      <c r="AU369" s="1611"/>
      <c r="AV369" s="1611"/>
    </row>
    <row r="370" ht="14.25" customHeight="1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I370" s="1611"/>
      <c r="AJ370" s="1611"/>
      <c r="AK370" s="1611"/>
      <c r="AL370" s="1611"/>
      <c r="AM370" s="1611"/>
      <c r="AN370" s="1611"/>
      <c r="AO370" s="1611"/>
      <c r="AP370" s="1611"/>
      <c r="AQ370" s="1611"/>
      <c r="AR370" s="1611"/>
      <c r="AS370" s="1611"/>
      <c r="AT370" s="1611"/>
      <c r="AU370" s="1611"/>
      <c r="AV370" s="1611"/>
    </row>
    <row r="371" ht="14.25" customHeight="1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I371" s="1611"/>
      <c r="AJ371" s="1611"/>
      <c r="AK371" s="1611"/>
      <c r="AL371" s="1611"/>
      <c r="AM371" s="1611"/>
      <c r="AN371" s="1611"/>
      <c r="AO371" s="1611"/>
      <c r="AP371" s="1611"/>
      <c r="AQ371" s="1611"/>
      <c r="AR371" s="1611"/>
      <c r="AS371" s="1611"/>
      <c r="AT371" s="1611"/>
      <c r="AU371" s="1611"/>
      <c r="AV371" s="1611"/>
    </row>
    <row r="372" ht="14.25" customHeight="1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I372" s="1611"/>
      <c r="AJ372" s="1611"/>
      <c r="AK372" s="1611"/>
      <c r="AL372" s="1611"/>
      <c r="AM372" s="1611"/>
      <c r="AN372" s="1611"/>
      <c r="AO372" s="1611"/>
      <c r="AP372" s="1611"/>
      <c r="AQ372" s="1611"/>
      <c r="AR372" s="1611"/>
      <c r="AS372" s="1611"/>
      <c r="AT372" s="1611"/>
      <c r="AU372" s="1611"/>
      <c r="AV372" s="1611"/>
    </row>
    <row r="373" ht="14.25" customHeight="1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I373" s="1611"/>
      <c r="AJ373" s="1611"/>
      <c r="AK373" s="1611"/>
      <c r="AL373" s="1611"/>
      <c r="AM373" s="1611"/>
      <c r="AN373" s="1611"/>
      <c r="AO373" s="1611"/>
      <c r="AP373" s="1611"/>
      <c r="AQ373" s="1611"/>
      <c r="AR373" s="1611"/>
      <c r="AS373" s="1611"/>
      <c r="AT373" s="1611"/>
      <c r="AU373" s="1611"/>
      <c r="AV373" s="1611"/>
    </row>
    <row r="374" ht="14.25" customHeight="1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I374" s="1611"/>
      <c r="AJ374" s="1611"/>
      <c r="AK374" s="1611"/>
      <c r="AL374" s="1611"/>
      <c r="AM374" s="1611"/>
      <c r="AN374" s="1611"/>
      <c r="AO374" s="1611"/>
      <c r="AP374" s="1611"/>
      <c r="AQ374" s="1611"/>
      <c r="AR374" s="1611"/>
      <c r="AS374" s="1611"/>
      <c r="AT374" s="1611"/>
      <c r="AU374" s="1611"/>
      <c r="AV374" s="1611"/>
    </row>
    <row r="375" ht="14.25" customHeight="1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I375" s="1611"/>
      <c r="AJ375" s="1611"/>
      <c r="AK375" s="1611"/>
      <c r="AL375" s="1611"/>
      <c r="AM375" s="1611"/>
      <c r="AN375" s="1611"/>
      <c r="AO375" s="1611"/>
      <c r="AP375" s="1611"/>
      <c r="AQ375" s="1611"/>
      <c r="AR375" s="1611"/>
      <c r="AS375" s="1611"/>
      <c r="AT375" s="1611"/>
      <c r="AU375" s="1611"/>
      <c r="AV375" s="1611"/>
    </row>
    <row r="376" ht="14.25" customHeight="1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I376" s="1611"/>
      <c r="AJ376" s="1611"/>
      <c r="AK376" s="1611"/>
      <c r="AL376" s="1611"/>
      <c r="AM376" s="1611"/>
      <c r="AN376" s="1611"/>
      <c r="AO376" s="1611"/>
      <c r="AP376" s="1611"/>
      <c r="AQ376" s="1611"/>
      <c r="AR376" s="1611"/>
      <c r="AS376" s="1611"/>
      <c r="AT376" s="1611"/>
      <c r="AU376" s="1611"/>
      <c r="AV376" s="1611"/>
    </row>
    <row r="377" ht="14.25" customHeight="1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I377" s="1611"/>
      <c r="AJ377" s="1611"/>
      <c r="AK377" s="1611"/>
      <c r="AL377" s="1611"/>
      <c r="AM377" s="1611"/>
      <c r="AN377" s="1611"/>
      <c r="AO377" s="1611"/>
      <c r="AP377" s="1611"/>
      <c r="AQ377" s="1611"/>
      <c r="AR377" s="1611"/>
      <c r="AS377" s="1611"/>
      <c r="AT377" s="1611"/>
      <c r="AU377" s="1611"/>
      <c r="AV377" s="1611"/>
    </row>
    <row r="378" ht="14.25" customHeight="1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I378" s="1611"/>
      <c r="AJ378" s="1611"/>
      <c r="AK378" s="1611"/>
      <c r="AL378" s="1611"/>
      <c r="AM378" s="1611"/>
      <c r="AN378" s="1611"/>
      <c r="AO378" s="1611"/>
      <c r="AP378" s="1611"/>
      <c r="AQ378" s="1611"/>
      <c r="AR378" s="1611"/>
      <c r="AS378" s="1611"/>
      <c r="AT378" s="1611"/>
      <c r="AU378" s="1611"/>
      <c r="AV378" s="1611"/>
    </row>
    <row r="379" ht="14.25" customHeight="1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I379" s="1611"/>
      <c r="AJ379" s="1611"/>
      <c r="AK379" s="1611"/>
      <c r="AL379" s="1611"/>
      <c r="AM379" s="1611"/>
      <c r="AN379" s="1611"/>
      <c r="AO379" s="1611"/>
      <c r="AP379" s="1611"/>
      <c r="AQ379" s="1611"/>
      <c r="AR379" s="1611"/>
      <c r="AS379" s="1611"/>
      <c r="AT379" s="1611"/>
      <c r="AU379" s="1611"/>
      <c r="AV379" s="1611"/>
    </row>
    <row r="380" ht="14.25" customHeight="1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I380" s="1611"/>
      <c r="AJ380" s="1611"/>
      <c r="AK380" s="1611"/>
      <c r="AL380" s="1611"/>
      <c r="AM380" s="1611"/>
      <c r="AN380" s="1611"/>
      <c r="AO380" s="1611"/>
      <c r="AP380" s="1611"/>
      <c r="AQ380" s="1611"/>
      <c r="AR380" s="1611"/>
      <c r="AS380" s="1611"/>
      <c r="AT380" s="1611"/>
      <c r="AU380" s="1611"/>
      <c r="AV380" s="1611"/>
    </row>
    <row r="381" ht="14.25" customHeight="1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I381" s="1611"/>
      <c r="AJ381" s="1611"/>
      <c r="AK381" s="1611"/>
      <c r="AL381" s="1611"/>
      <c r="AM381" s="1611"/>
      <c r="AN381" s="1611"/>
      <c r="AO381" s="1611"/>
      <c r="AP381" s="1611"/>
      <c r="AQ381" s="1611"/>
      <c r="AR381" s="1611"/>
      <c r="AS381" s="1611"/>
      <c r="AT381" s="1611"/>
      <c r="AU381" s="1611"/>
      <c r="AV381" s="1611"/>
    </row>
    <row r="382" ht="14.25" customHeight="1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I382" s="1611"/>
      <c r="AJ382" s="1611"/>
      <c r="AK382" s="1611"/>
      <c r="AL382" s="1611"/>
      <c r="AM382" s="1611"/>
      <c r="AN382" s="1611"/>
      <c r="AO382" s="1611"/>
      <c r="AP382" s="1611"/>
      <c r="AQ382" s="1611"/>
      <c r="AR382" s="1611"/>
      <c r="AS382" s="1611"/>
      <c r="AT382" s="1611"/>
      <c r="AU382" s="1611"/>
      <c r="AV382" s="1611"/>
    </row>
    <row r="383" ht="14.25" customHeight="1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I383" s="1611"/>
      <c r="AJ383" s="1611"/>
      <c r="AK383" s="1611"/>
      <c r="AL383" s="1611"/>
      <c r="AM383" s="1611"/>
      <c r="AN383" s="1611"/>
      <c r="AO383" s="1611"/>
      <c r="AP383" s="1611"/>
      <c r="AQ383" s="1611"/>
      <c r="AR383" s="1611"/>
      <c r="AS383" s="1611"/>
      <c r="AT383" s="1611"/>
      <c r="AU383" s="1611"/>
      <c r="AV383" s="1611"/>
    </row>
    <row r="384" ht="14.25" customHeight="1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I384" s="1611"/>
      <c r="AJ384" s="1611"/>
      <c r="AK384" s="1611"/>
      <c r="AL384" s="1611"/>
      <c r="AM384" s="1611"/>
      <c r="AN384" s="1611"/>
      <c r="AO384" s="1611"/>
      <c r="AP384" s="1611"/>
      <c r="AQ384" s="1611"/>
      <c r="AR384" s="1611"/>
      <c r="AS384" s="1611"/>
      <c r="AT384" s="1611"/>
      <c r="AU384" s="1611"/>
      <c r="AV384" s="1611"/>
    </row>
    <row r="385" ht="14.25" customHeight="1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I385" s="1611"/>
      <c r="AJ385" s="1611"/>
      <c r="AK385" s="1611"/>
      <c r="AL385" s="1611"/>
      <c r="AM385" s="1611"/>
      <c r="AN385" s="1611"/>
      <c r="AO385" s="1611"/>
      <c r="AP385" s="1611"/>
      <c r="AQ385" s="1611"/>
      <c r="AR385" s="1611"/>
      <c r="AS385" s="1611"/>
      <c r="AT385" s="1611"/>
      <c r="AU385" s="1611"/>
      <c r="AV385" s="1611"/>
    </row>
    <row r="386" ht="14.25" customHeight="1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I386" s="1611"/>
      <c r="AJ386" s="1611"/>
      <c r="AK386" s="1611"/>
      <c r="AL386" s="1611"/>
      <c r="AM386" s="1611"/>
      <c r="AN386" s="1611"/>
      <c r="AO386" s="1611"/>
      <c r="AP386" s="1611"/>
      <c r="AQ386" s="1611"/>
      <c r="AR386" s="1611"/>
      <c r="AS386" s="1611"/>
      <c r="AT386" s="1611"/>
      <c r="AU386" s="1611"/>
      <c r="AV386" s="1611"/>
    </row>
    <row r="387" ht="14.25" customHeight="1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I387" s="1611"/>
      <c r="AJ387" s="1611"/>
      <c r="AK387" s="1611"/>
      <c r="AL387" s="1611"/>
      <c r="AM387" s="1611"/>
      <c r="AN387" s="1611"/>
      <c r="AO387" s="1611"/>
      <c r="AP387" s="1611"/>
      <c r="AQ387" s="1611"/>
      <c r="AR387" s="1611"/>
      <c r="AS387" s="1611"/>
      <c r="AT387" s="1611"/>
      <c r="AU387" s="1611"/>
      <c r="AV387" s="1611"/>
    </row>
    <row r="388" ht="14.25" customHeight="1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I388" s="1611"/>
      <c r="AJ388" s="1611"/>
      <c r="AK388" s="1611"/>
      <c r="AL388" s="1611"/>
      <c r="AM388" s="1611"/>
      <c r="AN388" s="1611"/>
      <c r="AO388" s="1611"/>
      <c r="AP388" s="1611"/>
      <c r="AQ388" s="1611"/>
      <c r="AR388" s="1611"/>
      <c r="AS388" s="1611"/>
      <c r="AT388" s="1611"/>
      <c r="AU388" s="1611"/>
      <c r="AV388" s="1611"/>
    </row>
    <row r="389" ht="14.25" customHeight="1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I389" s="1611"/>
      <c r="AJ389" s="1611"/>
      <c r="AK389" s="1611"/>
      <c r="AL389" s="1611"/>
      <c r="AM389" s="1611"/>
      <c r="AN389" s="1611"/>
      <c r="AO389" s="1611"/>
      <c r="AP389" s="1611"/>
      <c r="AQ389" s="1611"/>
      <c r="AR389" s="1611"/>
      <c r="AS389" s="1611"/>
      <c r="AT389" s="1611"/>
      <c r="AU389" s="1611"/>
      <c r="AV389" s="1611"/>
    </row>
    <row r="390" ht="14.25" customHeight="1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I390" s="1611"/>
      <c r="AJ390" s="1611"/>
      <c r="AK390" s="1611"/>
      <c r="AL390" s="1611"/>
      <c r="AM390" s="1611"/>
      <c r="AN390" s="1611"/>
      <c r="AO390" s="1611"/>
      <c r="AP390" s="1611"/>
      <c r="AQ390" s="1611"/>
      <c r="AR390" s="1611"/>
      <c r="AS390" s="1611"/>
      <c r="AT390" s="1611"/>
      <c r="AU390" s="1611"/>
      <c r="AV390" s="1611"/>
    </row>
    <row r="391" ht="14.25" customHeight="1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I391" s="1611"/>
      <c r="AJ391" s="1611"/>
      <c r="AK391" s="1611"/>
      <c r="AL391" s="1611"/>
      <c r="AM391" s="1611"/>
      <c r="AN391" s="1611"/>
      <c r="AO391" s="1611"/>
      <c r="AP391" s="1611"/>
      <c r="AQ391" s="1611"/>
      <c r="AR391" s="1611"/>
      <c r="AS391" s="1611"/>
      <c r="AT391" s="1611"/>
      <c r="AU391" s="1611"/>
      <c r="AV391" s="1611"/>
    </row>
    <row r="392" ht="14.25" customHeight="1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I392" s="1611"/>
      <c r="AJ392" s="1611"/>
      <c r="AK392" s="1611"/>
      <c r="AL392" s="1611"/>
      <c r="AM392" s="1611"/>
      <c r="AN392" s="1611"/>
      <c r="AO392" s="1611"/>
      <c r="AP392" s="1611"/>
      <c r="AQ392" s="1611"/>
      <c r="AR392" s="1611"/>
      <c r="AS392" s="1611"/>
      <c r="AT392" s="1611"/>
      <c r="AU392" s="1611"/>
      <c r="AV392" s="1611"/>
    </row>
    <row r="393" ht="14.25" customHeight="1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I393" s="1611"/>
      <c r="AJ393" s="1611"/>
      <c r="AK393" s="1611"/>
      <c r="AL393" s="1611"/>
      <c r="AM393" s="1611"/>
      <c r="AN393" s="1611"/>
      <c r="AO393" s="1611"/>
      <c r="AP393" s="1611"/>
      <c r="AQ393" s="1611"/>
      <c r="AR393" s="1611"/>
      <c r="AS393" s="1611"/>
      <c r="AT393" s="1611"/>
      <c r="AU393" s="1611"/>
      <c r="AV393" s="1611"/>
    </row>
    <row r="394" ht="14.25" customHeight="1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I394" s="1611"/>
      <c r="AJ394" s="1611"/>
      <c r="AK394" s="1611"/>
      <c r="AL394" s="1611"/>
      <c r="AM394" s="1611"/>
      <c r="AN394" s="1611"/>
      <c r="AO394" s="1611"/>
      <c r="AP394" s="1611"/>
      <c r="AQ394" s="1611"/>
      <c r="AR394" s="1611"/>
      <c r="AS394" s="1611"/>
      <c r="AT394" s="1611"/>
      <c r="AU394" s="1611"/>
      <c r="AV394" s="1611"/>
    </row>
    <row r="395" ht="14.25" customHeight="1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I395" s="1611"/>
      <c r="AJ395" s="1611"/>
      <c r="AK395" s="1611"/>
      <c r="AL395" s="1611"/>
      <c r="AM395" s="1611"/>
      <c r="AN395" s="1611"/>
      <c r="AO395" s="1611"/>
      <c r="AP395" s="1611"/>
      <c r="AQ395" s="1611"/>
      <c r="AR395" s="1611"/>
      <c r="AS395" s="1611"/>
      <c r="AT395" s="1611"/>
      <c r="AU395" s="1611"/>
      <c r="AV395" s="1611"/>
    </row>
    <row r="396" ht="14.25" customHeight="1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I396" s="1611"/>
      <c r="AJ396" s="1611"/>
      <c r="AK396" s="1611"/>
      <c r="AL396" s="1611"/>
      <c r="AM396" s="1611"/>
      <c r="AN396" s="1611"/>
      <c r="AO396" s="1611"/>
      <c r="AP396" s="1611"/>
      <c r="AQ396" s="1611"/>
      <c r="AR396" s="1611"/>
      <c r="AS396" s="1611"/>
      <c r="AT396" s="1611"/>
      <c r="AU396" s="1611"/>
      <c r="AV396" s="1611"/>
    </row>
    <row r="397" ht="14.25" customHeight="1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I397" s="1611"/>
      <c r="AJ397" s="1611"/>
      <c r="AK397" s="1611"/>
      <c r="AL397" s="1611"/>
      <c r="AM397" s="1611"/>
      <c r="AN397" s="1611"/>
      <c r="AO397" s="1611"/>
      <c r="AP397" s="1611"/>
      <c r="AQ397" s="1611"/>
      <c r="AR397" s="1611"/>
      <c r="AS397" s="1611"/>
      <c r="AT397" s="1611"/>
      <c r="AU397" s="1611"/>
      <c r="AV397" s="1611"/>
    </row>
    <row r="398" ht="14.25" customHeight="1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I398" s="1611"/>
      <c r="AJ398" s="1611"/>
      <c r="AK398" s="1611"/>
      <c r="AL398" s="1611"/>
      <c r="AM398" s="1611"/>
      <c r="AN398" s="1611"/>
      <c r="AO398" s="1611"/>
      <c r="AP398" s="1611"/>
      <c r="AQ398" s="1611"/>
      <c r="AR398" s="1611"/>
      <c r="AS398" s="1611"/>
      <c r="AT398" s="1611"/>
      <c r="AU398" s="1611"/>
      <c r="AV398" s="1611"/>
    </row>
    <row r="399" ht="14.25" customHeight="1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I399" s="1611"/>
      <c r="AJ399" s="1611"/>
      <c r="AK399" s="1611"/>
      <c r="AL399" s="1611"/>
      <c r="AM399" s="1611"/>
      <c r="AN399" s="1611"/>
      <c r="AO399" s="1611"/>
      <c r="AP399" s="1611"/>
      <c r="AQ399" s="1611"/>
      <c r="AR399" s="1611"/>
      <c r="AS399" s="1611"/>
      <c r="AT399" s="1611"/>
      <c r="AU399" s="1611"/>
      <c r="AV399" s="1611"/>
    </row>
    <row r="400" ht="14.25" customHeight="1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I400" s="1611"/>
      <c r="AJ400" s="1611"/>
      <c r="AK400" s="1611"/>
      <c r="AL400" s="1611"/>
      <c r="AM400" s="1611"/>
      <c r="AN400" s="1611"/>
      <c r="AO400" s="1611"/>
      <c r="AP400" s="1611"/>
      <c r="AQ400" s="1611"/>
      <c r="AR400" s="1611"/>
      <c r="AS400" s="1611"/>
      <c r="AT400" s="1611"/>
      <c r="AU400" s="1611"/>
      <c r="AV400" s="1611"/>
    </row>
    <row r="401" ht="14.25" customHeight="1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I401" s="1611"/>
      <c r="AJ401" s="1611"/>
      <c r="AK401" s="1611"/>
      <c r="AL401" s="1611"/>
      <c r="AM401" s="1611"/>
      <c r="AN401" s="1611"/>
      <c r="AO401" s="1611"/>
      <c r="AP401" s="1611"/>
      <c r="AQ401" s="1611"/>
      <c r="AR401" s="1611"/>
      <c r="AS401" s="1611"/>
      <c r="AT401" s="1611"/>
      <c r="AU401" s="1611"/>
      <c r="AV401" s="1611"/>
    </row>
    <row r="402" ht="14.25" customHeight="1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I402" s="1611"/>
      <c r="AJ402" s="1611"/>
      <c r="AK402" s="1611"/>
      <c r="AL402" s="1611"/>
      <c r="AM402" s="1611"/>
      <c r="AN402" s="1611"/>
      <c r="AO402" s="1611"/>
      <c r="AP402" s="1611"/>
      <c r="AQ402" s="1611"/>
      <c r="AR402" s="1611"/>
      <c r="AS402" s="1611"/>
      <c r="AT402" s="1611"/>
      <c r="AU402" s="1611"/>
      <c r="AV402" s="1611"/>
    </row>
    <row r="403" ht="14.25" customHeight="1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I403" s="1611"/>
      <c r="AJ403" s="1611"/>
      <c r="AK403" s="1611"/>
      <c r="AL403" s="1611"/>
      <c r="AM403" s="1611"/>
      <c r="AN403" s="1611"/>
      <c r="AO403" s="1611"/>
      <c r="AP403" s="1611"/>
      <c r="AQ403" s="1611"/>
      <c r="AR403" s="1611"/>
      <c r="AS403" s="1611"/>
      <c r="AT403" s="1611"/>
      <c r="AU403" s="1611"/>
      <c r="AV403" s="1611"/>
    </row>
    <row r="404" ht="14.25" customHeight="1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I404" s="1611"/>
      <c r="AJ404" s="1611"/>
      <c r="AK404" s="1611"/>
      <c r="AL404" s="1611"/>
      <c r="AM404" s="1611"/>
      <c r="AN404" s="1611"/>
      <c r="AO404" s="1611"/>
      <c r="AP404" s="1611"/>
      <c r="AQ404" s="1611"/>
      <c r="AR404" s="1611"/>
      <c r="AS404" s="1611"/>
      <c r="AT404" s="1611"/>
      <c r="AU404" s="1611"/>
      <c r="AV404" s="1611"/>
    </row>
    <row r="405" ht="14.25" customHeight="1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I405" s="1611"/>
      <c r="AJ405" s="1611"/>
      <c r="AK405" s="1611"/>
      <c r="AL405" s="1611"/>
      <c r="AM405" s="1611"/>
      <c r="AN405" s="1611"/>
      <c r="AO405" s="1611"/>
      <c r="AP405" s="1611"/>
      <c r="AQ405" s="1611"/>
      <c r="AR405" s="1611"/>
      <c r="AS405" s="1611"/>
      <c r="AT405" s="1611"/>
      <c r="AU405" s="1611"/>
      <c r="AV405" s="1611"/>
    </row>
    <row r="406" ht="14.25" customHeight="1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I406" s="1611"/>
      <c r="AJ406" s="1611"/>
      <c r="AK406" s="1611"/>
      <c r="AL406" s="1611"/>
      <c r="AM406" s="1611"/>
      <c r="AN406" s="1611"/>
      <c r="AO406" s="1611"/>
      <c r="AP406" s="1611"/>
      <c r="AQ406" s="1611"/>
      <c r="AR406" s="1611"/>
      <c r="AS406" s="1611"/>
      <c r="AT406" s="1611"/>
      <c r="AU406" s="1611"/>
      <c r="AV406" s="1611"/>
    </row>
    <row r="407" ht="14.25" customHeight="1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I407" s="1611"/>
      <c r="AJ407" s="1611"/>
      <c r="AK407" s="1611"/>
      <c r="AL407" s="1611"/>
      <c r="AM407" s="1611"/>
      <c r="AN407" s="1611"/>
      <c r="AO407" s="1611"/>
      <c r="AP407" s="1611"/>
      <c r="AQ407" s="1611"/>
      <c r="AR407" s="1611"/>
      <c r="AS407" s="1611"/>
      <c r="AT407" s="1611"/>
      <c r="AU407" s="1611"/>
      <c r="AV407" s="1611"/>
    </row>
    <row r="408" ht="14.25" customHeight="1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I408" s="1611"/>
      <c r="AJ408" s="1611"/>
      <c r="AK408" s="1611"/>
      <c r="AL408" s="1611"/>
      <c r="AM408" s="1611"/>
      <c r="AN408" s="1611"/>
      <c r="AO408" s="1611"/>
      <c r="AP408" s="1611"/>
      <c r="AQ408" s="1611"/>
      <c r="AR408" s="1611"/>
      <c r="AS408" s="1611"/>
      <c r="AT408" s="1611"/>
      <c r="AU408" s="1611"/>
      <c r="AV408" s="1611"/>
    </row>
    <row r="409" ht="14.25" customHeight="1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I409" s="1611"/>
      <c r="AJ409" s="1611"/>
      <c r="AK409" s="1611"/>
      <c r="AL409" s="1611"/>
      <c r="AM409" s="1611"/>
      <c r="AN409" s="1611"/>
      <c r="AO409" s="1611"/>
      <c r="AP409" s="1611"/>
      <c r="AQ409" s="1611"/>
      <c r="AR409" s="1611"/>
      <c r="AS409" s="1611"/>
      <c r="AT409" s="1611"/>
      <c r="AU409" s="1611"/>
      <c r="AV409" s="1611"/>
    </row>
    <row r="410" ht="14.25" customHeight="1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I410" s="1611"/>
      <c r="AJ410" s="1611"/>
      <c r="AK410" s="1611"/>
      <c r="AL410" s="1611"/>
      <c r="AM410" s="1611"/>
      <c r="AN410" s="1611"/>
      <c r="AO410" s="1611"/>
      <c r="AP410" s="1611"/>
      <c r="AQ410" s="1611"/>
      <c r="AR410" s="1611"/>
      <c r="AS410" s="1611"/>
      <c r="AT410" s="1611"/>
      <c r="AU410" s="1611"/>
      <c r="AV410" s="1611"/>
    </row>
    <row r="411" ht="14.25" customHeight="1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I411" s="1611"/>
      <c r="AJ411" s="1611"/>
      <c r="AK411" s="1611"/>
      <c r="AL411" s="1611"/>
      <c r="AM411" s="1611"/>
      <c r="AN411" s="1611"/>
      <c r="AO411" s="1611"/>
      <c r="AP411" s="1611"/>
      <c r="AQ411" s="1611"/>
      <c r="AR411" s="1611"/>
      <c r="AS411" s="1611"/>
      <c r="AT411" s="1611"/>
      <c r="AU411" s="1611"/>
      <c r="AV411" s="1611"/>
    </row>
    <row r="412" ht="14.25" customHeight="1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I412" s="1611"/>
      <c r="AJ412" s="1611"/>
      <c r="AK412" s="1611"/>
      <c r="AL412" s="1611"/>
      <c r="AM412" s="1611"/>
      <c r="AN412" s="1611"/>
      <c r="AO412" s="1611"/>
      <c r="AP412" s="1611"/>
      <c r="AQ412" s="1611"/>
      <c r="AR412" s="1611"/>
      <c r="AS412" s="1611"/>
      <c r="AT412" s="1611"/>
      <c r="AU412" s="1611"/>
      <c r="AV412" s="1611"/>
    </row>
    <row r="413" ht="14.25" customHeight="1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I413" s="1611"/>
      <c r="AJ413" s="1611"/>
      <c r="AK413" s="1611"/>
      <c r="AL413" s="1611"/>
      <c r="AM413" s="1611"/>
      <c r="AN413" s="1611"/>
      <c r="AO413" s="1611"/>
      <c r="AP413" s="1611"/>
      <c r="AQ413" s="1611"/>
      <c r="AR413" s="1611"/>
      <c r="AS413" s="1611"/>
      <c r="AT413" s="1611"/>
      <c r="AU413" s="1611"/>
      <c r="AV413" s="1611"/>
    </row>
    <row r="414" ht="14.25" customHeight="1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I414" s="1611"/>
      <c r="AJ414" s="1611"/>
      <c r="AK414" s="1611"/>
      <c r="AL414" s="1611"/>
      <c r="AM414" s="1611"/>
      <c r="AN414" s="1611"/>
      <c r="AO414" s="1611"/>
      <c r="AP414" s="1611"/>
      <c r="AQ414" s="1611"/>
      <c r="AR414" s="1611"/>
      <c r="AS414" s="1611"/>
      <c r="AT414" s="1611"/>
      <c r="AU414" s="1611"/>
      <c r="AV414" s="1611"/>
    </row>
    <row r="415" ht="14.25" customHeight="1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I415" s="1611"/>
      <c r="AJ415" s="1611"/>
      <c r="AK415" s="1611"/>
      <c r="AL415" s="1611"/>
      <c r="AM415" s="1611"/>
      <c r="AN415" s="1611"/>
      <c r="AO415" s="1611"/>
      <c r="AP415" s="1611"/>
      <c r="AQ415" s="1611"/>
      <c r="AR415" s="1611"/>
      <c r="AS415" s="1611"/>
      <c r="AT415" s="1611"/>
      <c r="AU415" s="1611"/>
      <c r="AV415" s="1611"/>
    </row>
    <row r="416" ht="14.25" customHeight="1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I416" s="1611"/>
      <c r="AJ416" s="1611"/>
      <c r="AK416" s="1611"/>
      <c r="AL416" s="1611"/>
      <c r="AM416" s="1611"/>
      <c r="AN416" s="1611"/>
      <c r="AO416" s="1611"/>
      <c r="AP416" s="1611"/>
      <c r="AQ416" s="1611"/>
      <c r="AR416" s="1611"/>
      <c r="AS416" s="1611"/>
      <c r="AT416" s="1611"/>
      <c r="AU416" s="1611"/>
      <c r="AV416" s="1611"/>
    </row>
    <row r="417" ht="14.25" customHeight="1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I417" s="1611"/>
      <c r="AJ417" s="1611"/>
      <c r="AK417" s="1611"/>
      <c r="AL417" s="1611"/>
      <c r="AM417" s="1611"/>
      <c r="AN417" s="1611"/>
      <c r="AO417" s="1611"/>
      <c r="AP417" s="1611"/>
      <c r="AQ417" s="1611"/>
      <c r="AR417" s="1611"/>
      <c r="AS417" s="1611"/>
      <c r="AT417" s="1611"/>
      <c r="AU417" s="1611"/>
      <c r="AV417" s="1611"/>
    </row>
    <row r="418" ht="14.25" customHeight="1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I418" s="1611"/>
      <c r="AJ418" s="1611"/>
      <c r="AK418" s="1611"/>
      <c r="AL418" s="1611"/>
      <c r="AM418" s="1611"/>
      <c r="AN418" s="1611"/>
      <c r="AO418" s="1611"/>
      <c r="AP418" s="1611"/>
      <c r="AQ418" s="1611"/>
      <c r="AR418" s="1611"/>
      <c r="AS418" s="1611"/>
      <c r="AT418" s="1611"/>
      <c r="AU418" s="1611"/>
      <c r="AV418" s="1611"/>
    </row>
    <row r="419" ht="14.25" customHeight="1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I419" s="1611"/>
      <c r="AJ419" s="1611"/>
      <c r="AK419" s="1611"/>
      <c r="AL419" s="1611"/>
      <c r="AM419" s="1611"/>
      <c r="AN419" s="1611"/>
      <c r="AO419" s="1611"/>
      <c r="AP419" s="1611"/>
      <c r="AQ419" s="1611"/>
      <c r="AR419" s="1611"/>
      <c r="AS419" s="1611"/>
      <c r="AT419" s="1611"/>
      <c r="AU419" s="1611"/>
      <c r="AV419" s="1611"/>
    </row>
    <row r="420" ht="14.25" customHeight="1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I420" s="1611"/>
      <c r="AJ420" s="1611"/>
      <c r="AK420" s="1611"/>
      <c r="AL420" s="1611"/>
      <c r="AM420" s="1611"/>
      <c r="AN420" s="1611"/>
      <c r="AO420" s="1611"/>
      <c r="AP420" s="1611"/>
      <c r="AQ420" s="1611"/>
      <c r="AR420" s="1611"/>
      <c r="AS420" s="1611"/>
      <c r="AT420" s="1611"/>
      <c r="AU420" s="1611"/>
      <c r="AV420" s="1611"/>
    </row>
    <row r="421" ht="14.25" customHeight="1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I421" s="1611"/>
      <c r="AJ421" s="1611"/>
      <c r="AK421" s="1611"/>
      <c r="AL421" s="1611"/>
      <c r="AM421" s="1611"/>
      <c r="AN421" s="1611"/>
      <c r="AO421" s="1611"/>
      <c r="AP421" s="1611"/>
      <c r="AQ421" s="1611"/>
      <c r="AR421" s="1611"/>
      <c r="AS421" s="1611"/>
      <c r="AT421" s="1611"/>
      <c r="AU421" s="1611"/>
      <c r="AV421" s="1611"/>
    </row>
    <row r="422" ht="14.25" customHeight="1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I422" s="1611"/>
      <c r="AJ422" s="1611"/>
      <c r="AK422" s="1611"/>
      <c r="AL422" s="1611"/>
      <c r="AM422" s="1611"/>
      <c r="AN422" s="1611"/>
      <c r="AO422" s="1611"/>
      <c r="AP422" s="1611"/>
      <c r="AQ422" s="1611"/>
      <c r="AR422" s="1611"/>
      <c r="AS422" s="1611"/>
      <c r="AT422" s="1611"/>
      <c r="AU422" s="1611"/>
      <c r="AV422" s="1611"/>
    </row>
    <row r="423" ht="14.25" customHeight="1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I423" s="1611"/>
      <c r="AJ423" s="1611"/>
      <c r="AK423" s="1611"/>
      <c r="AL423" s="1611"/>
      <c r="AM423" s="1611"/>
      <c r="AN423" s="1611"/>
      <c r="AO423" s="1611"/>
      <c r="AP423" s="1611"/>
      <c r="AQ423" s="1611"/>
      <c r="AR423" s="1611"/>
      <c r="AS423" s="1611"/>
      <c r="AT423" s="1611"/>
      <c r="AU423" s="1611"/>
      <c r="AV423" s="1611"/>
    </row>
    <row r="424" ht="14.25" customHeight="1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I424" s="1611"/>
      <c r="AJ424" s="1611"/>
      <c r="AK424" s="1611"/>
      <c r="AL424" s="1611"/>
      <c r="AM424" s="1611"/>
      <c r="AN424" s="1611"/>
      <c r="AO424" s="1611"/>
      <c r="AP424" s="1611"/>
      <c r="AQ424" s="1611"/>
      <c r="AR424" s="1611"/>
      <c r="AS424" s="1611"/>
      <c r="AT424" s="1611"/>
      <c r="AU424" s="1611"/>
      <c r="AV424" s="1611"/>
    </row>
    <row r="425" ht="14.25" customHeight="1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I425" s="1611"/>
      <c r="AJ425" s="1611"/>
      <c r="AK425" s="1611"/>
      <c r="AL425" s="1611"/>
      <c r="AM425" s="1611"/>
      <c r="AN425" s="1611"/>
      <c r="AO425" s="1611"/>
      <c r="AP425" s="1611"/>
      <c r="AQ425" s="1611"/>
      <c r="AR425" s="1611"/>
      <c r="AS425" s="1611"/>
      <c r="AT425" s="1611"/>
      <c r="AU425" s="1611"/>
      <c r="AV425" s="1611"/>
    </row>
    <row r="426" ht="14.25" customHeight="1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I426" s="1611"/>
      <c r="AJ426" s="1611"/>
      <c r="AK426" s="1611"/>
      <c r="AL426" s="1611"/>
      <c r="AM426" s="1611"/>
      <c r="AN426" s="1611"/>
      <c r="AO426" s="1611"/>
      <c r="AP426" s="1611"/>
      <c r="AQ426" s="1611"/>
      <c r="AR426" s="1611"/>
      <c r="AS426" s="1611"/>
      <c r="AT426" s="1611"/>
      <c r="AU426" s="1611"/>
      <c r="AV426" s="1611"/>
    </row>
    <row r="427" ht="14.25" customHeight="1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I427" s="1611"/>
      <c r="AJ427" s="1611"/>
      <c r="AK427" s="1611"/>
      <c r="AL427" s="1611"/>
      <c r="AM427" s="1611"/>
      <c r="AN427" s="1611"/>
      <c r="AO427" s="1611"/>
      <c r="AP427" s="1611"/>
      <c r="AQ427" s="1611"/>
      <c r="AR427" s="1611"/>
      <c r="AS427" s="1611"/>
      <c r="AT427" s="1611"/>
      <c r="AU427" s="1611"/>
      <c r="AV427" s="1611"/>
    </row>
    <row r="428" ht="14.25" customHeight="1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I428" s="1611"/>
      <c r="AJ428" s="1611"/>
      <c r="AK428" s="1611"/>
      <c r="AL428" s="1611"/>
      <c r="AM428" s="1611"/>
      <c r="AN428" s="1611"/>
      <c r="AO428" s="1611"/>
      <c r="AP428" s="1611"/>
      <c r="AQ428" s="1611"/>
      <c r="AR428" s="1611"/>
      <c r="AS428" s="1611"/>
      <c r="AT428" s="1611"/>
      <c r="AU428" s="1611"/>
      <c r="AV428" s="1611"/>
    </row>
    <row r="429" ht="14.25" customHeight="1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I429" s="1611"/>
      <c r="AJ429" s="1611"/>
      <c r="AK429" s="1611"/>
      <c r="AL429" s="1611"/>
      <c r="AM429" s="1611"/>
      <c r="AN429" s="1611"/>
      <c r="AO429" s="1611"/>
      <c r="AP429" s="1611"/>
      <c r="AQ429" s="1611"/>
      <c r="AR429" s="1611"/>
      <c r="AS429" s="1611"/>
      <c r="AT429" s="1611"/>
      <c r="AU429" s="1611"/>
      <c r="AV429" s="1611"/>
    </row>
    <row r="430" ht="14.25" customHeight="1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I430" s="1611"/>
      <c r="AJ430" s="1611"/>
      <c r="AK430" s="1611"/>
      <c r="AL430" s="1611"/>
      <c r="AM430" s="1611"/>
      <c r="AN430" s="1611"/>
      <c r="AO430" s="1611"/>
      <c r="AP430" s="1611"/>
      <c r="AQ430" s="1611"/>
      <c r="AR430" s="1611"/>
      <c r="AS430" s="1611"/>
      <c r="AT430" s="1611"/>
      <c r="AU430" s="1611"/>
      <c r="AV430" s="1611"/>
    </row>
    <row r="431" ht="14.25" customHeight="1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I431" s="1611"/>
      <c r="AJ431" s="1611"/>
      <c r="AK431" s="1611"/>
      <c r="AL431" s="1611"/>
      <c r="AM431" s="1611"/>
      <c r="AN431" s="1611"/>
      <c r="AO431" s="1611"/>
      <c r="AP431" s="1611"/>
      <c r="AQ431" s="1611"/>
      <c r="AR431" s="1611"/>
      <c r="AS431" s="1611"/>
      <c r="AT431" s="1611"/>
      <c r="AU431" s="1611"/>
      <c r="AV431" s="1611"/>
    </row>
    <row r="432" ht="14.25" customHeight="1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I432" s="1611"/>
      <c r="AJ432" s="1611"/>
      <c r="AK432" s="1611"/>
      <c r="AL432" s="1611"/>
      <c r="AM432" s="1611"/>
      <c r="AN432" s="1611"/>
      <c r="AO432" s="1611"/>
      <c r="AP432" s="1611"/>
      <c r="AQ432" s="1611"/>
      <c r="AR432" s="1611"/>
      <c r="AS432" s="1611"/>
      <c r="AT432" s="1611"/>
      <c r="AU432" s="1611"/>
      <c r="AV432" s="1611"/>
    </row>
    <row r="433" ht="14.25" customHeight="1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I433" s="1611"/>
      <c r="AJ433" s="1611"/>
      <c r="AK433" s="1611"/>
      <c r="AL433" s="1611"/>
      <c r="AM433" s="1611"/>
      <c r="AN433" s="1611"/>
      <c r="AO433" s="1611"/>
      <c r="AP433" s="1611"/>
      <c r="AQ433" s="1611"/>
      <c r="AR433" s="1611"/>
      <c r="AS433" s="1611"/>
      <c r="AT433" s="1611"/>
      <c r="AU433" s="1611"/>
      <c r="AV433" s="1611"/>
    </row>
    <row r="434" ht="14.25" customHeight="1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I434" s="1611"/>
      <c r="AJ434" s="1611"/>
      <c r="AK434" s="1611"/>
      <c r="AL434" s="1611"/>
      <c r="AM434" s="1611"/>
      <c r="AN434" s="1611"/>
      <c r="AO434" s="1611"/>
      <c r="AP434" s="1611"/>
      <c r="AQ434" s="1611"/>
      <c r="AR434" s="1611"/>
      <c r="AS434" s="1611"/>
      <c r="AT434" s="1611"/>
      <c r="AU434" s="1611"/>
      <c r="AV434" s="1611"/>
    </row>
    <row r="435" ht="14.25" customHeight="1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I435" s="1611"/>
      <c r="AJ435" s="1611"/>
      <c r="AK435" s="1611"/>
      <c r="AL435" s="1611"/>
      <c r="AM435" s="1611"/>
      <c r="AN435" s="1611"/>
      <c r="AO435" s="1611"/>
      <c r="AP435" s="1611"/>
      <c r="AQ435" s="1611"/>
      <c r="AR435" s="1611"/>
      <c r="AS435" s="1611"/>
      <c r="AT435" s="1611"/>
      <c r="AU435" s="1611"/>
      <c r="AV435" s="1611"/>
    </row>
    <row r="436" ht="14.25" customHeight="1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I436" s="1611"/>
      <c r="AJ436" s="1611"/>
      <c r="AK436" s="1611"/>
      <c r="AL436" s="1611"/>
      <c r="AM436" s="1611"/>
      <c r="AN436" s="1611"/>
      <c r="AO436" s="1611"/>
      <c r="AP436" s="1611"/>
      <c r="AQ436" s="1611"/>
      <c r="AR436" s="1611"/>
      <c r="AS436" s="1611"/>
      <c r="AT436" s="1611"/>
      <c r="AU436" s="1611"/>
      <c r="AV436" s="1611"/>
    </row>
    <row r="437" ht="14.25" customHeight="1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I437" s="1611"/>
      <c r="AJ437" s="1611"/>
      <c r="AK437" s="1611"/>
      <c r="AL437" s="1611"/>
      <c r="AM437" s="1611"/>
      <c r="AN437" s="1611"/>
      <c r="AO437" s="1611"/>
      <c r="AP437" s="1611"/>
      <c r="AQ437" s="1611"/>
      <c r="AR437" s="1611"/>
      <c r="AS437" s="1611"/>
      <c r="AT437" s="1611"/>
      <c r="AU437" s="1611"/>
      <c r="AV437" s="1611"/>
    </row>
    <row r="438" ht="14.25" customHeight="1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I438" s="1611"/>
      <c r="AJ438" s="1611"/>
      <c r="AK438" s="1611"/>
      <c r="AL438" s="1611"/>
      <c r="AM438" s="1611"/>
      <c r="AN438" s="1611"/>
      <c r="AO438" s="1611"/>
      <c r="AP438" s="1611"/>
      <c r="AQ438" s="1611"/>
      <c r="AR438" s="1611"/>
      <c r="AS438" s="1611"/>
      <c r="AT438" s="1611"/>
      <c r="AU438" s="1611"/>
      <c r="AV438" s="1611"/>
    </row>
    <row r="439" ht="14.25" customHeight="1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I439" s="1611"/>
      <c r="AJ439" s="1611"/>
      <c r="AK439" s="1611"/>
      <c r="AL439" s="1611"/>
      <c r="AM439" s="1611"/>
      <c r="AN439" s="1611"/>
      <c r="AO439" s="1611"/>
      <c r="AP439" s="1611"/>
      <c r="AQ439" s="1611"/>
      <c r="AR439" s="1611"/>
      <c r="AS439" s="1611"/>
      <c r="AT439" s="1611"/>
      <c r="AU439" s="1611"/>
      <c r="AV439" s="1611"/>
    </row>
    <row r="440" ht="14.25" customHeight="1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I440" s="1611"/>
      <c r="AJ440" s="1611"/>
      <c r="AK440" s="1611"/>
      <c r="AL440" s="1611"/>
      <c r="AM440" s="1611"/>
      <c r="AN440" s="1611"/>
      <c r="AO440" s="1611"/>
      <c r="AP440" s="1611"/>
      <c r="AQ440" s="1611"/>
      <c r="AR440" s="1611"/>
      <c r="AS440" s="1611"/>
      <c r="AT440" s="1611"/>
      <c r="AU440" s="1611"/>
      <c r="AV440" s="1611"/>
    </row>
    <row r="441" ht="14.25" customHeight="1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I441" s="1611"/>
      <c r="AJ441" s="1611"/>
      <c r="AK441" s="1611"/>
      <c r="AL441" s="1611"/>
      <c r="AM441" s="1611"/>
      <c r="AN441" s="1611"/>
      <c r="AO441" s="1611"/>
      <c r="AP441" s="1611"/>
      <c r="AQ441" s="1611"/>
      <c r="AR441" s="1611"/>
      <c r="AS441" s="1611"/>
      <c r="AT441" s="1611"/>
      <c r="AU441" s="1611"/>
      <c r="AV441" s="1611"/>
    </row>
    <row r="442" ht="14.25" customHeight="1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I442" s="1611"/>
      <c r="AJ442" s="1611"/>
      <c r="AK442" s="1611"/>
      <c r="AL442" s="1611"/>
      <c r="AM442" s="1611"/>
      <c r="AN442" s="1611"/>
      <c r="AO442" s="1611"/>
      <c r="AP442" s="1611"/>
      <c r="AQ442" s="1611"/>
      <c r="AR442" s="1611"/>
      <c r="AS442" s="1611"/>
      <c r="AT442" s="1611"/>
      <c r="AU442" s="1611"/>
      <c r="AV442" s="1611"/>
    </row>
    <row r="443" ht="14.25" customHeight="1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I443" s="1611"/>
      <c r="AJ443" s="1611"/>
      <c r="AK443" s="1611"/>
      <c r="AL443" s="1611"/>
      <c r="AM443" s="1611"/>
      <c r="AN443" s="1611"/>
      <c r="AO443" s="1611"/>
      <c r="AP443" s="1611"/>
      <c r="AQ443" s="1611"/>
      <c r="AR443" s="1611"/>
      <c r="AS443" s="1611"/>
      <c r="AT443" s="1611"/>
      <c r="AU443" s="1611"/>
      <c r="AV443" s="1611"/>
    </row>
    <row r="444" ht="14.25" customHeight="1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I444" s="1611"/>
      <c r="AJ444" s="1611"/>
      <c r="AK444" s="1611"/>
      <c r="AL444" s="1611"/>
      <c r="AM444" s="1611"/>
      <c r="AN444" s="1611"/>
      <c r="AO444" s="1611"/>
      <c r="AP444" s="1611"/>
      <c r="AQ444" s="1611"/>
      <c r="AR444" s="1611"/>
      <c r="AS444" s="1611"/>
      <c r="AT444" s="1611"/>
      <c r="AU444" s="1611"/>
      <c r="AV444" s="1611"/>
    </row>
    <row r="445" ht="14.25" customHeight="1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I445" s="1611"/>
      <c r="AJ445" s="1611"/>
      <c r="AK445" s="1611"/>
      <c r="AL445" s="1611"/>
      <c r="AM445" s="1611"/>
      <c r="AN445" s="1611"/>
      <c r="AO445" s="1611"/>
      <c r="AP445" s="1611"/>
      <c r="AQ445" s="1611"/>
      <c r="AR445" s="1611"/>
      <c r="AS445" s="1611"/>
      <c r="AT445" s="1611"/>
      <c r="AU445" s="1611"/>
      <c r="AV445" s="1611"/>
    </row>
    <row r="446" ht="14.25" customHeight="1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I446" s="1611"/>
      <c r="AJ446" s="1611"/>
      <c r="AK446" s="1611"/>
      <c r="AL446" s="1611"/>
      <c r="AM446" s="1611"/>
      <c r="AN446" s="1611"/>
      <c r="AO446" s="1611"/>
      <c r="AP446" s="1611"/>
      <c r="AQ446" s="1611"/>
      <c r="AR446" s="1611"/>
      <c r="AS446" s="1611"/>
      <c r="AT446" s="1611"/>
      <c r="AU446" s="1611"/>
      <c r="AV446" s="1611"/>
    </row>
    <row r="447" ht="14.25" customHeight="1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I447" s="1611"/>
      <c r="AJ447" s="1611"/>
      <c r="AK447" s="1611"/>
      <c r="AL447" s="1611"/>
      <c r="AM447" s="1611"/>
      <c r="AN447" s="1611"/>
      <c r="AO447" s="1611"/>
      <c r="AP447" s="1611"/>
      <c r="AQ447" s="1611"/>
      <c r="AR447" s="1611"/>
      <c r="AS447" s="1611"/>
      <c r="AT447" s="1611"/>
      <c r="AU447" s="1611"/>
      <c r="AV447" s="1611"/>
    </row>
    <row r="448" ht="14.25" customHeight="1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I448" s="1611"/>
      <c r="AJ448" s="1611"/>
      <c r="AK448" s="1611"/>
      <c r="AL448" s="1611"/>
      <c r="AM448" s="1611"/>
      <c r="AN448" s="1611"/>
      <c r="AO448" s="1611"/>
      <c r="AP448" s="1611"/>
      <c r="AQ448" s="1611"/>
      <c r="AR448" s="1611"/>
      <c r="AS448" s="1611"/>
      <c r="AT448" s="1611"/>
      <c r="AU448" s="1611"/>
      <c r="AV448" s="1611"/>
    </row>
    <row r="449" ht="14.25" customHeight="1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I449" s="1611"/>
      <c r="AJ449" s="1611"/>
      <c r="AK449" s="1611"/>
      <c r="AL449" s="1611"/>
      <c r="AM449" s="1611"/>
      <c r="AN449" s="1611"/>
      <c r="AO449" s="1611"/>
      <c r="AP449" s="1611"/>
      <c r="AQ449" s="1611"/>
      <c r="AR449" s="1611"/>
      <c r="AS449" s="1611"/>
      <c r="AT449" s="1611"/>
      <c r="AU449" s="1611"/>
      <c r="AV449" s="1611"/>
    </row>
    <row r="450" ht="14.25" customHeight="1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I450" s="1611"/>
      <c r="AJ450" s="1611"/>
      <c r="AK450" s="1611"/>
      <c r="AL450" s="1611"/>
      <c r="AM450" s="1611"/>
      <c r="AN450" s="1611"/>
      <c r="AO450" s="1611"/>
      <c r="AP450" s="1611"/>
      <c r="AQ450" s="1611"/>
      <c r="AR450" s="1611"/>
      <c r="AS450" s="1611"/>
      <c r="AT450" s="1611"/>
      <c r="AU450" s="1611"/>
      <c r="AV450" s="1611"/>
    </row>
    <row r="451" ht="14.25" customHeight="1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I451" s="1611"/>
      <c r="AJ451" s="1611"/>
      <c r="AK451" s="1611"/>
      <c r="AL451" s="1611"/>
      <c r="AM451" s="1611"/>
      <c r="AN451" s="1611"/>
      <c r="AO451" s="1611"/>
      <c r="AP451" s="1611"/>
      <c r="AQ451" s="1611"/>
      <c r="AR451" s="1611"/>
      <c r="AS451" s="1611"/>
      <c r="AT451" s="1611"/>
      <c r="AU451" s="1611"/>
      <c r="AV451" s="1611"/>
    </row>
    <row r="452" ht="14.25" customHeight="1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I452" s="1611"/>
      <c r="AJ452" s="1611"/>
      <c r="AK452" s="1611"/>
      <c r="AL452" s="1611"/>
      <c r="AM452" s="1611"/>
      <c r="AN452" s="1611"/>
      <c r="AO452" s="1611"/>
      <c r="AP452" s="1611"/>
      <c r="AQ452" s="1611"/>
      <c r="AR452" s="1611"/>
      <c r="AS452" s="1611"/>
      <c r="AT452" s="1611"/>
      <c r="AU452" s="1611"/>
      <c r="AV452" s="1611"/>
    </row>
    <row r="453" ht="14.25" customHeight="1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I453" s="1611"/>
      <c r="AJ453" s="1611"/>
      <c r="AK453" s="1611"/>
      <c r="AL453" s="1611"/>
      <c r="AM453" s="1611"/>
      <c r="AN453" s="1611"/>
      <c r="AO453" s="1611"/>
      <c r="AP453" s="1611"/>
      <c r="AQ453" s="1611"/>
      <c r="AR453" s="1611"/>
      <c r="AS453" s="1611"/>
      <c r="AT453" s="1611"/>
      <c r="AU453" s="1611"/>
      <c r="AV453" s="1611"/>
    </row>
    <row r="454" ht="14.25" customHeight="1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I454" s="1611"/>
      <c r="AJ454" s="1611"/>
      <c r="AK454" s="1611"/>
      <c r="AL454" s="1611"/>
      <c r="AM454" s="1611"/>
      <c r="AN454" s="1611"/>
      <c r="AO454" s="1611"/>
      <c r="AP454" s="1611"/>
      <c r="AQ454" s="1611"/>
      <c r="AR454" s="1611"/>
      <c r="AS454" s="1611"/>
      <c r="AT454" s="1611"/>
      <c r="AU454" s="1611"/>
      <c r="AV454" s="1611"/>
    </row>
    <row r="455" ht="14.25" customHeight="1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I455" s="1611"/>
      <c r="AJ455" s="1611"/>
      <c r="AK455" s="1611"/>
      <c r="AL455" s="1611"/>
      <c r="AM455" s="1611"/>
      <c r="AN455" s="1611"/>
      <c r="AO455" s="1611"/>
      <c r="AP455" s="1611"/>
      <c r="AQ455" s="1611"/>
      <c r="AR455" s="1611"/>
      <c r="AS455" s="1611"/>
      <c r="AT455" s="1611"/>
      <c r="AU455" s="1611"/>
      <c r="AV455" s="1611"/>
    </row>
    <row r="456" ht="14.25" customHeight="1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I456" s="1611"/>
      <c r="AJ456" s="1611"/>
      <c r="AK456" s="1611"/>
      <c r="AL456" s="1611"/>
      <c r="AM456" s="1611"/>
      <c r="AN456" s="1611"/>
      <c r="AO456" s="1611"/>
      <c r="AP456" s="1611"/>
      <c r="AQ456" s="1611"/>
      <c r="AR456" s="1611"/>
      <c r="AS456" s="1611"/>
      <c r="AT456" s="1611"/>
      <c r="AU456" s="1611"/>
      <c r="AV456" s="1611"/>
    </row>
    <row r="457" ht="14.25" customHeight="1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I457" s="1611"/>
      <c r="AJ457" s="1611"/>
      <c r="AK457" s="1611"/>
      <c r="AL457" s="1611"/>
      <c r="AM457" s="1611"/>
      <c r="AN457" s="1611"/>
      <c r="AO457" s="1611"/>
      <c r="AP457" s="1611"/>
      <c r="AQ457" s="1611"/>
      <c r="AR457" s="1611"/>
      <c r="AS457" s="1611"/>
      <c r="AT457" s="1611"/>
      <c r="AU457" s="1611"/>
      <c r="AV457" s="1611"/>
    </row>
    <row r="458" ht="14.25" customHeight="1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I458" s="1611"/>
      <c r="AJ458" s="1611"/>
      <c r="AK458" s="1611"/>
      <c r="AL458" s="1611"/>
      <c r="AM458" s="1611"/>
      <c r="AN458" s="1611"/>
      <c r="AO458" s="1611"/>
      <c r="AP458" s="1611"/>
      <c r="AQ458" s="1611"/>
      <c r="AR458" s="1611"/>
      <c r="AS458" s="1611"/>
      <c r="AT458" s="1611"/>
      <c r="AU458" s="1611"/>
      <c r="AV458" s="1611"/>
    </row>
    <row r="459" ht="14.25" customHeight="1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I459" s="1611"/>
      <c r="AJ459" s="1611"/>
      <c r="AK459" s="1611"/>
      <c r="AL459" s="1611"/>
      <c r="AM459" s="1611"/>
      <c r="AN459" s="1611"/>
      <c r="AO459" s="1611"/>
      <c r="AP459" s="1611"/>
      <c r="AQ459" s="1611"/>
      <c r="AR459" s="1611"/>
      <c r="AS459" s="1611"/>
      <c r="AT459" s="1611"/>
      <c r="AU459" s="1611"/>
      <c r="AV459" s="1611"/>
    </row>
    <row r="460" ht="14.25" customHeight="1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I460" s="1611"/>
      <c r="AJ460" s="1611"/>
      <c r="AK460" s="1611"/>
      <c r="AL460" s="1611"/>
      <c r="AM460" s="1611"/>
      <c r="AN460" s="1611"/>
      <c r="AO460" s="1611"/>
      <c r="AP460" s="1611"/>
      <c r="AQ460" s="1611"/>
      <c r="AR460" s="1611"/>
      <c r="AS460" s="1611"/>
      <c r="AT460" s="1611"/>
      <c r="AU460" s="1611"/>
      <c r="AV460" s="1611"/>
    </row>
    <row r="461" ht="14.25" customHeight="1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I461" s="1611"/>
      <c r="AJ461" s="1611"/>
      <c r="AK461" s="1611"/>
      <c r="AL461" s="1611"/>
      <c r="AM461" s="1611"/>
      <c r="AN461" s="1611"/>
      <c r="AO461" s="1611"/>
      <c r="AP461" s="1611"/>
      <c r="AQ461" s="1611"/>
      <c r="AR461" s="1611"/>
      <c r="AS461" s="1611"/>
      <c r="AT461" s="1611"/>
      <c r="AU461" s="1611"/>
      <c r="AV461" s="1611"/>
    </row>
    <row r="462" ht="14.25" customHeight="1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I462" s="1611"/>
      <c r="AJ462" s="1611"/>
      <c r="AK462" s="1611"/>
      <c r="AL462" s="1611"/>
      <c r="AM462" s="1611"/>
      <c r="AN462" s="1611"/>
      <c r="AO462" s="1611"/>
      <c r="AP462" s="1611"/>
      <c r="AQ462" s="1611"/>
      <c r="AR462" s="1611"/>
      <c r="AS462" s="1611"/>
      <c r="AT462" s="1611"/>
      <c r="AU462" s="1611"/>
      <c r="AV462" s="1611"/>
    </row>
    <row r="463" ht="14.25" customHeight="1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I463" s="1611"/>
      <c r="AJ463" s="1611"/>
      <c r="AK463" s="1611"/>
      <c r="AL463" s="1611"/>
      <c r="AM463" s="1611"/>
      <c r="AN463" s="1611"/>
      <c r="AO463" s="1611"/>
      <c r="AP463" s="1611"/>
      <c r="AQ463" s="1611"/>
      <c r="AR463" s="1611"/>
      <c r="AS463" s="1611"/>
      <c r="AT463" s="1611"/>
      <c r="AU463" s="1611"/>
      <c r="AV463" s="1611"/>
    </row>
    <row r="464" ht="14.25" customHeight="1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I464" s="1611"/>
      <c r="AJ464" s="1611"/>
      <c r="AK464" s="1611"/>
      <c r="AL464" s="1611"/>
      <c r="AM464" s="1611"/>
      <c r="AN464" s="1611"/>
      <c r="AO464" s="1611"/>
      <c r="AP464" s="1611"/>
      <c r="AQ464" s="1611"/>
      <c r="AR464" s="1611"/>
      <c r="AS464" s="1611"/>
      <c r="AT464" s="1611"/>
      <c r="AU464" s="1611"/>
      <c r="AV464" s="1611"/>
    </row>
    <row r="465" ht="14.25" customHeight="1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I465" s="1611"/>
      <c r="AJ465" s="1611"/>
      <c r="AK465" s="1611"/>
      <c r="AL465" s="1611"/>
      <c r="AM465" s="1611"/>
      <c r="AN465" s="1611"/>
      <c r="AO465" s="1611"/>
      <c r="AP465" s="1611"/>
      <c r="AQ465" s="1611"/>
      <c r="AR465" s="1611"/>
      <c r="AS465" s="1611"/>
      <c r="AT465" s="1611"/>
      <c r="AU465" s="1611"/>
      <c r="AV465" s="1611"/>
    </row>
    <row r="466" ht="14.25" customHeight="1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I466" s="1611"/>
      <c r="AJ466" s="1611"/>
      <c r="AK466" s="1611"/>
      <c r="AL466" s="1611"/>
      <c r="AM466" s="1611"/>
      <c r="AN466" s="1611"/>
      <c r="AO466" s="1611"/>
      <c r="AP466" s="1611"/>
      <c r="AQ466" s="1611"/>
      <c r="AR466" s="1611"/>
      <c r="AS466" s="1611"/>
      <c r="AT466" s="1611"/>
      <c r="AU466" s="1611"/>
      <c r="AV466" s="1611"/>
    </row>
    <row r="467" ht="14.25" customHeight="1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I467" s="1611"/>
      <c r="AJ467" s="1611"/>
      <c r="AK467" s="1611"/>
      <c r="AL467" s="1611"/>
      <c r="AM467" s="1611"/>
      <c r="AN467" s="1611"/>
      <c r="AO467" s="1611"/>
      <c r="AP467" s="1611"/>
      <c r="AQ467" s="1611"/>
      <c r="AR467" s="1611"/>
      <c r="AS467" s="1611"/>
      <c r="AT467" s="1611"/>
      <c r="AU467" s="1611"/>
      <c r="AV467" s="1611"/>
    </row>
    <row r="468" ht="14.25" customHeight="1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I468" s="1611"/>
      <c r="AJ468" s="1611"/>
      <c r="AK468" s="1611"/>
      <c r="AL468" s="1611"/>
      <c r="AM468" s="1611"/>
      <c r="AN468" s="1611"/>
      <c r="AO468" s="1611"/>
      <c r="AP468" s="1611"/>
      <c r="AQ468" s="1611"/>
      <c r="AR468" s="1611"/>
      <c r="AS468" s="1611"/>
      <c r="AT468" s="1611"/>
      <c r="AU468" s="1611"/>
      <c r="AV468" s="1611"/>
    </row>
    <row r="469" ht="14.25" customHeight="1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I469" s="1611"/>
      <c r="AJ469" s="1611"/>
      <c r="AK469" s="1611"/>
      <c r="AL469" s="1611"/>
      <c r="AM469" s="1611"/>
      <c r="AN469" s="1611"/>
      <c r="AO469" s="1611"/>
      <c r="AP469" s="1611"/>
      <c r="AQ469" s="1611"/>
      <c r="AR469" s="1611"/>
      <c r="AS469" s="1611"/>
      <c r="AT469" s="1611"/>
      <c r="AU469" s="1611"/>
      <c r="AV469" s="1611"/>
    </row>
    <row r="470" ht="14.25" customHeight="1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I470" s="1611"/>
      <c r="AJ470" s="1611"/>
      <c r="AK470" s="1611"/>
      <c r="AL470" s="1611"/>
      <c r="AM470" s="1611"/>
      <c r="AN470" s="1611"/>
      <c r="AO470" s="1611"/>
      <c r="AP470" s="1611"/>
      <c r="AQ470" s="1611"/>
      <c r="AR470" s="1611"/>
      <c r="AS470" s="1611"/>
      <c r="AT470" s="1611"/>
      <c r="AU470" s="1611"/>
      <c r="AV470" s="1611"/>
    </row>
    <row r="471" ht="14.25" customHeight="1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I471" s="1611"/>
      <c r="AJ471" s="1611"/>
      <c r="AK471" s="1611"/>
      <c r="AL471" s="1611"/>
      <c r="AM471" s="1611"/>
      <c r="AN471" s="1611"/>
      <c r="AO471" s="1611"/>
      <c r="AP471" s="1611"/>
      <c r="AQ471" s="1611"/>
      <c r="AR471" s="1611"/>
      <c r="AS471" s="1611"/>
      <c r="AT471" s="1611"/>
      <c r="AU471" s="1611"/>
      <c r="AV471" s="1611"/>
    </row>
    <row r="472" ht="14.25" customHeight="1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I472" s="1611"/>
      <c r="AJ472" s="1611"/>
      <c r="AK472" s="1611"/>
      <c r="AL472" s="1611"/>
      <c r="AM472" s="1611"/>
      <c r="AN472" s="1611"/>
      <c r="AO472" s="1611"/>
      <c r="AP472" s="1611"/>
      <c r="AQ472" s="1611"/>
      <c r="AR472" s="1611"/>
      <c r="AS472" s="1611"/>
      <c r="AT472" s="1611"/>
      <c r="AU472" s="1611"/>
      <c r="AV472" s="1611"/>
    </row>
    <row r="473" ht="14.25" customHeight="1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I473" s="1611"/>
      <c r="AJ473" s="1611"/>
      <c r="AK473" s="1611"/>
      <c r="AL473" s="1611"/>
      <c r="AM473" s="1611"/>
      <c r="AN473" s="1611"/>
      <c r="AO473" s="1611"/>
      <c r="AP473" s="1611"/>
      <c r="AQ473" s="1611"/>
      <c r="AR473" s="1611"/>
      <c r="AS473" s="1611"/>
      <c r="AT473" s="1611"/>
      <c r="AU473" s="1611"/>
      <c r="AV473" s="1611"/>
    </row>
    <row r="474" ht="14.25" customHeight="1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I474" s="1611"/>
      <c r="AJ474" s="1611"/>
      <c r="AK474" s="1611"/>
      <c r="AL474" s="1611"/>
      <c r="AM474" s="1611"/>
      <c r="AN474" s="1611"/>
      <c r="AO474" s="1611"/>
      <c r="AP474" s="1611"/>
      <c r="AQ474" s="1611"/>
      <c r="AR474" s="1611"/>
      <c r="AS474" s="1611"/>
      <c r="AT474" s="1611"/>
      <c r="AU474" s="1611"/>
      <c r="AV474" s="1611"/>
    </row>
    <row r="475" ht="14.25" customHeight="1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I475" s="1611"/>
      <c r="AJ475" s="1611"/>
      <c r="AK475" s="1611"/>
      <c r="AL475" s="1611"/>
      <c r="AM475" s="1611"/>
      <c r="AN475" s="1611"/>
      <c r="AO475" s="1611"/>
      <c r="AP475" s="1611"/>
      <c r="AQ475" s="1611"/>
      <c r="AR475" s="1611"/>
      <c r="AS475" s="1611"/>
      <c r="AT475" s="1611"/>
      <c r="AU475" s="1611"/>
      <c r="AV475" s="1611"/>
    </row>
    <row r="476" ht="14.25" customHeight="1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I476" s="1611"/>
      <c r="AJ476" s="1611"/>
      <c r="AK476" s="1611"/>
      <c r="AL476" s="1611"/>
      <c r="AM476" s="1611"/>
      <c r="AN476" s="1611"/>
      <c r="AO476" s="1611"/>
      <c r="AP476" s="1611"/>
      <c r="AQ476" s="1611"/>
      <c r="AR476" s="1611"/>
      <c r="AS476" s="1611"/>
      <c r="AT476" s="1611"/>
      <c r="AU476" s="1611"/>
      <c r="AV476" s="1611"/>
    </row>
    <row r="477" ht="14.25" customHeight="1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I477" s="1611"/>
      <c r="AJ477" s="1611"/>
      <c r="AK477" s="1611"/>
      <c r="AL477" s="1611"/>
      <c r="AM477" s="1611"/>
      <c r="AN477" s="1611"/>
      <c r="AO477" s="1611"/>
      <c r="AP477" s="1611"/>
      <c r="AQ477" s="1611"/>
      <c r="AR477" s="1611"/>
      <c r="AS477" s="1611"/>
      <c r="AT477" s="1611"/>
      <c r="AU477" s="1611"/>
      <c r="AV477" s="1611"/>
    </row>
    <row r="478" ht="14.25" customHeight="1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I478" s="1611"/>
      <c r="AJ478" s="1611"/>
      <c r="AK478" s="1611"/>
      <c r="AL478" s="1611"/>
      <c r="AM478" s="1611"/>
      <c r="AN478" s="1611"/>
      <c r="AO478" s="1611"/>
      <c r="AP478" s="1611"/>
      <c r="AQ478" s="1611"/>
      <c r="AR478" s="1611"/>
      <c r="AS478" s="1611"/>
      <c r="AT478" s="1611"/>
      <c r="AU478" s="1611"/>
      <c r="AV478" s="1611"/>
    </row>
    <row r="479" ht="14.25" customHeight="1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I479" s="1611"/>
      <c r="AJ479" s="1611"/>
      <c r="AK479" s="1611"/>
      <c r="AL479" s="1611"/>
      <c r="AM479" s="1611"/>
      <c r="AN479" s="1611"/>
      <c r="AO479" s="1611"/>
      <c r="AP479" s="1611"/>
      <c r="AQ479" s="1611"/>
      <c r="AR479" s="1611"/>
      <c r="AS479" s="1611"/>
      <c r="AT479" s="1611"/>
      <c r="AU479" s="1611"/>
      <c r="AV479" s="1611"/>
    </row>
    <row r="480" ht="14.25" customHeight="1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I480" s="1611"/>
      <c r="AJ480" s="1611"/>
      <c r="AK480" s="1611"/>
      <c r="AL480" s="1611"/>
      <c r="AM480" s="1611"/>
      <c r="AN480" s="1611"/>
      <c r="AO480" s="1611"/>
      <c r="AP480" s="1611"/>
      <c r="AQ480" s="1611"/>
      <c r="AR480" s="1611"/>
      <c r="AS480" s="1611"/>
      <c r="AT480" s="1611"/>
      <c r="AU480" s="1611"/>
      <c r="AV480" s="1611"/>
    </row>
    <row r="481" ht="14.25" customHeight="1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I481" s="1611"/>
      <c r="AJ481" s="1611"/>
      <c r="AK481" s="1611"/>
      <c r="AL481" s="1611"/>
      <c r="AM481" s="1611"/>
      <c r="AN481" s="1611"/>
      <c r="AO481" s="1611"/>
      <c r="AP481" s="1611"/>
      <c r="AQ481" s="1611"/>
      <c r="AR481" s="1611"/>
      <c r="AS481" s="1611"/>
      <c r="AT481" s="1611"/>
      <c r="AU481" s="1611"/>
      <c r="AV481" s="1611"/>
    </row>
    <row r="482" ht="14.25" customHeight="1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I482" s="1611"/>
      <c r="AJ482" s="1611"/>
      <c r="AK482" s="1611"/>
      <c r="AL482" s="1611"/>
      <c r="AM482" s="1611"/>
      <c r="AN482" s="1611"/>
      <c r="AO482" s="1611"/>
      <c r="AP482" s="1611"/>
      <c r="AQ482" s="1611"/>
      <c r="AR482" s="1611"/>
      <c r="AS482" s="1611"/>
      <c r="AT482" s="1611"/>
      <c r="AU482" s="1611"/>
      <c r="AV482" s="1611"/>
    </row>
    <row r="483" ht="14.25" customHeight="1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I483" s="1611"/>
      <c r="AJ483" s="1611"/>
      <c r="AK483" s="1611"/>
      <c r="AL483" s="1611"/>
      <c r="AM483" s="1611"/>
      <c r="AN483" s="1611"/>
      <c r="AO483" s="1611"/>
      <c r="AP483" s="1611"/>
      <c r="AQ483" s="1611"/>
      <c r="AR483" s="1611"/>
      <c r="AS483" s="1611"/>
      <c r="AT483" s="1611"/>
      <c r="AU483" s="1611"/>
      <c r="AV483" s="1611"/>
    </row>
    <row r="484" ht="14.25" customHeight="1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I484" s="1611"/>
      <c r="AJ484" s="1611"/>
      <c r="AK484" s="1611"/>
      <c r="AL484" s="1611"/>
      <c r="AM484" s="1611"/>
      <c r="AN484" s="1611"/>
      <c r="AO484" s="1611"/>
      <c r="AP484" s="1611"/>
      <c r="AQ484" s="1611"/>
      <c r="AR484" s="1611"/>
      <c r="AS484" s="1611"/>
      <c r="AT484" s="1611"/>
      <c r="AU484" s="1611"/>
      <c r="AV484" s="1611"/>
    </row>
    <row r="485" ht="14.25" customHeight="1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I485" s="1611"/>
      <c r="AJ485" s="1611"/>
      <c r="AK485" s="1611"/>
      <c r="AL485" s="1611"/>
      <c r="AM485" s="1611"/>
      <c r="AN485" s="1611"/>
      <c r="AO485" s="1611"/>
      <c r="AP485" s="1611"/>
      <c r="AQ485" s="1611"/>
      <c r="AR485" s="1611"/>
      <c r="AS485" s="1611"/>
      <c r="AT485" s="1611"/>
      <c r="AU485" s="1611"/>
      <c r="AV485" s="1611"/>
    </row>
    <row r="486" ht="14.25" customHeight="1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I486" s="1611"/>
      <c r="AJ486" s="1611"/>
      <c r="AK486" s="1611"/>
      <c r="AL486" s="1611"/>
      <c r="AM486" s="1611"/>
      <c r="AN486" s="1611"/>
      <c r="AO486" s="1611"/>
      <c r="AP486" s="1611"/>
      <c r="AQ486" s="1611"/>
      <c r="AR486" s="1611"/>
      <c r="AS486" s="1611"/>
      <c r="AT486" s="1611"/>
      <c r="AU486" s="1611"/>
      <c r="AV486" s="1611"/>
    </row>
    <row r="487" ht="14.25" customHeight="1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I487" s="1611"/>
      <c r="AJ487" s="1611"/>
      <c r="AK487" s="1611"/>
      <c r="AL487" s="1611"/>
      <c r="AM487" s="1611"/>
      <c r="AN487" s="1611"/>
      <c r="AO487" s="1611"/>
      <c r="AP487" s="1611"/>
      <c r="AQ487" s="1611"/>
      <c r="AR487" s="1611"/>
      <c r="AS487" s="1611"/>
      <c r="AT487" s="1611"/>
      <c r="AU487" s="1611"/>
      <c r="AV487" s="1611"/>
    </row>
    <row r="488" ht="14.25" customHeight="1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I488" s="1611"/>
      <c r="AJ488" s="1611"/>
      <c r="AK488" s="1611"/>
      <c r="AL488" s="1611"/>
      <c r="AM488" s="1611"/>
      <c r="AN488" s="1611"/>
      <c r="AO488" s="1611"/>
      <c r="AP488" s="1611"/>
      <c r="AQ488" s="1611"/>
      <c r="AR488" s="1611"/>
      <c r="AS488" s="1611"/>
      <c r="AT488" s="1611"/>
      <c r="AU488" s="1611"/>
      <c r="AV488" s="1611"/>
    </row>
    <row r="489" ht="14.25" customHeight="1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I489" s="1611"/>
      <c r="AJ489" s="1611"/>
      <c r="AK489" s="1611"/>
      <c r="AL489" s="1611"/>
      <c r="AM489" s="1611"/>
      <c r="AN489" s="1611"/>
      <c r="AO489" s="1611"/>
      <c r="AP489" s="1611"/>
      <c r="AQ489" s="1611"/>
      <c r="AR489" s="1611"/>
      <c r="AS489" s="1611"/>
      <c r="AT489" s="1611"/>
      <c r="AU489" s="1611"/>
      <c r="AV489" s="1611"/>
    </row>
    <row r="490" ht="14.25" customHeight="1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I490" s="1611"/>
      <c r="AJ490" s="1611"/>
      <c r="AK490" s="1611"/>
      <c r="AL490" s="1611"/>
      <c r="AM490" s="1611"/>
      <c r="AN490" s="1611"/>
      <c r="AO490" s="1611"/>
      <c r="AP490" s="1611"/>
      <c r="AQ490" s="1611"/>
      <c r="AR490" s="1611"/>
      <c r="AS490" s="1611"/>
      <c r="AT490" s="1611"/>
      <c r="AU490" s="1611"/>
      <c r="AV490" s="1611"/>
    </row>
    <row r="491" ht="14.25" customHeight="1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I491" s="1611"/>
      <c r="AJ491" s="1611"/>
      <c r="AK491" s="1611"/>
      <c r="AL491" s="1611"/>
      <c r="AM491" s="1611"/>
      <c r="AN491" s="1611"/>
      <c r="AO491" s="1611"/>
      <c r="AP491" s="1611"/>
      <c r="AQ491" s="1611"/>
      <c r="AR491" s="1611"/>
      <c r="AS491" s="1611"/>
      <c r="AT491" s="1611"/>
      <c r="AU491" s="1611"/>
      <c r="AV491" s="1611"/>
    </row>
    <row r="492" ht="14.25" customHeight="1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I492" s="1611"/>
      <c r="AJ492" s="1611"/>
      <c r="AK492" s="1611"/>
      <c r="AL492" s="1611"/>
      <c r="AM492" s="1611"/>
      <c r="AN492" s="1611"/>
      <c r="AO492" s="1611"/>
      <c r="AP492" s="1611"/>
      <c r="AQ492" s="1611"/>
      <c r="AR492" s="1611"/>
      <c r="AS492" s="1611"/>
      <c r="AT492" s="1611"/>
      <c r="AU492" s="1611"/>
      <c r="AV492" s="1611"/>
    </row>
    <row r="493" ht="14.25" customHeight="1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I493" s="1611"/>
      <c r="AJ493" s="1611"/>
      <c r="AK493" s="1611"/>
      <c r="AL493" s="1611"/>
      <c r="AM493" s="1611"/>
      <c r="AN493" s="1611"/>
      <c r="AO493" s="1611"/>
      <c r="AP493" s="1611"/>
      <c r="AQ493" s="1611"/>
      <c r="AR493" s="1611"/>
      <c r="AS493" s="1611"/>
      <c r="AT493" s="1611"/>
      <c r="AU493" s="1611"/>
      <c r="AV493" s="1611"/>
    </row>
    <row r="494" ht="14.25" customHeight="1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I494" s="1611"/>
      <c r="AJ494" s="1611"/>
      <c r="AK494" s="1611"/>
      <c r="AL494" s="1611"/>
      <c r="AM494" s="1611"/>
      <c r="AN494" s="1611"/>
      <c r="AO494" s="1611"/>
      <c r="AP494" s="1611"/>
      <c r="AQ494" s="1611"/>
      <c r="AR494" s="1611"/>
      <c r="AS494" s="1611"/>
      <c r="AT494" s="1611"/>
      <c r="AU494" s="1611"/>
      <c r="AV494" s="1611"/>
    </row>
    <row r="495" ht="14.25" customHeight="1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I495" s="1611"/>
      <c r="AJ495" s="1611"/>
      <c r="AK495" s="1611"/>
      <c r="AL495" s="1611"/>
      <c r="AM495" s="1611"/>
      <c r="AN495" s="1611"/>
      <c r="AO495" s="1611"/>
      <c r="AP495" s="1611"/>
      <c r="AQ495" s="1611"/>
      <c r="AR495" s="1611"/>
      <c r="AS495" s="1611"/>
      <c r="AT495" s="1611"/>
      <c r="AU495" s="1611"/>
      <c r="AV495" s="1611"/>
    </row>
    <row r="496" ht="14.25" customHeight="1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I496" s="1611"/>
      <c r="AJ496" s="1611"/>
      <c r="AK496" s="1611"/>
      <c r="AL496" s="1611"/>
      <c r="AM496" s="1611"/>
      <c r="AN496" s="1611"/>
      <c r="AO496" s="1611"/>
      <c r="AP496" s="1611"/>
      <c r="AQ496" s="1611"/>
      <c r="AR496" s="1611"/>
      <c r="AS496" s="1611"/>
      <c r="AT496" s="1611"/>
      <c r="AU496" s="1611"/>
      <c r="AV496" s="1611"/>
    </row>
    <row r="497" ht="14.25" customHeight="1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I497" s="1611"/>
      <c r="AJ497" s="1611"/>
      <c r="AK497" s="1611"/>
      <c r="AL497" s="1611"/>
      <c r="AM497" s="1611"/>
      <c r="AN497" s="1611"/>
      <c r="AO497" s="1611"/>
      <c r="AP497" s="1611"/>
      <c r="AQ497" s="1611"/>
      <c r="AR497" s="1611"/>
      <c r="AS497" s="1611"/>
      <c r="AT497" s="1611"/>
      <c r="AU497" s="1611"/>
      <c r="AV497" s="1611"/>
    </row>
    <row r="498" ht="14.25" customHeight="1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I498" s="1611"/>
      <c r="AJ498" s="1611"/>
      <c r="AK498" s="1611"/>
      <c r="AL498" s="1611"/>
      <c r="AM498" s="1611"/>
      <c r="AN498" s="1611"/>
      <c r="AO498" s="1611"/>
      <c r="AP498" s="1611"/>
      <c r="AQ498" s="1611"/>
      <c r="AR498" s="1611"/>
      <c r="AS498" s="1611"/>
      <c r="AT498" s="1611"/>
      <c r="AU498" s="1611"/>
      <c r="AV498" s="1611"/>
    </row>
    <row r="499" ht="14.25" customHeight="1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I499" s="1611"/>
      <c r="AJ499" s="1611"/>
      <c r="AK499" s="1611"/>
      <c r="AL499" s="1611"/>
      <c r="AM499" s="1611"/>
      <c r="AN499" s="1611"/>
      <c r="AO499" s="1611"/>
      <c r="AP499" s="1611"/>
      <c r="AQ499" s="1611"/>
      <c r="AR499" s="1611"/>
      <c r="AS499" s="1611"/>
      <c r="AT499" s="1611"/>
      <c r="AU499" s="1611"/>
      <c r="AV499" s="1611"/>
    </row>
    <row r="500" ht="14.25" customHeight="1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I500" s="1611"/>
      <c r="AJ500" s="1611"/>
      <c r="AK500" s="1611"/>
      <c r="AL500" s="1611"/>
      <c r="AM500" s="1611"/>
      <c r="AN500" s="1611"/>
      <c r="AO500" s="1611"/>
      <c r="AP500" s="1611"/>
      <c r="AQ500" s="1611"/>
      <c r="AR500" s="1611"/>
      <c r="AS500" s="1611"/>
      <c r="AT500" s="1611"/>
      <c r="AU500" s="1611"/>
      <c r="AV500" s="1611"/>
    </row>
    <row r="501" ht="14.25" customHeight="1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I501" s="1611"/>
      <c r="AJ501" s="1611"/>
      <c r="AK501" s="1611"/>
      <c r="AL501" s="1611"/>
      <c r="AM501" s="1611"/>
      <c r="AN501" s="1611"/>
      <c r="AO501" s="1611"/>
      <c r="AP501" s="1611"/>
      <c r="AQ501" s="1611"/>
      <c r="AR501" s="1611"/>
      <c r="AS501" s="1611"/>
      <c r="AT501" s="1611"/>
      <c r="AU501" s="1611"/>
      <c r="AV501" s="1611"/>
    </row>
    <row r="502" ht="14.25" customHeight="1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I502" s="1611"/>
      <c r="AJ502" s="1611"/>
      <c r="AK502" s="1611"/>
      <c r="AL502" s="1611"/>
      <c r="AM502" s="1611"/>
      <c r="AN502" s="1611"/>
      <c r="AO502" s="1611"/>
      <c r="AP502" s="1611"/>
      <c r="AQ502" s="1611"/>
      <c r="AR502" s="1611"/>
      <c r="AS502" s="1611"/>
      <c r="AT502" s="1611"/>
      <c r="AU502" s="1611"/>
      <c r="AV502" s="1611"/>
    </row>
    <row r="503" ht="14.25" customHeight="1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I503" s="1611"/>
      <c r="AJ503" s="1611"/>
      <c r="AK503" s="1611"/>
      <c r="AL503" s="1611"/>
      <c r="AM503" s="1611"/>
      <c r="AN503" s="1611"/>
      <c r="AO503" s="1611"/>
      <c r="AP503" s="1611"/>
      <c r="AQ503" s="1611"/>
      <c r="AR503" s="1611"/>
      <c r="AS503" s="1611"/>
      <c r="AT503" s="1611"/>
      <c r="AU503" s="1611"/>
      <c r="AV503" s="1611"/>
    </row>
    <row r="504" ht="14.25" customHeight="1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I504" s="1611"/>
      <c r="AJ504" s="1611"/>
      <c r="AK504" s="1611"/>
      <c r="AL504" s="1611"/>
      <c r="AM504" s="1611"/>
      <c r="AN504" s="1611"/>
      <c r="AO504" s="1611"/>
      <c r="AP504" s="1611"/>
      <c r="AQ504" s="1611"/>
      <c r="AR504" s="1611"/>
      <c r="AS504" s="1611"/>
      <c r="AT504" s="1611"/>
      <c r="AU504" s="1611"/>
      <c r="AV504" s="1611"/>
    </row>
    <row r="505" ht="14.25" customHeight="1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I505" s="1611"/>
      <c r="AJ505" s="1611"/>
      <c r="AK505" s="1611"/>
      <c r="AL505" s="1611"/>
      <c r="AM505" s="1611"/>
      <c r="AN505" s="1611"/>
      <c r="AO505" s="1611"/>
      <c r="AP505" s="1611"/>
      <c r="AQ505" s="1611"/>
      <c r="AR505" s="1611"/>
      <c r="AS505" s="1611"/>
      <c r="AT505" s="1611"/>
      <c r="AU505" s="1611"/>
      <c r="AV505" s="1611"/>
    </row>
    <row r="506" ht="14.25" customHeight="1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I506" s="1611"/>
      <c r="AJ506" s="1611"/>
      <c r="AK506" s="1611"/>
      <c r="AL506" s="1611"/>
      <c r="AM506" s="1611"/>
      <c r="AN506" s="1611"/>
      <c r="AO506" s="1611"/>
      <c r="AP506" s="1611"/>
      <c r="AQ506" s="1611"/>
      <c r="AR506" s="1611"/>
      <c r="AS506" s="1611"/>
      <c r="AT506" s="1611"/>
      <c r="AU506" s="1611"/>
      <c r="AV506" s="1611"/>
    </row>
    <row r="507" ht="14.25" customHeight="1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I507" s="1611"/>
      <c r="AJ507" s="1611"/>
      <c r="AK507" s="1611"/>
      <c r="AL507" s="1611"/>
      <c r="AM507" s="1611"/>
      <c r="AN507" s="1611"/>
      <c r="AO507" s="1611"/>
      <c r="AP507" s="1611"/>
      <c r="AQ507" s="1611"/>
      <c r="AR507" s="1611"/>
      <c r="AS507" s="1611"/>
      <c r="AT507" s="1611"/>
      <c r="AU507" s="1611"/>
      <c r="AV507" s="1611"/>
    </row>
    <row r="508" ht="14.25" customHeight="1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I508" s="1611"/>
      <c r="AJ508" s="1611"/>
      <c r="AK508" s="1611"/>
      <c r="AL508" s="1611"/>
      <c r="AM508" s="1611"/>
      <c r="AN508" s="1611"/>
      <c r="AO508" s="1611"/>
      <c r="AP508" s="1611"/>
      <c r="AQ508" s="1611"/>
      <c r="AR508" s="1611"/>
      <c r="AS508" s="1611"/>
      <c r="AT508" s="1611"/>
      <c r="AU508" s="1611"/>
      <c r="AV508" s="1611"/>
    </row>
    <row r="509" ht="14.25" customHeight="1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I509" s="1611"/>
      <c r="AJ509" s="1611"/>
      <c r="AK509" s="1611"/>
      <c r="AL509" s="1611"/>
      <c r="AM509" s="1611"/>
      <c r="AN509" s="1611"/>
      <c r="AO509" s="1611"/>
      <c r="AP509" s="1611"/>
      <c r="AQ509" s="1611"/>
      <c r="AR509" s="1611"/>
      <c r="AS509" s="1611"/>
      <c r="AT509" s="1611"/>
      <c r="AU509" s="1611"/>
      <c r="AV509" s="1611"/>
    </row>
    <row r="510" ht="14.25" customHeight="1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I510" s="1611"/>
      <c r="AJ510" s="1611"/>
      <c r="AK510" s="1611"/>
      <c r="AL510" s="1611"/>
      <c r="AM510" s="1611"/>
      <c r="AN510" s="1611"/>
      <c r="AO510" s="1611"/>
      <c r="AP510" s="1611"/>
      <c r="AQ510" s="1611"/>
      <c r="AR510" s="1611"/>
      <c r="AS510" s="1611"/>
      <c r="AT510" s="1611"/>
      <c r="AU510" s="1611"/>
      <c r="AV510" s="1611"/>
    </row>
    <row r="511" ht="14.25" customHeight="1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I511" s="1611"/>
      <c r="AJ511" s="1611"/>
      <c r="AK511" s="1611"/>
      <c r="AL511" s="1611"/>
      <c r="AM511" s="1611"/>
      <c r="AN511" s="1611"/>
      <c r="AO511" s="1611"/>
      <c r="AP511" s="1611"/>
      <c r="AQ511" s="1611"/>
      <c r="AR511" s="1611"/>
      <c r="AS511" s="1611"/>
      <c r="AT511" s="1611"/>
      <c r="AU511" s="1611"/>
      <c r="AV511" s="1611"/>
    </row>
    <row r="512" ht="14.25" customHeight="1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I512" s="1611"/>
      <c r="AJ512" s="1611"/>
      <c r="AK512" s="1611"/>
      <c r="AL512" s="1611"/>
      <c r="AM512" s="1611"/>
      <c r="AN512" s="1611"/>
      <c r="AO512" s="1611"/>
      <c r="AP512" s="1611"/>
      <c r="AQ512" s="1611"/>
      <c r="AR512" s="1611"/>
      <c r="AS512" s="1611"/>
      <c r="AT512" s="1611"/>
      <c r="AU512" s="1611"/>
      <c r="AV512" s="1611"/>
    </row>
    <row r="513" ht="14.25" customHeight="1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I513" s="1611"/>
      <c r="AJ513" s="1611"/>
      <c r="AK513" s="1611"/>
      <c r="AL513" s="1611"/>
      <c r="AM513" s="1611"/>
      <c r="AN513" s="1611"/>
      <c r="AO513" s="1611"/>
      <c r="AP513" s="1611"/>
      <c r="AQ513" s="1611"/>
      <c r="AR513" s="1611"/>
      <c r="AS513" s="1611"/>
      <c r="AT513" s="1611"/>
      <c r="AU513" s="1611"/>
      <c r="AV513" s="1611"/>
    </row>
    <row r="514" ht="14.25" customHeight="1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I514" s="1611"/>
      <c r="AJ514" s="1611"/>
      <c r="AK514" s="1611"/>
      <c r="AL514" s="1611"/>
      <c r="AM514" s="1611"/>
      <c r="AN514" s="1611"/>
      <c r="AO514" s="1611"/>
      <c r="AP514" s="1611"/>
      <c r="AQ514" s="1611"/>
      <c r="AR514" s="1611"/>
      <c r="AS514" s="1611"/>
      <c r="AT514" s="1611"/>
      <c r="AU514" s="1611"/>
      <c r="AV514" s="1611"/>
    </row>
    <row r="515" ht="14.25" customHeight="1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I515" s="1611"/>
      <c r="AJ515" s="1611"/>
      <c r="AK515" s="1611"/>
      <c r="AL515" s="1611"/>
      <c r="AM515" s="1611"/>
      <c r="AN515" s="1611"/>
      <c r="AO515" s="1611"/>
      <c r="AP515" s="1611"/>
      <c r="AQ515" s="1611"/>
      <c r="AR515" s="1611"/>
      <c r="AS515" s="1611"/>
      <c r="AT515" s="1611"/>
      <c r="AU515" s="1611"/>
      <c r="AV515" s="1611"/>
    </row>
    <row r="516" ht="14.25" customHeight="1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I516" s="1611"/>
      <c r="AJ516" s="1611"/>
      <c r="AK516" s="1611"/>
      <c r="AL516" s="1611"/>
      <c r="AM516" s="1611"/>
      <c r="AN516" s="1611"/>
      <c r="AO516" s="1611"/>
      <c r="AP516" s="1611"/>
      <c r="AQ516" s="1611"/>
      <c r="AR516" s="1611"/>
      <c r="AS516" s="1611"/>
      <c r="AT516" s="1611"/>
      <c r="AU516" s="1611"/>
      <c r="AV516" s="1611"/>
    </row>
    <row r="517" ht="14.25" customHeight="1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I517" s="1611"/>
      <c r="AJ517" s="1611"/>
      <c r="AK517" s="1611"/>
      <c r="AL517" s="1611"/>
      <c r="AM517" s="1611"/>
      <c r="AN517" s="1611"/>
      <c r="AO517" s="1611"/>
      <c r="AP517" s="1611"/>
      <c r="AQ517" s="1611"/>
      <c r="AR517" s="1611"/>
      <c r="AS517" s="1611"/>
      <c r="AT517" s="1611"/>
      <c r="AU517" s="1611"/>
      <c r="AV517" s="1611"/>
    </row>
    <row r="518" ht="14.25" customHeight="1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I518" s="1611"/>
      <c r="AJ518" s="1611"/>
      <c r="AK518" s="1611"/>
      <c r="AL518" s="1611"/>
      <c r="AM518" s="1611"/>
      <c r="AN518" s="1611"/>
      <c r="AO518" s="1611"/>
      <c r="AP518" s="1611"/>
      <c r="AQ518" s="1611"/>
      <c r="AR518" s="1611"/>
      <c r="AS518" s="1611"/>
      <c r="AT518" s="1611"/>
      <c r="AU518" s="1611"/>
      <c r="AV518" s="1611"/>
    </row>
    <row r="519" ht="14.25" customHeight="1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I519" s="1611"/>
      <c r="AJ519" s="1611"/>
      <c r="AK519" s="1611"/>
      <c r="AL519" s="1611"/>
      <c r="AM519" s="1611"/>
      <c r="AN519" s="1611"/>
      <c r="AO519" s="1611"/>
      <c r="AP519" s="1611"/>
      <c r="AQ519" s="1611"/>
      <c r="AR519" s="1611"/>
      <c r="AS519" s="1611"/>
      <c r="AT519" s="1611"/>
      <c r="AU519" s="1611"/>
      <c r="AV519" s="1611"/>
    </row>
    <row r="520" ht="14.25" customHeight="1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I520" s="1611"/>
      <c r="AJ520" s="1611"/>
      <c r="AK520" s="1611"/>
      <c r="AL520" s="1611"/>
      <c r="AM520" s="1611"/>
      <c r="AN520" s="1611"/>
      <c r="AO520" s="1611"/>
      <c r="AP520" s="1611"/>
      <c r="AQ520" s="1611"/>
      <c r="AR520" s="1611"/>
      <c r="AS520" s="1611"/>
      <c r="AT520" s="1611"/>
      <c r="AU520" s="1611"/>
      <c r="AV520" s="1611"/>
    </row>
    <row r="521" ht="14.25" customHeight="1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I521" s="1611"/>
      <c r="AJ521" s="1611"/>
      <c r="AK521" s="1611"/>
      <c r="AL521" s="1611"/>
      <c r="AM521" s="1611"/>
      <c r="AN521" s="1611"/>
      <c r="AO521" s="1611"/>
      <c r="AP521" s="1611"/>
      <c r="AQ521" s="1611"/>
      <c r="AR521" s="1611"/>
      <c r="AS521" s="1611"/>
      <c r="AT521" s="1611"/>
      <c r="AU521" s="1611"/>
      <c r="AV521" s="1611"/>
    </row>
    <row r="522" ht="14.25" customHeight="1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I522" s="1611"/>
      <c r="AJ522" s="1611"/>
      <c r="AK522" s="1611"/>
      <c r="AL522" s="1611"/>
      <c r="AM522" s="1611"/>
      <c r="AN522" s="1611"/>
      <c r="AO522" s="1611"/>
      <c r="AP522" s="1611"/>
      <c r="AQ522" s="1611"/>
      <c r="AR522" s="1611"/>
      <c r="AS522" s="1611"/>
      <c r="AT522" s="1611"/>
      <c r="AU522" s="1611"/>
      <c r="AV522" s="1611"/>
    </row>
    <row r="523" ht="14.25" customHeight="1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I523" s="1611"/>
      <c r="AJ523" s="1611"/>
      <c r="AK523" s="1611"/>
      <c r="AL523" s="1611"/>
      <c r="AM523" s="1611"/>
      <c r="AN523" s="1611"/>
      <c r="AO523" s="1611"/>
      <c r="AP523" s="1611"/>
      <c r="AQ523" s="1611"/>
      <c r="AR523" s="1611"/>
      <c r="AS523" s="1611"/>
      <c r="AT523" s="1611"/>
      <c r="AU523" s="1611"/>
      <c r="AV523" s="1611"/>
    </row>
    <row r="524" ht="14.25" customHeight="1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I524" s="1611"/>
      <c r="AJ524" s="1611"/>
      <c r="AK524" s="1611"/>
      <c r="AL524" s="1611"/>
      <c r="AM524" s="1611"/>
      <c r="AN524" s="1611"/>
      <c r="AO524" s="1611"/>
      <c r="AP524" s="1611"/>
      <c r="AQ524" s="1611"/>
      <c r="AR524" s="1611"/>
      <c r="AS524" s="1611"/>
      <c r="AT524" s="1611"/>
      <c r="AU524" s="1611"/>
      <c r="AV524" s="1611"/>
    </row>
    <row r="525" ht="14.25" customHeight="1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I525" s="1611"/>
      <c r="AJ525" s="1611"/>
      <c r="AK525" s="1611"/>
      <c r="AL525" s="1611"/>
      <c r="AM525" s="1611"/>
      <c r="AN525" s="1611"/>
      <c r="AO525" s="1611"/>
      <c r="AP525" s="1611"/>
      <c r="AQ525" s="1611"/>
      <c r="AR525" s="1611"/>
      <c r="AS525" s="1611"/>
      <c r="AT525" s="1611"/>
      <c r="AU525" s="1611"/>
      <c r="AV525" s="1611"/>
    </row>
    <row r="526" ht="14.25" customHeight="1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I526" s="1611"/>
      <c r="AJ526" s="1611"/>
      <c r="AK526" s="1611"/>
      <c r="AL526" s="1611"/>
      <c r="AM526" s="1611"/>
      <c r="AN526" s="1611"/>
      <c r="AO526" s="1611"/>
      <c r="AP526" s="1611"/>
      <c r="AQ526" s="1611"/>
      <c r="AR526" s="1611"/>
      <c r="AS526" s="1611"/>
      <c r="AT526" s="1611"/>
      <c r="AU526" s="1611"/>
      <c r="AV526" s="1611"/>
    </row>
    <row r="527" ht="14.25" customHeight="1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I527" s="1611"/>
      <c r="AJ527" s="1611"/>
      <c r="AK527" s="1611"/>
      <c r="AL527" s="1611"/>
      <c r="AM527" s="1611"/>
      <c r="AN527" s="1611"/>
      <c r="AO527" s="1611"/>
      <c r="AP527" s="1611"/>
      <c r="AQ527" s="1611"/>
      <c r="AR527" s="1611"/>
      <c r="AS527" s="1611"/>
      <c r="AT527" s="1611"/>
      <c r="AU527" s="1611"/>
      <c r="AV527" s="1611"/>
    </row>
    <row r="528" ht="14.25" customHeight="1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I528" s="1611"/>
      <c r="AJ528" s="1611"/>
      <c r="AK528" s="1611"/>
      <c r="AL528" s="1611"/>
      <c r="AM528" s="1611"/>
      <c r="AN528" s="1611"/>
      <c r="AO528" s="1611"/>
      <c r="AP528" s="1611"/>
      <c r="AQ528" s="1611"/>
      <c r="AR528" s="1611"/>
      <c r="AS528" s="1611"/>
      <c r="AT528" s="1611"/>
      <c r="AU528" s="1611"/>
      <c r="AV528" s="1611"/>
    </row>
    <row r="529" ht="14.25" customHeight="1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I529" s="1611"/>
      <c r="AJ529" s="1611"/>
      <c r="AK529" s="1611"/>
      <c r="AL529" s="1611"/>
      <c r="AM529" s="1611"/>
      <c r="AN529" s="1611"/>
      <c r="AO529" s="1611"/>
      <c r="AP529" s="1611"/>
      <c r="AQ529" s="1611"/>
      <c r="AR529" s="1611"/>
      <c r="AS529" s="1611"/>
      <c r="AT529" s="1611"/>
      <c r="AU529" s="1611"/>
      <c r="AV529" s="1611"/>
    </row>
    <row r="530" ht="14.25" customHeight="1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I530" s="1611"/>
      <c r="AJ530" s="1611"/>
      <c r="AK530" s="1611"/>
      <c r="AL530" s="1611"/>
      <c r="AM530" s="1611"/>
      <c r="AN530" s="1611"/>
      <c r="AO530" s="1611"/>
      <c r="AP530" s="1611"/>
      <c r="AQ530" s="1611"/>
      <c r="AR530" s="1611"/>
      <c r="AS530" s="1611"/>
      <c r="AT530" s="1611"/>
      <c r="AU530" s="1611"/>
      <c r="AV530" s="1611"/>
    </row>
    <row r="531" ht="14.25" customHeight="1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I531" s="1611"/>
      <c r="AJ531" s="1611"/>
      <c r="AK531" s="1611"/>
      <c r="AL531" s="1611"/>
      <c r="AM531" s="1611"/>
      <c r="AN531" s="1611"/>
      <c r="AO531" s="1611"/>
      <c r="AP531" s="1611"/>
      <c r="AQ531" s="1611"/>
      <c r="AR531" s="1611"/>
      <c r="AS531" s="1611"/>
      <c r="AT531" s="1611"/>
      <c r="AU531" s="1611"/>
      <c r="AV531" s="1611"/>
    </row>
    <row r="532" ht="14.25" customHeight="1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I532" s="1611"/>
      <c r="AJ532" s="1611"/>
      <c r="AK532" s="1611"/>
      <c r="AL532" s="1611"/>
      <c r="AM532" s="1611"/>
      <c r="AN532" s="1611"/>
      <c r="AO532" s="1611"/>
      <c r="AP532" s="1611"/>
      <c r="AQ532" s="1611"/>
      <c r="AR532" s="1611"/>
      <c r="AS532" s="1611"/>
      <c r="AT532" s="1611"/>
      <c r="AU532" s="1611"/>
      <c r="AV532" s="1611"/>
    </row>
    <row r="533" ht="14.25" customHeight="1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I533" s="1611"/>
      <c r="AJ533" s="1611"/>
      <c r="AK533" s="1611"/>
      <c r="AL533" s="1611"/>
      <c r="AM533" s="1611"/>
      <c r="AN533" s="1611"/>
      <c r="AO533" s="1611"/>
      <c r="AP533" s="1611"/>
      <c r="AQ533" s="1611"/>
      <c r="AR533" s="1611"/>
      <c r="AS533" s="1611"/>
      <c r="AT533" s="1611"/>
      <c r="AU533" s="1611"/>
      <c r="AV533" s="1611"/>
    </row>
    <row r="534" ht="14.25" customHeight="1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I534" s="1611"/>
      <c r="AJ534" s="1611"/>
      <c r="AK534" s="1611"/>
      <c r="AL534" s="1611"/>
      <c r="AM534" s="1611"/>
      <c r="AN534" s="1611"/>
      <c r="AO534" s="1611"/>
      <c r="AP534" s="1611"/>
      <c r="AQ534" s="1611"/>
      <c r="AR534" s="1611"/>
      <c r="AS534" s="1611"/>
      <c r="AT534" s="1611"/>
      <c r="AU534" s="1611"/>
      <c r="AV534" s="1611"/>
    </row>
    <row r="535" ht="14.25" customHeight="1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I535" s="1611"/>
      <c r="AJ535" s="1611"/>
      <c r="AK535" s="1611"/>
      <c r="AL535" s="1611"/>
      <c r="AM535" s="1611"/>
      <c r="AN535" s="1611"/>
      <c r="AO535" s="1611"/>
      <c r="AP535" s="1611"/>
      <c r="AQ535" s="1611"/>
      <c r="AR535" s="1611"/>
      <c r="AS535" s="1611"/>
      <c r="AT535" s="1611"/>
      <c r="AU535" s="1611"/>
      <c r="AV535" s="1611"/>
    </row>
    <row r="536" ht="14.25" customHeight="1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I536" s="1611"/>
      <c r="AJ536" s="1611"/>
      <c r="AK536" s="1611"/>
      <c r="AL536" s="1611"/>
      <c r="AM536" s="1611"/>
      <c r="AN536" s="1611"/>
      <c r="AO536" s="1611"/>
      <c r="AP536" s="1611"/>
      <c r="AQ536" s="1611"/>
      <c r="AR536" s="1611"/>
      <c r="AS536" s="1611"/>
      <c r="AT536" s="1611"/>
      <c r="AU536" s="1611"/>
      <c r="AV536" s="1611"/>
    </row>
    <row r="537" ht="14.25" customHeight="1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I537" s="1611"/>
      <c r="AJ537" s="1611"/>
      <c r="AK537" s="1611"/>
      <c r="AL537" s="1611"/>
      <c r="AM537" s="1611"/>
      <c r="AN537" s="1611"/>
      <c r="AO537" s="1611"/>
      <c r="AP537" s="1611"/>
      <c r="AQ537" s="1611"/>
      <c r="AR537" s="1611"/>
      <c r="AS537" s="1611"/>
      <c r="AT537" s="1611"/>
      <c r="AU537" s="1611"/>
      <c r="AV537" s="1611"/>
    </row>
    <row r="538" ht="14.25" customHeight="1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I538" s="1611"/>
      <c r="AJ538" s="1611"/>
      <c r="AK538" s="1611"/>
      <c r="AL538" s="1611"/>
      <c r="AM538" s="1611"/>
      <c r="AN538" s="1611"/>
      <c r="AO538" s="1611"/>
      <c r="AP538" s="1611"/>
      <c r="AQ538" s="1611"/>
      <c r="AR538" s="1611"/>
      <c r="AS538" s="1611"/>
      <c r="AT538" s="1611"/>
      <c r="AU538" s="1611"/>
      <c r="AV538" s="1611"/>
    </row>
    <row r="539" ht="14.25" customHeight="1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I539" s="1611"/>
      <c r="AJ539" s="1611"/>
      <c r="AK539" s="1611"/>
      <c r="AL539" s="1611"/>
      <c r="AM539" s="1611"/>
      <c r="AN539" s="1611"/>
      <c r="AO539" s="1611"/>
      <c r="AP539" s="1611"/>
      <c r="AQ539" s="1611"/>
      <c r="AR539" s="1611"/>
      <c r="AS539" s="1611"/>
      <c r="AT539" s="1611"/>
      <c r="AU539" s="1611"/>
      <c r="AV539" s="1611"/>
    </row>
    <row r="540" ht="14.25" customHeight="1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I540" s="1611"/>
      <c r="AJ540" s="1611"/>
      <c r="AK540" s="1611"/>
      <c r="AL540" s="1611"/>
      <c r="AM540" s="1611"/>
      <c r="AN540" s="1611"/>
      <c r="AO540" s="1611"/>
      <c r="AP540" s="1611"/>
      <c r="AQ540" s="1611"/>
      <c r="AR540" s="1611"/>
      <c r="AS540" s="1611"/>
      <c r="AT540" s="1611"/>
      <c r="AU540" s="1611"/>
      <c r="AV540" s="1611"/>
    </row>
    <row r="541" ht="14.25" customHeight="1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I541" s="1611"/>
      <c r="AJ541" s="1611"/>
      <c r="AK541" s="1611"/>
      <c r="AL541" s="1611"/>
      <c r="AM541" s="1611"/>
      <c r="AN541" s="1611"/>
      <c r="AO541" s="1611"/>
      <c r="AP541" s="1611"/>
      <c r="AQ541" s="1611"/>
      <c r="AR541" s="1611"/>
      <c r="AS541" s="1611"/>
      <c r="AT541" s="1611"/>
      <c r="AU541" s="1611"/>
      <c r="AV541" s="1611"/>
    </row>
    <row r="542" ht="14.25" customHeight="1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I542" s="1611"/>
      <c r="AJ542" s="1611"/>
      <c r="AK542" s="1611"/>
      <c r="AL542" s="1611"/>
      <c r="AM542" s="1611"/>
      <c r="AN542" s="1611"/>
      <c r="AO542" s="1611"/>
      <c r="AP542" s="1611"/>
      <c r="AQ542" s="1611"/>
      <c r="AR542" s="1611"/>
      <c r="AS542" s="1611"/>
      <c r="AT542" s="1611"/>
      <c r="AU542" s="1611"/>
      <c r="AV542" s="1611"/>
    </row>
    <row r="543" ht="14.25" customHeight="1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I543" s="1611"/>
      <c r="AJ543" s="1611"/>
      <c r="AK543" s="1611"/>
      <c r="AL543" s="1611"/>
      <c r="AM543" s="1611"/>
      <c r="AN543" s="1611"/>
      <c r="AO543" s="1611"/>
      <c r="AP543" s="1611"/>
      <c r="AQ543" s="1611"/>
      <c r="AR543" s="1611"/>
      <c r="AS543" s="1611"/>
      <c r="AT543" s="1611"/>
      <c r="AU543" s="1611"/>
      <c r="AV543" s="1611"/>
    </row>
    <row r="544" ht="14.25" customHeight="1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I544" s="1611"/>
      <c r="AJ544" s="1611"/>
      <c r="AK544" s="1611"/>
      <c r="AL544" s="1611"/>
      <c r="AM544" s="1611"/>
      <c r="AN544" s="1611"/>
      <c r="AO544" s="1611"/>
      <c r="AP544" s="1611"/>
      <c r="AQ544" s="1611"/>
      <c r="AR544" s="1611"/>
      <c r="AS544" s="1611"/>
      <c r="AT544" s="1611"/>
      <c r="AU544" s="1611"/>
      <c r="AV544" s="1611"/>
    </row>
    <row r="545" ht="14.25" customHeight="1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I545" s="1611"/>
      <c r="AJ545" s="1611"/>
      <c r="AK545" s="1611"/>
      <c r="AL545" s="1611"/>
      <c r="AM545" s="1611"/>
      <c r="AN545" s="1611"/>
      <c r="AO545" s="1611"/>
      <c r="AP545" s="1611"/>
      <c r="AQ545" s="1611"/>
      <c r="AR545" s="1611"/>
      <c r="AS545" s="1611"/>
      <c r="AT545" s="1611"/>
      <c r="AU545" s="1611"/>
      <c r="AV545" s="1611"/>
    </row>
    <row r="546" ht="14.25" customHeight="1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I546" s="1611"/>
      <c r="AJ546" s="1611"/>
      <c r="AK546" s="1611"/>
      <c r="AL546" s="1611"/>
      <c r="AM546" s="1611"/>
      <c r="AN546" s="1611"/>
      <c r="AO546" s="1611"/>
      <c r="AP546" s="1611"/>
      <c r="AQ546" s="1611"/>
      <c r="AR546" s="1611"/>
      <c r="AS546" s="1611"/>
      <c r="AT546" s="1611"/>
      <c r="AU546" s="1611"/>
      <c r="AV546" s="1611"/>
    </row>
    <row r="547" ht="14.25" customHeight="1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I547" s="1611"/>
      <c r="AJ547" s="1611"/>
      <c r="AK547" s="1611"/>
      <c r="AL547" s="1611"/>
      <c r="AM547" s="1611"/>
      <c r="AN547" s="1611"/>
      <c r="AO547" s="1611"/>
      <c r="AP547" s="1611"/>
      <c r="AQ547" s="1611"/>
      <c r="AR547" s="1611"/>
      <c r="AS547" s="1611"/>
      <c r="AT547" s="1611"/>
      <c r="AU547" s="1611"/>
      <c r="AV547" s="1611"/>
    </row>
    <row r="548" ht="14.25" customHeight="1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I548" s="1611"/>
      <c r="AJ548" s="1611"/>
      <c r="AK548" s="1611"/>
      <c r="AL548" s="1611"/>
      <c r="AM548" s="1611"/>
      <c r="AN548" s="1611"/>
      <c r="AO548" s="1611"/>
      <c r="AP548" s="1611"/>
      <c r="AQ548" s="1611"/>
      <c r="AR548" s="1611"/>
      <c r="AS548" s="1611"/>
      <c r="AT548" s="1611"/>
      <c r="AU548" s="1611"/>
      <c r="AV548" s="1611"/>
    </row>
    <row r="549" ht="14.25" customHeight="1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I549" s="1611"/>
      <c r="AJ549" s="1611"/>
      <c r="AK549" s="1611"/>
      <c r="AL549" s="1611"/>
      <c r="AM549" s="1611"/>
      <c r="AN549" s="1611"/>
      <c r="AO549" s="1611"/>
      <c r="AP549" s="1611"/>
      <c r="AQ549" s="1611"/>
      <c r="AR549" s="1611"/>
      <c r="AS549" s="1611"/>
      <c r="AT549" s="1611"/>
      <c r="AU549" s="1611"/>
      <c r="AV549" s="1611"/>
    </row>
    <row r="550" ht="14.25" customHeight="1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I550" s="1611"/>
      <c r="AJ550" s="1611"/>
      <c r="AK550" s="1611"/>
      <c r="AL550" s="1611"/>
      <c r="AM550" s="1611"/>
      <c r="AN550" s="1611"/>
      <c r="AO550" s="1611"/>
      <c r="AP550" s="1611"/>
      <c r="AQ550" s="1611"/>
      <c r="AR550" s="1611"/>
      <c r="AS550" s="1611"/>
      <c r="AT550" s="1611"/>
      <c r="AU550" s="1611"/>
      <c r="AV550" s="1611"/>
    </row>
    <row r="551" ht="14.25" customHeight="1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I551" s="1611"/>
      <c r="AJ551" s="1611"/>
      <c r="AK551" s="1611"/>
      <c r="AL551" s="1611"/>
      <c r="AM551" s="1611"/>
      <c r="AN551" s="1611"/>
      <c r="AO551" s="1611"/>
      <c r="AP551" s="1611"/>
      <c r="AQ551" s="1611"/>
      <c r="AR551" s="1611"/>
      <c r="AS551" s="1611"/>
      <c r="AT551" s="1611"/>
      <c r="AU551" s="1611"/>
      <c r="AV551" s="1611"/>
    </row>
    <row r="552" ht="14.25" customHeight="1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I552" s="1611"/>
      <c r="AJ552" s="1611"/>
      <c r="AK552" s="1611"/>
      <c r="AL552" s="1611"/>
      <c r="AM552" s="1611"/>
      <c r="AN552" s="1611"/>
      <c r="AO552" s="1611"/>
      <c r="AP552" s="1611"/>
      <c r="AQ552" s="1611"/>
      <c r="AR552" s="1611"/>
      <c r="AS552" s="1611"/>
      <c r="AT552" s="1611"/>
      <c r="AU552" s="1611"/>
      <c r="AV552" s="1611"/>
    </row>
    <row r="553" ht="14.25" customHeight="1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I553" s="1611"/>
      <c r="AJ553" s="1611"/>
      <c r="AK553" s="1611"/>
      <c r="AL553" s="1611"/>
      <c r="AM553" s="1611"/>
      <c r="AN553" s="1611"/>
      <c r="AO553" s="1611"/>
      <c r="AP553" s="1611"/>
      <c r="AQ553" s="1611"/>
      <c r="AR553" s="1611"/>
      <c r="AS553" s="1611"/>
      <c r="AT553" s="1611"/>
      <c r="AU553" s="1611"/>
      <c r="AV553" s="1611"/>
    </row>
    <row r="554" ht="14.25" customHeight="1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I554" s="1611"/>
      <c r="AJ554" s="1611"/>
      <c r="AK554" s="1611"/>
      <c r="AL554" s="1611"/>
      <c r="AM554" s="1611"/>
      <c r="AN554" s="1611"/>
      <c r="AO554" s="1611"/>
      <c r="AP554" s="1611"/>
      <c r="AQ554" s="1611"/>
      <c r="AR554" s="1611"/>
      <c r="AS554" s="1611"/>
      <c r="AT554" s="1611"/>
      <c r="AU554" s="1611"/>
      <c r="AV554" s="1611"/>
    </row>
    <row r="555" ht="14.25" customHeight="1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I555" s="1611"/>
      <c r="AJ555" s="1611"/>
      <c r="AK555" s="1611"/>
      <c r="AL555" s="1611"/>
      <c r="AM555" s="1611"/>
      <c r="AN555" s="1611"/>
      <c r="AO555" s="1611"/>
      <c r="AP555" s="1611"/>
      <c r="AQ555" s="1611"/>
      <c r="AR555" s="1611"/>
      <c r="AS555" s="1611"/>
      <c r="AT555" s="1611"/>
      <c r="AU555" s="1611"/>
      <c r="AV555" s="1611"/>
    </row>
    <row r="556" ht="14.25" customHeight="1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I556" s="1611"/>
      <c r="AJ556" s="1611"/>
      <c r="AK556" s="1611"/>
      <c r="AL556" s="1611"/>
      <c r="AM556" s="1611"/>
      <c r="AN556" s="1611"/>
      <c r="AO556" s="1611"/>
      <c r="AP556" s="1611"/>
      <c r="AQ556" s="1611"/>
      <c r="AR556" s="1611"/>
      <c r="AS556" s="1611"/>
      <c r="AT556" s="1611"/>
      <c r="AU556" s="1611"/>
      <c r="AV556" s="1611"/>
    </row>
    <row r="557" ht="14.25" customHeight="1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I557" s="1611"/>
      <c r="AJ557" s="1611"/>
      <c r="AK557" s="1611"/>
      <c r="AL557" s="1611"/>
      <c r="AM557" s="1611"/>
      <c r="AN557" s="1611"/>
      <c r="AO557" s="1611"/>
      <c r="AP557" s="1611"/>
      <c r="AQ557" s="1611"/>
      <c r="AR557" s="1611"/>
      <c r="AS557" s="1611"/>
      <c r="AT557" s="1611"/>
      <c r="AU557" s="1611"/>
      <c r="AV557" s="1611"/>
    </row>
    <row r="558" ht="14.25" customHeight="1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I558" s="1611"/>
      <c r="AJ558" s="1611"/>
      <c r="AK558" s="1611"/>
      <c r="AL558" s="1611"/>
      <c r="AM558" s="1611"/>
      <c r="AN558" s="1611"/>
      <c r="AO558" s="1611"/>
      <c r="AP558" s="1611"/>
      <c r="AQ558" s="1611"/>
      <c r="AR558" s="1611"/>
      <c r="AS558" s="1611"/>
      <c r="AT558" s="1611"/>
      <c r="AU558" s="1611"/>
      <c r="AV558" s="1611"/>
    </row>
    <row r="559" ht="14.25" customHeight="1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I559" s="1611"/>
      <c r="AJ559" s="1611"/>
      <c r="AK559" s="1611"/>
      <c r="AL559" s="1611"/>
      <c r="AM559" s="1611"/>
      <c r="AN559" s="1611"/>
      <c r="AO559" s="1611"/>
      <c r="AP559" s="1611"/>
      <c r="AQ559" s="1611"/>
      <c r="AR559" s="1611"/>
      <c r="AS559" s="1611"/>
      <c r="AT559" s="1611"/>
      <c r="AU559" s="1611"/>
      <c r="AV559" s="1611"/>
    </row>
    <row r="560" ht="14.25" customHeight="1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I560" s="1611"/>
      <c r="AJ560" s="1611"/>
      <c r="AK560" s="1611"/>
      <c r="AL560" s="1611"/>
      <c r="AM560" s="1611"/>
      <c r="AN560" s="1611"/>
      <c r="AO560" s="1611"/>
      <c r="AP560" s="1611"/>
      <c r="AQ560" s="1611"/>
      <c r="AR560" s="1611"/>
      <c r="AS560" s="1611"/>
      <c r="AT560" s="1611"/>
      <c r="AU560" s="1611"/>
      <c r="AV560" s="1611"/>
    </row>
    <row r="561" ht="14.25" customHeight="1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I561" s="1611"/>
      <c r="AJ561" s="1611"/>
      <c r="AK561" s="1611"/>
      <c r="AL561" s="1611"/>
      <c r="AM561" s="1611"/>
      <c r="AN561" s="1611"/>
      <c r="AO561" s="1611"/>
      <c r="AP561" s="1611"/>
      <c r="AQ561" s="1611"/>
      <c r="AR561" s="1611"/>
      <c r="AS561" s="1611"/>
      <c r="AT561" s="1611"/>
      <c r="AU561" s="1611"/>
      <c r="AV561" s="1611"/>
    </row>
    <row r="562" ht="14.25" customHeight="1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I562" s="1611"/>
      <c r="AJ562" s="1611"/>
      <c r="AK562" s="1611"/>
      <c r="AL562" s="1611"/>
      <c r="AM562" s="1611"/>
      <c r="AN562" s="1611"/>
      <c r="AO562" s="1611"/>
      <c r="AP562" s="1611"/>
      <c r="AQ562" s="1611"/>
      <c r="AR562" s="1611"/>
      <c r="AS562" s="1611"/>
      <c r="AT562" s="1611"/>
      <c r="AU562" s="1611"/>
      <c r="AV562" s="1611"/>
    </row>
    <row r="563" ht="14.25" customHeight="1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I563" s="1611"/>
      <c r="AJ563" s="1611"/>
      <c r="AK563" s="1611"/>
      <c r="AL563" s="1611"/>
      <c r="AM563" s="1611"/>
      <c r="AN563" s="1611"/>
      <c r="AO563" s="1611"/>
      <c r="AP563" s="1611"/>
      <c r="AQ563" s="1611"/>
      <c r="AR563" s="1611"/>
      <c r="AS563" s="1611"/>
      <c r="AT563" s="1611"/>
      <c r="AU563" s="1611"/>
      <c r="AV563" s="1611"/>
    </row>
    <row r="564" ht="14.25" customHeight="1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I564" s="1611"/>
      <c r="AJ564" s="1611"/>
      <c r="AK564" s="1611"/>
      <c r="AL564" s="1611"/>
      <c r="AM564" s="1611"/>
      <c r="AN564" s="1611"/>
      <c r="AO564" s="1611"/>
      <c r="AP564" s="1611"/>
      <c r="AQ564" s="1611"/>
      <c r="AR564" s="1611"/>
      <c r="AS564" s="1611"/>
      <c r="AT564" s="1611"/>
      <c r="AU564" s="1611"/>
      <c r="AV564" s="1611"/>
    </row>
    <row r="565" ht="14.25" customHeight="1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I565" s="1611"/>
      <c r="AJ565" s="1611"/>
      <c r="AK565" s="1611"/>
      <c r="AL565" s="1611"/>
      <c r="AM565" s="1611"/>
      <c r="AN565" s="1611"/>
      <c r="AO565" s="1611"/>
      <c r="AP565" s="1611"/>
      <c r="AQ565" s="1611"/>
      <c r="AR565" s="1611"/>
      <c r="AS565" s="1611"/>
      <c r="AT565" s="1611"/>
      <c r="AU565" s="1611"/>
      <c r="AV565" s="1611"/>
    </row>
    <row r="566" ht="14.25" customHeight="1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I566" s="1611"/>
      <c r="AJ566" s="1611"/>
      <c r="AK566" s="1611"/>
      <c r="AL566" s="1611"/>
      <c r="AM566" s="1611"/>
      <c r="AN566" s="1611"/>
      <c r="AO566" s="1611"/>
      <c r="AP566" s="1611"/>
      <c r="AQ566" s="1611"/>
      <c r="AR566" s="1611"/>
      <c r="AS566" s="1611"/>
      <c r="AT566" s="1611"/>
      <c r="AU566" s="1611"/>
      <c r="AV566" s="1611"/>
    </row>
    <row r="567" ht="14.25" customHeight="1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I567" s="1611"/>
      <c r="AJ567" s="1611"/>
      <c r="AK567" s="1611"/>
      <c r="AL567" s="1611"/>
      <c r="AM567" s="1611"/>
      <c r="AN567" s="1611"/>
      <c r="AO567" s="1611"/>
      <c r="AP567" s="1611"/>
      <c r="AQ567" s="1611"/>
      <c r="AR567" s="1611"/>
      <c r="AS567" s="1611"/>
      <c r="AT567" s="1611"/>
      <c r="AU567" s="1611"/>
      <c r="AV567" s="1611"/>
    </row>
    <row r="568" ht="14.25" customHeight="1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I568" s="1611"/>
      <c r="AJ568" s="1611"/>
      <c r="AK568" s="1611"/>
      <c r="AL568" s="1611"/>
      <c r="AM568" s="1611"/>
      <c r="AN568" s="1611"/>
      <c r="AO568" s="1611"/>
      <c r="AP568" s="1611"/>
      <c r="AQ568" s="1611"/>
      <c r="AR568" s="1611"/>
      <c r="AS568" s="1611"/>
      <c r="AT568" s="1611"/>
      <c r="AU568" s="1611"/>
      <c r="AV568" s="1611"/>
    </row>
    <row r="569" ht="14.25" customHeight="1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I569" s="1611"/>
      <c r="AJ569" s="1611"/>
      <c r="AK569" s="1611"/>
      <c r="AL569" s="1611"/>
      <c r="AM569" s="1611"/>
      <c r="AN569" s="1611"/>
      <c r="AO569" s="1611"/>
      <c r="AP569" s="1611"/>
      <c r="AQ569" s="1611"/>
      <c r="AR569" s="1611"/>
      <c r="AS569" s="1611"/>
      <c r="AT569" s="1611"/>
      <c r="AU569" s="1611"/>
      <c r="AV569" s="1611"/>
    </row>
    <row r="570" ht="14.25" customHeight="1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I570" s="1611"/>
      <c r="AJ570" s="1611"/>
      <c r="AK570" s="1611"/>
      <c r="AL570" s="1611"/>
      <c r="AM570" s="1611"/>
      <c r="AN570" s="1611"/>
      <c r="AO570" s="1611"/>
      <c r="AP570" s="1611"/>
      <c r="AQ570" s="1611"/>
      <c r="AR570" s="1611"/>
      <c r="AS570" s="1611"/>
      <c r="AT570" s="1611"/>
      <c r="AU570" s="1611"/>
      <c r="AV570" s="1611"/>
    </row>
    <row r="571" ht="14.25" customHeight="1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I571" s="1611"/>
      <c r="AJ571" s="1611"/>
      <c r="AK571" s="1611"/>
      <c r="AL571" s="1611"/>
      <c r="AM571" s="1611"/>
      <c r="AN571" s="1611"/>
      <c r="AO571" s="1611"/>
      <c r="AP571" s="1611"/>
      <c r="AQ571" s="1611"/>
      <c r="AR571" s="1611"/>
      <c r="AS571" s="1611"/>
      <c r="AT571" s="1611"/>
      <c r="AU571" s="1611"/>
      <c r="AV571" s="1611"/>
    </row>
    <row r="572" ht="14.25" customHeight="1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I572" s="1611"/>
      <c r="AJ572" s="1611"/>
      <c r="AK572" s="1611"/>
      <c r="AL572" s="1611"/>
      <c r="AM572" s="1611"/>
      <c r="AN572" s="1611"/>
      <c r="AO572" s="1611"/>
      <c r="AP572" s="1611"/>
      <c r="AQ572" s="1611"/>
      <c r="AR572" s="1611"/>
      <c r="AS572" s="1611"/>
      <c r="AT572" s="1611"/>
      <c r="AU572" s="1611"/>
      <c r="AV572" s="1611"/>
    </row>
    <row r="573" ht="14.25" customHeight="1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I573" s="1611"/>
      <c r="AJ573" s="1611"/>
      <c r="AK573" s="1611"/>
      <c r="AL573" s="1611"/>
      <c r="AM573" s="1611"/>
      <c r="AN573" s="1611"/>
      <c r="AO573" s="1611"/>
      <c r="AP573" s="1611"/>
      <c r="AQ573" s="1611"/>
      <c r="AR573" s="1611"/>
      <c r="AS573" s="1611"/>
      <c r="AT573" s="1611"/>
      <c r="AU573" s="1611"/>
      <c r="AV573" s="1611"/>
    </row>
    <row r="574" ht="14.25" customHeight="1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I574" s="1611"/>
      <c r="AJ574" s="1611"/>
      <c r="AK574" s="1611"/>
      <c r="AL574" s="1611"/>
      <c r="AM574" s="1611"/>
      <c r="AN574" s="1611"/>
      <c r="AO574" s="1611"/>
      <c r="AP574" s="1611"/>
      <c r="AQ574" s="1611"/>
      <c r="AR574" s="1611"/>
      <c r="AS574" s="1611"/>
      <c r="AT574" s="1611"/>
      <c r="AU574" s="1611"/>
      <c r="AV574" s="1611"/>
    </row>
    <row r="575" ht="14.25" customHeight="1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I575" s="1611"/>
      <c r="AJ575" s="1611"/>
      <c r="AK575" s="1611"/>
      <c r="AL575" s="1611"/>
      <c r="AM575" s="1611"/>
      <c r="AN575" s="1611"/>
      <c r="AO575" s="1611"/>
      <c r="AP575" s="1611"/>
      <c r="AQ575" s="1611"/>
      <c r="AR575" s="1611"/>
      <c r="AS575" s="1611"/>
      <c r="AT575" s="1611"/>
      <c r="AU575" s="1611"/>
      <c r="AV575" s="1611"/>
    </row>
    <row r="576" ht="14.25" customHeight="1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I576" s="1611"/>
      <c r="AJ576" s="1611"/>
      <c r="AK576" s="1611"/>
      <c r="AL576" s="1611"/>
      <c r="AM576" s="1611"/>
      <c r="AN576" s="1611"/>
      <c r="AO576" s="1611"/>
      <c r="AP576" s="1611"/>
      <c r="AQ576" s="1611"/>
      <c r="AR576" s="1611"/>
      <c r="AS576" s="1611"/>
      <c r="AT576" s="1611"/>
      <c r="AU576" s="1611"/>
      <c r="AV576" s="1611"/>
    </row>
    <row r="577" ht="14.25" customHeight="1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I577" s="1611"/>
      <c r="AJ577" s="1611"/>
      <c r="AK577" s="1611"/>
      <c r="AL577" s="1611"/>
      <c r="AM577" s="1611"/>
      <c r="AN577" s="1611"/>
      <c r="AO577" s="1611"/>
      <c r="AP577" s="1611"/>
      <c r="AQ577" s="1611"/>
      <c r="AR577" s="1611"/>
      <c r="AS577" s="1611"/>
      <c r="AT577" s="1611"/>
      <c r="AU577" s="1611"/>
      <c r="AV577" s="1611"/>
    </row>
    <row r="578" ht="14.25" customHeight="1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I578" s="1611"/>
      <c r="AJ578" s="1611"/>
      <c r="AK578" s="1611"/>
      <c r="AL578" s="1611"/>
      <c r="AM578" s="1611"/>
      <c r="AN578" s="1611"/>
      <c r="AO578" s="1611"/>
      <c r="AP578" s="1611"/>
      <c r="AQ578" s="1611"/>
      <c r="AR578" s="1611"/>
      <c r="AS578" s="1611"/>
      <c r="AT578" s="1611"/>
      <c r="AU578" s="1611"/>
      <c r="AV578" s="1611"/>
    </row>
    <row r="579" ht="14.25" customHeight="1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I579" s="1611"/>
      <c r="AJ579" s="1611"/>
      <c r="AK579" s="1611"/>
      <c r="AL579" s="1611"/>
      <c r="AM579" s="1611"/>
      <c r="AN579" s="1611"/>
      <c r="AO579" s="1611"/>
      <c r="AP579" s="1611"/>
      <c r="AQ579" s="1611"/>
      <c r="AR579" s="1611"/>
      <c r="AS579" s="1611"/>
      <c r="AT579" s="1611"/>
      <c r="AU579" s="1611"/>
      <c r="AV579" s="1611"/>
    </row>
    <row r="580" ht="14.25" customHeight="1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I580" s="1611"/>
      <c r="AJ580" s="1611"/>
      <c r="AK580" s="1611"/>
      <c r="AL580" s="1611"/>
      <c r="AM580" s="1611"/>
      <c r="AN580" s="1611"/>
      <c r="AO580" s="1611"/>
      <c r="AP580" s="1611"/>
      <c r="AQ580" s="1611"/>
      <c r="AR580" s="1611"/>
      <c r="AS580" s="1611"/>
      <c r="AT580" s="1611"/>
      <c r="AU580" s="1611"/>
      <c r="AV580" s="1611"/>
    </row>
    <row r="581" ht="14.25" customHeight="1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I581" s="1611"/>
      <c r="AJ581" s="1611"/>
      <c r="AK581" s="1611"/>
      <c r="AL581" s="1611"/>
      <c r="AM581" s="1611"/>
      <c r="AN581" s="1611"/>
      <c r="AO581" s="1611"/>
      <c r="AP581" s="1611"/>
      <c r="AQ581" s="1611"/>
      <c r="AR581" s="1611"/>
      <c r="AS581" s="1611"/>
      <c r="AT581" s="1611"/>
      <c r="AU581" s="1611"/>
      <c r="AV581" s="1611"/>
    </row>
    <row r="582" ht="14.25" customHeight="1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I582" s="1611"/>
      <c r="AJ582" s="1611"/>
      <c r="AK582" s="1611"/>
      <c r="AL582" s="1611"/>
      <c r="AM582" s="1611"/>
      <c r="AN582" s="1611"/>
      <c r="AO582" s="1611"/>
      <c r="AP582" s="1611"/>
      <c r="AQ582" s="1611"/>
      <c r="AR582" s="1611"/>
      <c r="AS582" s="1611"/>
      <c r="AT582" s="1611"/>
      <c r="AU582" s="1611"/>
      <c r="AV582" s="1611"/>
    </row>
    <row r="583" ht="14.25" customHeight="1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I583" s="1611"/>
      <c r="AJ583" s="1611"/>
      <c r="AK583" s="1611"/>
      <c r="AL583" s="1611"/>
      <c r="AM583" s="1611"/>
      <c r="AN583" s="1611"/>
      <c r="AO583" s="1611"/>
      <c r="AP583" s="1611"/>
      <c r="AQ583" s="1611"/>
      <c r="AR583" s="1611"/>
      <c r="AS583" s="1611"/>
      <c r="AT583" s="1611"/>
      <c r="AU583" s="1611"/>
      <c r="AV583" s="1611"/>
    </row>
    <row r="584" ht="14.25" customHeight="1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I584" s="1611"/>
      <c r="AJ584" s="1611"/>
      <c r="AK584" s="1611"/>
      <c r="AL584" s="1611"/>
      <c r="AM584" s="1611"/>
      <c r="AN584" s="1611"/>
      <c r="AO584" s="1611"/>
      <c r="AP584" s="1611"/>
      <c r="AQ584" s="1611"/>
      <c r="AR584" s="1611"/>
      <c r="AS584" s="1611"/>
      <c r="AT584" s="1611"/>
      <c r="AU584" s="1611"/>
      <c r="AV584" s="1611"/>
    </row>
    <row r="585" ht="14.25" customHeight="1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I585" s="1611"/>
      <c r="AJ585" s="1611"/>
      <c r="AK585" s="1611"/>
      <c r="AL585" s="1611"/>
      <c r="AM585" s="1611"/>
      <c r="AN585" s="1611"/>
      <c r="AO585" s="1611"/>
      <c r="AP585" s="1611"/>
      <c r="AQ585" s="1611"/>
      <c r="AR585" s="1611"/>
      <c r="AS585" s="1611"/>
      <c r="AT585" s="1611"/>
      <c r="AU585" s="1611"/>
      <c r="AV585" s="1611"/>
    </row>
    <row r="586" ht="14.25" customHeight="1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I586" s="1611"/>
      <c r="AJ586" s="1611"/>
      <c r="AK586" s="1611"/>
      <c r="AL586" s="1611"/>
      <c r="AM586" s="1611"/>
      <c r="AN586" s="1611"/>
      <c r="AO586" s="1611"/>
      <c r="AP586" s="1611"/>
      <c r="AQ586" s="1611"/>
      <c r="AR586" s="1611"/>
      <c r="AS586" s="1611"/>
      <c r="AT586" s="1611"/>
      <c r="AU586" s="1611"/>
      <c r="AV586" s="1611"/>
    </row>
    <row r="587" ht="14.25" customHeight="1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I587" s="1611"/>
      <c r="AJ587" s="1611"/>
      <c r="AK587" s="1611"/>
      <c r="AL587" s="1611"/>
      <c r="AM587" s="1611"/>
      <c r="AN587" s="1611"/>
      <c r="AO587" s="1611"/>
      <c r="AP587" s="1611"/>
      <c r="AQ587" s="1611"/>
      <c r="AR587" s="1611"/>
      <c r="AS587" s="1611"/>
      <c r="AT587" s="1611"/>
      <c r="AU587" s="1611"/>
      <c r="AV587" s="1611"/>
    </row>
    <row r="588" ht="14.25" customHeight="1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I588" s="1611"/>
      <c r="AJ588" s="1611"/>
      <c r="AK588" s="1611"/>
      <c r="AL588" s="1611"/>
      <c r="AM588" s="1611"/>
      <c r="AN588" s="1611"/>
      <c r="AO588" s="1611"/>
      <c r="AP588" s="1611"/>
      <c r="AQ588" s="1611"/>
      <c r="AR588" s="1611"/>
      <c r="AS588" s="1611"/>
      <c r="AT588" s="1611"/>
      <c r="AU588" s="1611"/>
      <c r="AV588" s="1611"/>
    </row>
    <row r="589" ht="14.25" customHeight="1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I589" s="1611"/>
      <c r="AJ589" s="1611"/>
      <c r="AK589" s="1611"/>
      <c r="AL589" s="1611"/>
      <c r="AM589" s="1611"/>
      <c r="AN589" s="1611"/>
      <c r="AO589" s="1611"/>
      <c r="AP589" s="1611"/>
      <c r="AQ589" s="1611"/>
      <c r="AR589" s="1611"/>
      <c r="AS589" s="1611"/>
      <c r="AT589" s="1611"/>
      <c r="AU589" s="1611"/>
      <c r="AV589" s="1611"/>
    </row>
    <row r="590" ht="14.25" customHeight="1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I590" s="1611"/>
      <c r="AJ590" s="1611"/>
      <c r="AK590" s="1611"/>
      <c r="AL590" s="1611"/>
      <c r="AM590" s="1611"/>
      <c r="AN590" s="1611"/>
      <c r="AO590" s="1611"/>
      <c r="AP590" s="1611"/>
      <c r="AQ590" s="1611"/>
      <c r="AR590" s="1611"/>
      <c r="AS590" s="1611"/>
      <c r="AT590" s="1611"/>
      <c r="AU590" s="1611"/>
      <c r="AV590" s="1611"/>
    </row>
    <row r="591" ht="14.25" customHeight="1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I591" s="1611"/>
      <c r="AJ591" s="1611"/>
      <c r="AK591" s="1611"/>
      <c r="AL591" s="1611"/>
      <c r="AM591" s="1611"/>
      <c r="AN591" s="1611"/>
      <c r="AO591" s="1611"/>
      <c r="AP591" s="1611"/>
      <c r="AQ591" s="1611"/>
      <c r="AR591" s="1611"/>
      <c r="AS591" s="1611"/>
      <c r="AT591" s="1611"/>
      <c r="AU591" s="1611"/>
      <c r="AV591" s="1611"/>
    </row>
    <row r="592" ht="14.25" customHeight="1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I592" s="1611"/>
      <c r="AJ592" s="1611"/>
      <c r="AK592" s="1611"/>
      <c r="AL592" s="1611"/>
      <c r="AM592" s="1611"/>
      <c r="AN592" s="1611"/>
      <c r="AO592" s="1611"/>
      <c r="AP592" s="1611"/>
      <c r="AQ592" s="1611"/>
      <c r="AR592" s="1611"/>
      <c r="AS592" s="1611"/>
      <c r="AT592" s="1611"/>
      <c r="AU592" s="1611"/>
      <c r="AV592" s="1611"/>
    </row>
    <row r="593" ht="14.25" customHeight="1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I593" s="1611"/>
      <c r="AJ593" s="1611"/>
      <c r="AK593" s="1611"/>
      <c r="AL593" s="1611"/>
      <c r="AM593" s="1611"/>
      <c r="AN593" s="1611"/>
      <c r="AO593" s="1611"/>
      <c r="AP593" s="1611"/>
      <c r="AQ593" s="1611"/>
      <c r="AR593" s="1611"/>
      <c r="AS593" s="1611"/>
      <c r="AT593" s="1611"/>
      <c r="AU593" s="1611"/>
      <c r="AV593" s="1611"/>
    </row>
    <row r="594" ht="14.25" customHeight="1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I594" s="1611"/>
      <c r="AJ594" s="1611"/>
      <c r="AK594" s="1611"/>
      <c r="AL594" s="1611"/>
      <c r="AM594" s="1611"/>
      <c r="AN594" s="1611"/>
      <c r="AO594" s="1611"/>
      <c r="AP594" s="1611"/>
      <c r="AQ594" s="1611"/>
      <c r="AR594" s="1611"/>
      <c r="AS594" s="1611"/>
      <c r="AT594" s="1611"/>
      <c r="AU594" s="1611"/>
      <c r="AV594" s="1611"/>
    </row>
    <row r="595" ht="14.25" customHeight="1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I595" s="1611"/>
      <c r="AJ595" s="1611"/>
      <c r="AK595" s="1611"/>
      <c r="AL595" s="1611"/>
      <c r="AM595" s="1611"/>
      <c r="AN595" s="1611"/>
      <c r="AO595" s="1611"/>
      <c r="AP595" s="1611"/>
      <c r="AQ595" s="1611"/>
      <c r="AR595" s="1611"/>
      <c r="AS595" s="1611"/>
      <c r="AT595" s="1611"/>
      <c r="AU595" s="1611"/>
      <c r="AV595" s="1611"/>
    </row>
    <row r="596" ht="14.25" customHeight="1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I596" s="1611"/>
      <c r="AJ596" s="1611"/>
      <c r="AK596" s="1611"/>
      <c r="AL596" s="1611"/>
      <c r="AM596" s="1611"/>
      <c r="AN596" s="1611"/>
      <c r="AO596" s="1611"/>
      <c r="AP596" s="1611"/>
      <c r="AQ596" s="1611"/>
      <c r="AR596" s="1611"/>
      <c r="AS596" s="1611"/>
      <c r="AT596" s="1611"/>
      <c r="AU596" s="1611"/>
      <c r="AV596" s="1611"/>
    </row>
    <row r="597" ht="14.25" customHeight="1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I597" s="1611"/>
      <c r="AJ597" s="1611"/>
      <c r="AK597" s="1611"/>
      <c r="AL597" s="1611"/>
      <c r="AM597" s="1611"/>
      <c r="AN597" s="1611"/>
      <c r="AO597" s="1611"/>
      <c r="AP597" s="1611"/>
      <c r="AQ597" s="1611"/>
      <c r="AR597" s="1611"/>
      <c r="AS597" s="1611"/>
      <c r="AT597" s="1611"/>
      <c r="AU597" s="1611"/>
      <c r="AV597" s="1611"/>
    </row>
    <row r="598" ht="14.25" customHeight="1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I598" s="1611"/>
      <c r="AJ598" s="1611"/>
      <c r="AK598" s="1611"/>
      <c r="AL598" s="1611"/>
      <c r="AM598" s="1611"/>
      <c r="AN598" s="1611"/>
      <c r="AO598" s="1611"/>
      <c r="AP598" s="1611"/>
      <c r="AQ598" s="1611"/>
      <c r="AR598" s="1611"/>
      <c r="AS598" s="1611"/>
      <c r="AT598" s="1611"/>
      <c r="AU598" s="1611"/>
      <c r="AV598" s="1611"/>
    </row>
    <row r="599" ht="14.25" customHeight="1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I599" s="1611"/>
      <c r="AJ599" s="1611"/>
      <c r="AK599" s="1611"/>
      <c r="AL599" s="1611"/>
      <c r="AM599" s="1611"/>
      <c r="AN599" s="1611"/>
      <c r="AO599" s="1611"/>
      <c r="AP599" s="1611"/>
      <c r="AQ599" s="1611"/>
      <c r="AR599" s="1611"/>
      <c r="AS599" s="1611"/>
      <c r="AT599" s="1611"/>
      <c r="AU599" s="1611"/>
      <c r="AV599" s="1611"/>
    </row>
    <row r="600" ht="14.25" customHeight="1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I600" s="1611"/>
      <c r="AJ600" s="1611"/>
      <c r="AK600" s="1611"/>
      <c r="AL600" s="1611"/>
      <c r="AM600" s="1611"/>
      <c r="AN600" s="1611"/>
      <c r="AO600" s="1611"/>
      <c r="AP600" s="1611"/>
      <c r="AQ600" s="1611"/>
      <c r="AR600" s="1611"/>
      <c r="AS600" s="1611"/>
      <c r="AT600" s="1611"/>
      <c r="AU600" s="1611"/>
      <c r="AV600" s="1611"/>
    </row>
    <row r="601" ht="14.25" customHeight="1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I601" s="1611"/>
      <c r="AJ601" s="1611"/>
      <c r="AK601" s="1611"/>
      <c r="AL601" s="1611"/>
      <c r="AM601" s="1611"/>
      <c r="AN601" s="1611"/>
      <c r="AO601" s="1611"/>
      <c r="AP601" s="1611"/>
      <c r="AQ601" s="1611"/>
      <c r="AR601" s="1611"/>
      <c r="AS601" s="1611"/>
      <c r="AT601" s="1611"/>
      <c r="AU601" s="1611"/>
      <c r="AV601" s="1611"/>
    </row>
    <row r="602" ht="14.25" customHeight="1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I602" s="1611"/>
      <c r="AJ602" s="1611"/>
      <c r="AK602" s="1611"/>
      <c r="AL602" s="1611"/>
      <c r="AM602" s="1611"/>
      <c r="AN602" s="1611"/>
      <c r="AO602" s="1611"/>
      <c r="AP602" s="1611"/>
      <c r="AQ602" s="1611"/>
      <c r="AR602" s="1611"/>
      <c r="AS602" s="1611"/>
      <c r="AT602" s="1611"/>
      <c r="AU602" s="1611"/>
      <c r="AV602" s="1611"/>
    </row>
    <row r="603" ht="14.25" customHeight="1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I603" s="1611"/>
      <c r="AJ603" s="1611"/>
      <c r="AK603" s="1611"/>
      <c r="AL603" s="1611"/>
      <c r="AM603" s="1611"/>
      <c r="AN603" s="1611"/>
      <c r="AO603" s="1611"/>
      <c r="AP603" s="1611"/>
      <c r="AQ603" s="1611"/>
      <c r="AR603" s="1611"/>
      <c r="AS603" s="1611"/>
      <c r="AT603" s="1611"/>
      <c r="AU603" s="1611"/>
      <c r="AV603" s="1611"/>
    </row>
    <row r="604" ht="14.25" customHeight="1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I604" s="1611"/>
      <c r="AJ604" s="1611"/>
      <c r="AK604" s="1611"/>
      <c r="AL604" s="1611"/>
      <c r="AM604" s="1611"/>
      <c r="AN604" s="1611"/>
      <c r="AO604" s="1611"/>
      <c r="AP604" s="1611"/>
      <c r="AQ604" s="1611"/>
      <c r="AR604" s="1611"/>
      <c r="AS604" s="1611"/>
      <c r="AT604" s="1611"/>
      <c r="AU604" s="1611"/>
      <c r="AV604" s="1611"/>
    </row>
    <row r="605" ht="14.25" customHeight="1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I605" s="1611"/>
      <c r="AJ605" s="1611"/>
      <c r="AK605" s="1611"/>
      <c r="AL605" s="1611"/>
      <c r="AM605" s="1611"/>
      <c r="AN605" s="1611"/>
      <c r="AO605" s="1611"/>
      <c r="AP605" s="1611"/>
      <c r="AQ605" s="1611"/>
      <c r="AR605" s="1611"/>
      <c r="AS605" s="1611"/>
      <c r="AT605" s="1611"/>
      <c r="AU605" s="1611"/>
      <c r="AV605" s="1611"/>
    </row>
    <row r="606" ht="14.25" customHeight="1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I606" s="1611"/>
      <c r="AJ606" s="1611"/>
      <c r="AK606" s="1611"/>
      <c r="AL606" s="1611"/>
      <c r="AM606" s="1611"/>
      <c r="AN606" s="1611"/>
      <c r="AO606" s="1611"/>
      <c r="AP606" s="1611"/>
      <c r="AQ606" s="1611"/>
      <c r="AR606" s="1611"/>
      <c r="AS606" s="1611"/>
      <c r="AT606" s="1611"/>
      <c r="AU606" s="1611"/>
      <c r="AV606" s="1611"/>
    </row>
    <row r="607" ht="14.25" customHeight="1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I607" s="1611"/>
      <c r="AJ607" s="1611"/>
      <c r="AK607" s="1611"/>
      <c r="AL607" s="1611"/>
      <c r="AM607" s="1611"/>
      <c r="AN607" s="1611"/>
      <c r="AO607" s="1611"/>
      <c r="AP607" s="1611"/>
      <c r="AQ607" s="1611"/>
      <c r="AR607" s="1611"/>
      <c r="AS607" s="1611"/>
      <c r="AT607" s="1611"/>
      <c r="AU607" s="1611"/>
      <c r="AV607" s="1611"/>
    </row>
    <row r="608" ht="14.25" customHeight="1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I608" s="1611"/>
      <c r="AJ608" s="1611"/>
      <c r="AK608" s="1611"/>
      <c r="AL608" s="1611"/>
      <c r="AM608" s="1611"/>
      <c r="AN608" s="1611"/>
      <c r="AO608" s="1611"/>
      <c r="AP608" s="1611"/>
      <c r="AQ608" s="1611"/>
      <c r="AR608" s="1611"/>
      <c r="AS608" s="1611"/>
      <c r="AT608" s="1611"/>
      <c r="AU608" s="1611"/>
      <c r="AV608" s="1611"/>
    </row>
    <row r="609" ht="14.25" customHeight="1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I609" s="1611"/>
      <c r="AJ609" s="1611"/>
      <c r="AK609" s="1611"/>
      <c r="AL609" s="1611"/>
      <c r="AM609" s="1611"/>
      <c r="AN609" s="1611"/>
      <c r="AO609" s="1611"/>
      <c r="AP609" s="1611"/>
      <c r="AQ609" s="1611"/>
      <c r="AR609" s="1611"/>
      <c r="AS609" s="1611"/>
      <c r="AT609" s="1611"/>
      <c r="AU609" s="1611"/>
      <c r="AV609" s="1611"/>
    </row>
    <row r="610" ht="14.25" customHeight="1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I610" s="1611"/>
      <c r="AJ610" s="1611"/>
      <c r="AK610" s="1611"/>
      <c r="AL610" s="1611"/>
      <c r="AM610" s="1611"/>
      <c r="AN610" s="1611"/>
      <c r="AO610" s="1611"/>
      <c r="AP610" s="1611"/>
      <c r="AQ610" s="1611"/>
      <c r="AR610" s="1611"/>
      <c r="AS610" s="1611"/>
      <c r="AT610" s="1611"/>
      <c r="AU610" s="1611"/>
      <c r="AV610" s="1611"/>
    </row>
    <row r="611" ht="14.25" customHeight="1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I611" s="1611"/>
      <c r="AJ611" s="1611"/>
      <c r="AK611" s="1611"/>
      <c r="AL611" s="1611"/>
      <c r="AM611" s="1611"/>
      <c r="AN611" s="1611"/>
      <c r="AO611" s="1611"/>
      <c r="AP611" s="1611"/>
      <c r="AQ611" s="1611"/>
      <c r="AR611" s="1611"/>
      <c r="AS611" s="1611"/>
      <c r="AT611" s="1611"/>
      <c r="AU611" s="1611"/>
      <c r="AV611" s="1611"/>
    </row>
    <row r="612" ht="14.25" customHeight="1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I612" s="1611"/>
      <c r="AJ612" s="1611"/>
      <c r="AK612" s="1611"/>
      <c r="AL612" s="1611"/>
      <c r="AM612" s="1611"/>
      <c r="AN612" s="1611"/>
      <c r="AO612" s="1611"/>
      <c r="AP612" s="1611"/>
      <c r="AQ612" s="1611"/>
      <c r="AR612" s="1611"/>
      <c r="AS612" s="1611"/>
      <c r="AT612" s="1611"/>
      <c r="AU612" s="1611"/>
      <c r="AV612" s="1611"/>
    </row>
    <row r="613" ht="14.25" customHeight="1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I613" s="1611"/>
      <c r="AJ613" s="1611"/>
      <c r="AK613" s="1611"/>
      <c r="AL613" s="1611"/>
      <c r="AM613" s="1611"/>
      <c r="AN613" s="1611"/>
      <c r="AO613" s="1611"/>
      <c r="AP613" s="1611"/>
      <c r="AQ613" s="1611"/>
      <c r="AR613" s="1611"/>
      <c r="AS613" s="1611"/>
      <c r="AT613" s="1611"/>
      <c r="AU613" s="1611"/>
      <c r="AV613" s="1611"/>
    </row>
    <row r="614" ht="14.25" customHeight="1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I614" s="1611"/>
      <c r="AJ614" s="1611"/>
      <c r="AK614" s="1611"/>
      <c r="AL614" s="1611"/>
      <c r="AM614" s="1611"/>
      <c r="AN614" s="1611"/>
      <c r="AO614" s="1611"/>
      <c r="AP614" s="1611"/>
      <c r="AQ614" s="1611"/>
      <c r="AR614" s="1611"/>
      <c r="AS614" s="1611"/>
      <c r="AT614" s="1611"/>
      <c r="AU614" s="1611"/>
      <c r="AV614" s="1611"/>
    </row>
    <row r="615" ht="14.25" customHeight="1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I615" s="1611"/>
      <c r="AJ615" s="1611"/>
      <c r="AK615" s="1611"/>
      <c r="AL615" s="1611"/>
      <c r="AM615" s="1611"/>
      <c r="AN615" s="1611"/>
      <c r="AO615" s="1611"/>
      <c r="AP615" s="1611"/>
      <c r="AQ615" s="1611"/>
      <c r="AR615" s="1611"/>
      <c r="AS615" s="1611"/>
      <c r="AT615" s="1611"/>
      <c r="AU615" s="1611"/>
      <c r="AV615" s="1611"/>
    </row>
    <row r="616" ht="14.25" customHeight="1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I616" s="1611"/>
      <c r="AJ616" s="1611"/>
      <c r="AK616" s="1611"/>
      <c r="AL616" s="1611"/>
      <c r="AM616" s="1611"/>
      <c r="AN616" s="1611"/>
      <c r="AO616" s="1611"/>
      <c r="AP616" s="1611"/>
      <c r="AQ616" s="1611"/>
      <c r="AR616" s="1611"/>
      <c r="AS616" s="1611"/>
      <c r="AT616" s="1611"/>
      <c r="AU616" s="1611"/>
      <c r="AV616" s="1611"/>
    </row>
    <row r="617" ht="14.25" customHeight="1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I617" s="1611"/>
      <c r="AJ617" s="1611"/>
      <c r="AK617" s="1611"/>
      <c r="AL617" s="1611"/>
      <c r="AM617" s="1611"/>
      <c r="AN617" s="1611"/>
      <c r="AO617" s="1611"/>
      <c r="AP617" s="1611"/>
      <c r="AQ617" s="1611"/>
      <c r="AR617" s="1611"/>
      <c r="AS617" s="1611"/>
      <c r="AT617" s="1611"/>
      <c r="AU617" s="1611"/>
      <c r="AV617" s="1611"/>
    </row>
    <row r="618" ht="14.25" customHeight="1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I618" s="1611"/>
      <c r="AJ618" s="1611"/>
      <c r="AK618" s="1611"/>
      <c r="AL618" s="1611"/>
      <c r="AM618" s="1611"/>
      <c r="AN618" s="1611"/>
      <c r="AO618" s="1611"/>
      <c r="AP618" s="1611"/>
      <c r="AQ618" s="1611"/>
      <c r="AR618" s="1611"/>
      <c r="AS618" s="1611"/>
      <c r="AT618" s="1611"/>
      <c r="AU618" s="1611"/>
      <c r="AV618" s="1611"/>
    </row>
    <row r="619" ht="14.25" customHeight="1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I619" s="1611"/>
      <c r="AJ619" s="1611"/>
      <c r="AK619" s="1611"/>
      <c r="AL619" s="1611"/>
      <c r="AM619" s="1611"/>
      <c r="AN619" s="1611"/>
      <c r="AO619" s="1611"/>
      <c r="AP619" s="1611"/>
      <c r="AQ619" s="1611"/>
      <c r="AR619" s="1611"/>
      <c r="AS619" s="1611"/>
      <c r="AT619" s="1611"/>
      <c r="AU619" s="1611"/>
      <c r="AV619" s="1611"/>
    </row>
    <row r="620" ht="14.25" customHeight="1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I620" s="1611"/>
      <c r="AJ620" s="1611"/>
      <c r="AK620" s="1611"/>
      <c r="AL620" s="1611"/>
      <c r="AM620" s="1611"/>
      <c r="AN620" s="1611"/>
      <c r="AO620" s="1611"/>
      <c r="AP620" s="1611"/>
      <c r="AQ620" s="1611"/>
      <c r="AR620" s="1611"/>
      <c r="AS620" s="1611"/>
      <c r="AT620" s="1611"/>
      <c r="AU620" s="1611"/>
      <c r="AV620" s="1611"/>
    </row>
    <row r="621" ht="14.25" customHeight="1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I621" s="1611"/>
      <c r="AJ621" s="1611"/>
      <c r="AK621" s="1611"/>
      <c r="AL621" s="1611"/>
      <c r="AM621" s="1611"/>
      <c r="AN621" s="1611"/>
      <c r="AO621" s="1611"/>
      <c r="AP621" s="1611"/>
      <c r="AQ621" s="1611"/>
      <c r="AR621" s="1611"/>
      <c r="AS621" s="1611"/>
      <c r="AT621" s="1611"/>
      <c r="AU621" s="1611"/>
      <c r="AV621" s="1611"/>
    </row>
    <row r="622" ht="14.25" customHeight="1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I622" s="1611"/>
      <c r="AJ622" s="1611"/>
      <c r="AK622" s="1611"/>
      <c r="AL622" s="1611"/>
      <c r="AM622" s="1611"/>
      <c r="AN622" s="1611"/>
      <c r="AO622" s="1611"/>
      <c r="AP622" s="1611"/>
      <c r="AQ622" s="1611"/>
      <c r="AR622" s="1611"/>
      <c r="AS622" s="1611"/>
      <c r="AT622" s="1611"/>
      <c r="AU622" s="1611"/>
      <c r="AV622" s="1611"/>
    </row>
    <row r="623" ht="14.25" customHeight="1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I623" s="1611"/>
      <c r="AJ623" s="1611"/>
      <c r="AK623" s="1611"/>
      <c r="AL623" s="1611"/>
      <c r="AM623" s="1611"/>
      <c r="AN623" s="1611"/>
      <c r="AO623" s="1611"/>
      <c r="AP623" s="1611"/>
      <c r="AQ623" s="1611"/>
      <c r="AR623" s="1611"/>
      <c r="AS623" s="1611"/>
      <c r="AT623" s="1611"/>
      <c r="AU623" s="1611"/>
      <c r="AV623" s="1611"/>
    </row>
    <row r="624" ht="14.25" customHeight="1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I624" s="1611"/>
      <c r="AJ624" s="1611"/>
      <c r="AK624" s="1611"/>
      <c r="AL624" s="1611"/>
      <c r="AM624" s="1611"/>
      <c r="AN624" s="1611"/>
      <c r="AO624" s="1611"/>
      <c r="AP624" s="1611"/>
      <c r="AQ624" s="1611"/>
      <c r="AR624" s="1611"/>
      <c r="AS624" s="1611"/>
      <c r="AT624" s="1611"/>
      <c r="AU624" s="1611"/>
      <c r="AV624" s="1611"/>
    </row>
    <row r="625" ht="14.25" customHeight="1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I625" s="1611"/>
      <c r="AJ625" s="1611"/>
      <c r="AK625" s="1611"/>
      <c r="AL625" s="1611"/>
      <c r="AM625" s="1611"/>
      <c r="AN625" s="1611"/>
      <c r="AO625" s="1611"/>
      <c r="AP625" s="1611"/>
      <c r="AQ625" s="1611"/>
      <c r="AR625" s="1611"/>
      <c r="AS625" s="1611"/>
      <c r="AT625" s="1611"/>
      <c r="AU625" s="1611"/>
      <c r="AV625" s="1611"/>
    </row>
    <row r="626" ht="14.25" customHeight="1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I626" s="1611"/>
      <c r="AJ626" s="1611"/>
      <c r="AK626" s="1611"/>
      <c r="AL626" s="1611"/>
      <c r="AM626" s="1611"/>
      <c r="AN626" s="1611"/>
      <c r="AO626" s="1611"/>
      <c r="AP626" s="1611"/>
      <c r="AQ626" s="1611"/>
      <c r="AR626" s="1611"/>
      <c r="AS626" s="1611"/>
      <c r="AT626" s="1611"/>
      <c r="AU626" s="1611"/>
      <c r="AV626" s="1611"/>
    </row>
    <row r="627" ht="14.25" customHeight="1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I627" s="1611"/>
      <c r="AJ627" s="1611"/>
      <c r="AK627" s="1611"/>
      <c r="AL627" s="1611"/>
      <c r="AM627" s="1611"/>
      <c r="AN627" s="1611"/>
      <c r="AO627" s="1611"/>
      <c r="AP627" s="1611"/>
      <c r="AQ627" s="1611"/>
      <c r="AR627" s="1611"/>
      <c r="AS627" s="1611"/>
      <c r="AT627" s="1611"/>
      <c r="AU627" s="1611"/>
      <c r="AV627" s="1611"/>
    </row>
    <row r="628" ht="14.25" customHeight="1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I628" s="1611"/>
      <c r="AJ628" s="1611"/>
      <c r="AK628" s="1611"/>
      <c r="AL628" s="1611"/>
      <c r="AM628" s="1611"/>
      <c r="AN628" s="1611"/>
      <c r="AO628" s="1611"/>
      <c r="AP628" s="1611"/>
      <c r="AQ628" s="1611"/>
      <c r="AR628" s="1611"/>
      <c r="AS628" s="1611"/>
      <c r="AT628" s="1611"/>
      <c r="AU628" s="1611"/>
      <c r="AV628" s="1611"/>
    </row>
    <row r="629" ht="14.25" customHeight="1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I629" s="1611"/>
      <c r="AJ629" s="1611"/>
      <c r="AK629" s="1611"/>
      <c r="AL629" s="1611"/>
      <c r="AM629" s="1611"/>
      <c r="AN629" s="1611"/>
      <c r="AO629" s="1611"/>
      <c r="AP629" s="1611"/>
      <c r="AQ629" s="1611"/>
      <c r="AR629" s="1611"/>
      <c r="AS629" s="1611"/>
      <c r="AT629" s="1611"/>
      <c r="AU629" s="1611"/>
      <c r="AV629" s="1611"/>
    </row>
    <row r="630" ht="14.25" customHeight="1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I630" s="1611"/>
      <c r="AJ630" s="1611"/>
      <c r="AK630" s="1611"/>
      <c r="AL630" s="1611"/>
      <c r="AM630" s="1611"/>
      <c r="AN630" s="1611"/>
      <c r="AO630" s="1611"/>
      <c r="AP630" s="1611"/>
      <c r="AQ630" s="1611"/>
      <c r="AR630" s="1611"/>
      <c r="AS630" s="1611"/>
      <c r="AT630" s="1611"/>
      <c r="AU630" s="1611"/>
      <c r="AV630" s="1611"/>
    </row>
    <row r="631" ht="14.25" customHeight="1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I631" s="1611"/>
      <c r="AJ631" s="1611"/>
      <c r="AK631" s="1611"/>
      <c r="AL631" s="1611"/>
      <c r="AM631" s="1611"/>
      <c r="AN631" s="1611"/>
      <c r="AO631" s="1611"/>
      <c r="AP631" s="1611"/>
      <c r="AQ631" s="1611"/>
      <c r="AR631" s="1611"/>
      <c r="AS631" s="1611"/>
      <c r="AT631" s="1611"/>
      <c r="AU631" s="1611"/>
      <c r="AV631" s="1611"/>
    </row>
    <row r="632" ht="14.25" customHeight="1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I632" s="1611"/>
      <c r="AJ632" s="1611"/>
      <c r="AK632" s="1611"/>
      <c r="AL632" s="1611"/>
      <c r="AM632" s="1611"/>
      <c r="AN632" s="1611"/>
      <c r="AO632" s="1611"/>
      <c r="AP632" s="1611"/>
      <c r="AQ632" s="1611"/>
      <c r="AR632" s="1611"/>
      <c r="AS632" s="1611"/>
      <c r="AT632" s="1611"/>
      <c r="AU632" s="1611"/>
      <c r="AV632" s="1611"/>
    </row>
    <row r="633" ht="14.25" customHeight="1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I633" s="1611"/>
      <c r="AJ633" s="1611"/>
      <c r="AK633" s="1611"/>
      <c r="AL633" s="1611"/>
      <c r="AM633" s="1611"/>
      <c r="AN633" s="1611"/>
      <c r="AO633" s="1611"/>
      <c r="AP633" s="1611"/>
      <c r="AQ633" s="1611"/>
      <c r="AR633" s="1611"/>
      <c r="AS633" s="1611"/>
      <c r="AT633" s="1611"/>
      <c r="AU633" s="1611"/>
      <c r="AV633" s="1611"/>
    </row>
    <row r="634" ht="14.25" customHeight="1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I634" s="1611"/>
      <c r="AJ634" s="1611"/>
      <c r="AK634" s="1611"/>
      <c r="AL634" s="1611"/>
      <c r="AM634" s="1611"/>
      <c r="AN634" s="1611"/>
      <c r="AO634" s="1611"/>
      <c r="AP634" s="1611"/>
      <c r="AQ634" s="1611"/>
      <c r="AR634" s="1611"/>
      <c r="AS634" s="1611"/>
      <c r="AT634" s="1611"/>
      <c r="AU634" s="1611"/>
      <c r="AV634" s="1611"/>
    </row>
    <row r="635" ht="14.25" customHeight="1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I635" s="1611"/>
      <c r="AJ635" s="1611"/>
      <c r="AK635" s="1611"/>
      <c r="AL635" s="1611"/>
      <c r="AM635" s="1611"/>
      <c r="AN635" s="1611"/>
      <c r="AO635" s="1611"/>
      <c r="AP635" s="1611"/>
      <c r="AQ635" s="1611"/>
      <c r="AR635" s="1611"/>
      <c r="AS635" s="1611"/>
      <c r="AT635" s="1611"/>
      <c r="AU635" s="1611"/>
      <c r="AV635" s="1611"/>
    </row>
    <row r="636" ht="14.25" customHeight="1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I636" s="1611"/>
      <c r="AJ636" s="1611"/>
      <c r="AK636" s="1611"/>
      <c r="AL636" s="1611"/>
      <c r="AM636" s="1611"/>
      <c r="AN636" s="1611"/>
      <c r="AO636" s="1611"/>
      <c r="AP636" s="1611"/>
      <c r="AQ636" s="1611"/>
      <c r="AR636" s="1611"/>
      <c r="AS636" s="1611"/>
      <c r="AT636" s="1611"/>
      <c r="AU636" s="1611"/>
      <c r="AV636" s="1611"/>
    </row>
    <row r="637" ht="14.25" customHeight="1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I637" s="1611"/>
      <c r="AJ637" s="1611"/>
      <c r="AK637" s="1611"/>
      <c r="AL637" s="1611"/>
      <c r="AM637" s="1611"/>
      <c r="AN637" s="1611"/>
      <c r="AO637" s="1611"/>
      <c r="AP637" s="1611"/>
      <c r="AQ637" s="1611"/>
      <c r="AR637" s="1611"/>
      <c r="AS637" s="1611"/>
      <c r="AT637" s="1611"/>
      <c r="AU637" s="1611"/>
      <c r="AV637" s="1611"/>
    </row>
    <row r="638" ht="14.25" customHeight="1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I638" s="1611"/>
      <c r="AJ638" s="1611"/>
      <c r="AK638" s="1611"/>
      <c r="AL638" s="1611"/>
      <c r="AM638" s="1611"/>
      <c r="AN638" s="1611"/>
      <c r="AO638" s="1611"/>
      <c r="AP638" s="1611"/>
      <c r="AQ638" s="1611"/>
      <c r="AR638" s="1611"/>
      <c r="AS638" s="1611"/>
      <c r="AT638" s="1611"/>
      <c r="AU638" s="1611"/>
      <c r="AV638" s="1611"/>
    </row>
    <row r="639" ht="14.25" customHeight="1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I639" s="1611"/>
      <c r="AJ639" s="1611"/>
      <c r="AK639" s="1611"/>
      <c r="AL639" s="1611"/>
      <c r="AM639" s="1611"/>
      <c r="AN639" s="1611"/>
      <c r="AO639" s="1611"/>
      <c r="AP639" s="1611"/>
      <c r="AQ639" s="1611"/>
      <c r="AR639" s="1611"/>
      <c r="AS639" s="1611"/>
      <c r="AT639" s="1611"/>
      <c r="AU639" s="1611"/>
      <c r="AV639" s="1611"/>
    </row>
    <row r="640" ht="14.25" customHeight="1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I640" s="1611"/>
      <c r="AJ640" s="1611"/>
      <c r="AK640" s="1611"/>
      <c r="AL640" s="1611"/>
      <c r="AM640" s="1611"/>
      <c r="AN640" s="1611"/>
      <c r="AO640" s="1611"/>
      <c r="AP640" s="1611"/>
      <c r="AQ640" s="1611"/>
      <c r="AR640" s="1611"/>
      <c r="AS640" s="1611"/>
      <c r="AT640" s="1611"/>
      <c r="AU640" s="1611"/>
      <c r="AV640" s="1611"/>
    </row>
    <row r="641" ht="14.25" customHeight="1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I641" s="1611"/>
      <c r="AJ641" s="1611"/>
      <c r="AK641" s="1611"/>
      <c r="AL641" s="1611"/>
      <c r="AM641" s="1611"/>
      <c r="AN641" s="1611"/>
      <c r="AO641" s="1611"/>
      <c r="AP641" s="1611"/>
      <c r="AQ641" s="1611"/>
      <c r="AR641" s="1611"/>
      <c r="AS641" s="1611"/>
      <c r="AT641" s="1611"/>
      <c r="AU641" s="1611"/>
      <c r="AV641" s="1611"/>
    </row>
    <row r="642" ht="14.25" customHeight="1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I642" s="1611"/>
      <c r="AJ642" s="1611"/>
      <c r="AK642" s="1611"/>
      <c r="AL642" s="1611"/>
      <c r="AM642" s="1611"/>
      <c r="AN642" s="1611"/>
      <c r="AO642" s="1611"/>
      <c r="AP642" s="1611"/>
      <c r="AQ642" s="1611"/>
      <c r="AR642" s="1611"/>
      <c r="AS642" s="1611"/>
      <c r="AT642" s="1611"/>
      <c r="AU642" s="1611"/>
      <c r="AV642" s="1611"/>
    </row>
    <row r="643" ht="14.25" customHeight="1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I643" s="1611"/>
      <c r="AJ643" s="1611"/>
      <c r="AK643" s="1611"/>
      <c r="AL643" s="1611"/>
      <c r="AM643" s="1611"/>
      <c r="AN643" s="1611"/>
      <c r="AO643" s="1611"/>
      <c r="AP643" s="1611"/>
      <c r="AQ643" s="1611"/>
      <c r="AR643" s="1611"/>
      <c r="AS643" s="1611"/>
      <c r="AT643" s="1611"/>
      <c r="AU643" s="1611"/>
      <c r="AV643" s="1611"/>
    </row>
    <row r="644" ht="14.25" customHeight="1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I644" s="1611"/>
      <c r="AJ644" s="1611"/>
      <c r="AK644" s="1611"/>
      <c r="AL644" s="1611"/>
      <c r="AM644" s="1611"/>
      <c r="AN644" s="1611"/>
      <c r="AO644" s="1611"/>
      <c r="AP644" s="1611"/>
      <c r="AQ644" s="1611"/>
      <c r="AR644" s="1611"/>
      <c r="AS644" s="1611"/>
      <c r="AT644" s="1611"/>
      <c r="AU644" s="1611"/>
      <c r="AV644" s="1611"/>
    </row>
    <row r="645" ht="14.25" customHeight="1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I645" s="1611"/>
      <c r="AJ645" s="1611"/>
      <c r="AK645" s="1611"/>
      <c r="AL645" s="1611"/>
      <c r="AM645" s="1611"/>
      <c r="AN645" s="1611"/>
      <c r="AO645" s="1611"/>
      <c r="AP645" s="1611"/>
      <c r="AQ645" s="1611"/>
      <c r="AR645" s="1611"/>
      <c r="AS645" s="1611"/>
      <c r="AT645" s="1611"/>
      <c r="AU645" s="1611"/>
      <c r="AV645" s="1611"/>
    </row>
    <row r="646" ht="14.25" customHeight="1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I646" s="1611"/>
      <c r="AJ646" s="1611"/>
      <c r="AK646" s="1611"/>
      <c r="AL646" s="1611"/>
      <c r="AM646" s="1611"/>
      <c r="AN646" s="1611"/>
      <c r="AO646" s="1611"/>
      <c r="AP646" s="1611"/>
      <c r="AQ646" s="1611"/>
      <c r="AR646" s="1611"/>
      <c r="AS646" s="1611"/>
      <c r="AT646" s="1611"/>
      <c r="AU646" s="1611"/>
      <c r="AV646" s="1611"/>
    </row>
    <row r="647" ht="14.25" customHeight="1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I647" s="1611"/>
      <c r="AJ647" s="1611"/>
      <c r="AK647" s="1611"/>
      <c r="AL647" s="1611"/>
      <c r="AM647" s="1611"/>
      <c r="AN647" s="1611"/>
      <c r="AO647" s="1611"/>
      <c r="AP647" s="1611"/>
      <c r="AQ647" s="1611"/>
      <c r="AR647" s="1611"/>
      <c r="AS647" s="1611"/>
      <c r="AT647" s="1611"/>
      <c r="AU647" s="1611"/>
      <c r="AV647" s="1611"/>
    </row>
    <row r="648" ht="14.25" customHeight="1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I648" s="1611"/>
      <c r="AJ648" s="1611"/>
      <c r="AK648" s="1611"/>
      <c r="AL648" s="1611"/>
      <c r="AM648" s="1611"/>
      <c r="AN648" s="1611"/>
      <c r="AO648" s="1611"/>
      <c r="AP648" s="1611"/>
      <c r="AQ648" s="1611"/>
      <c r="AR648" s="1611"/>
      <c r="AS648" s="1611"/>
      <c r="AT648" s="1611"/>
      <c r="AU648" s="1611"/>
      <c r="AV648" s="1611"/>
    </row>
    <row r="649" ht="14.25" customHeight="1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I649" s="1611"/>
      <c r="AJ649" s="1611"/>
      <c r="AK649" s="1611"/>
      <c r="AL649" s="1611"/>
      <c r="AM649" s="1611"/>
      <c r="AN649" s="1611"/>
      <c r="AO649" s="1611"/>
      <c r="AP649" s="1611"/>
      <c r="AQ649" s="1611"/>
      <c r="AR649" s="1611"/>
      <c r="AS649" s="1611"/>
      <c r="AT649" s="1611"/>
      <c r="AU649" s="1611"/>
      <c r="AV649" s="1611"/>
    </row>
    <row r="650" ht="14.25" customHeight="1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I650" s="1611"/>
      <c r="AJ650" s="1611"/>
      <c r="AK650" s="1611"/>
      <c r="AL650" s="1611"/>
      <c r="AM650" s="1611"/>
      <c r="AN650" s="1611"/>
      <c r="AO650" s="1611"/>
      <c r="AP650" s="1611"/>
      <c r="AQ650" s="1611"/>
      <c r="AR650" s="1611"/>
      <c r="AS650" s="1611"/>
      <c r="AT650" s="1611"/>
      <c r="AU650" s="1611"/>
      <c r="AV650" s="1611"/>
    </row>
    <row r="651" ht="14.25" customHeight="1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I651" s="1611"/>
      <c r="AJ651" s="1611"/>
      <c r="AK651" s="1611"/>
      <c r="AL651" s="1611"/>
      <c r="AM651" s="1611"/>
      <c r="AN651" s="1611"/>
      <c r="AO651" s="1611"/>
      <c r="AP651" s="1611"/>
      <c r="AQ651" s="1611"/>
      <c r="AR651" s="1611"/>
      <c r="AS651" s="1611"/>
      <c r="AT651" s="1611"/>
      <c r="AU651" s="1611"/>
      <c r="AV651" s="1611"/>
    </row>
    <row r="652" ht="14.25" customHeight="1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I652" s="1611"/>
      <c r="AJ652" s="1611"/>
      <c r="AK652" s="1611"/>
      <c r="AL652" s="1611"/>
      <c r="AM652" s="1611"/>
      <c r="AN652" s="1611"/>
      <c r="AO652" s="1611"/>
      <c r="AP652" s="1611"/>
      <c r="AQ652" s="1611"/>
      <c r="AR652" s="1611"/>
      <c r="AS652" s="1611"/>
      <c r="AT652" s="1611"/>
      <c r="AU652" s="1611"/>
      <c r="AV652" s="1611"/>
    </row>
    <row r="653" ht="14.25" customHeight="1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I653" s="1611"/>
      <c r="AJ653" s="1611"/>
      <c r="AK653" s="1611"/>
      <c r="AL653" s="1611"/>
      <c r="AM653" s="1611"/>
      <c r="AN653" s="1611"/>
      <c r="AO653" s="1611"/>
      <c r="AP653" s="1611"/>
      <c r="AQ653" s="1611"/>
      <c r="AR653" s="1611"/>
      <c r="AS653" s="1611"/>
      <c r="AT653" s="1611"/>
      <c r="AU653" s="1611"/>
      <c r="AV653" s="1611"/>
    </row>
    <row r="654" ht="14.25" customHeight="1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I654" s="1611"/>
      <c r="AJ654" s="1611"/>
      <c r="AK654" s="1611"/>
      <c r="AL654" s="1611"/>
      <c r="AM654" s="1611"/>
      <c r="AN654" s="1611"/>
      <c r="AO654" s="1611"/>
      <c r="AP654" s="1611"/>
      <c r="AQ654" s="1611"/>
      <c r="AR654" s="1611"/>
      <c r="AS654" s="1611"/>
      <c r="AT654" s="1611"/>
      <c r="AU654" s="1611"/>
      <c r="AV654" s="1611"/>
    </row>
    <row r="655" ht="14.25" customHeight="1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I655" s="1611"/>
      <c r="AJ655" s="1611"/>
      <c r="AK655" s="1611"/>
      <c r="AL655" s="1611"/>
      <c r="AM655" s="1611"/>
      <c r="AN655" s="1611"/>
      <c r="AO655" s="1611"/>
      <c r="AP655" s="1611"/>
      <c r="AQ655" s="1611"/>
      <c r="AR655" s="1611"/>
      <c r="AS655" s="1611"/>
      <c r="AT655" s="1611"/>
      <c r="AU655" s="1611"/>
      <c r="AV655" s="1611"/>
    </row>
    <row r="656" ht="14.25" customHeight="1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I656" s="1611"/>
      <c r="AJ656" s="1611"/>
      <c r="AK656" s="1611"/>
      <c r="AL656" s="1611"/>
      <c r="AM656" s="1611"/>
      <c r="AN656" s="1611"/>
      <c r="AO656" s="1611"/>
      <c r="AP656" s="1611"/>
      <c r="AQ656" s="1611"/>
      <c r="AR656" s="1611"/>
      <c r="AS656" s="1611"/>
      <c r="AT656" s="1611"/>
      <c r="AU656" s="1611"/>
      <c r="AV656" s="1611"/>
    </row>
    <row r="657" ht="14.25" customHeight="1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I657" s="1611"/>
      <c r="AJ657" s="1611"/>
      <c r="AK657" s="1611"/>
      <c r="AL657" s="1611"/>
      <c r="AM657" s="1611"/>
      <c r="AN657" s="1611"/>
      <c r="AO657" s="1611"/>
      <c r="AP657" s="1611"/>
      <c r="AQ657" s="1611"/>
      <c r="AR657" s="1611"/>
      <c r="AS657" s="1611"/>
      <c r="AT657" s="1611"/>
      <c r="AU657" s="1611"/>
      <c r="AV657" s="1611"/>
    </row>
    <row r="658" ht="14.25" customHeight="1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I658" s="1611"/>
      <c r="AJ658" s="1611"/>
      <c r="AK658" s="1611"/>
      <c r="AL658" s="1611"/>
      <c r="AM658" s="1611"/>
      <c r="AN658" s="1611"/>
      <c r="AO658" s="1611"/>
      <c r="AP658" s="1611"/>
      <c r="AQ658" s="1611"/>
      <c r="AR658" s="1611"/>
      <c r="AS658" s="1611"/>
      <c r="AT658" s="1611"/>
      <c r="AU658" s="1611"/>
      <c r="AV658" s="1611"/>
    </row>
    <row r="659" ht="14.25" customHeight="1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I659" s="1611"/>
      <c r="AJ659" s="1611"/>
      <c r="AK659" s="1611"/>
      <c r="AL659" s="1611"/>
      <c r="AM659" s="1611"/>
      <c r="AN659" s="1611"/>
      <c r="AO659" s="1611"/>
      <c r="AP659" s="1611"/>
      <c r="AQ659" s="1611"/>
      <c r="AR659" s="1611"/>
      <c r="AS659" s="1611"/>
      <c r="AT659" s="1611"/>
      <c r="AU659" s="1611"/>
      <c r="AV659" s="1611"/>
    </row>
    <row r="660" ht="14.25" customHeight="1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I660" s="1611"/>
      <c r="AJ660" s="1611"/>
      <c r="AK660" s="1611"/>
      <c r="AL660" s="1611"/>
      <c r="AM660" s="1611"/>
      <c r="AN660" s="1611"/>
      <c r="AO660" s="1611"/>
      <c r="AP660" s="1611"/>
      <c r="AQ660" s="1611"/>
      <c r="AR660" s="1611"/>
      <c r="AS660" s="1611"/>
      <c r="AT660" s="1611"/>
      <c r="AU660" s="1611"/>
      <c r="AV660" s="1611"/>
    </row>
    <row r="661" ht="14.25" customHeight="1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I661" s="1611"/>
      <c r="AJ661" s="1611"/>
      <c r="AK661" s="1611"/>
      <c r="AL661" s="1611"/>
      <c r="AM661" s="1611"/>
      <c r="AN661" s="1611"/>
      <c r="AO661" s="1611"/>
      <c r="AP661" s="1611"/>
      <c r="AQ661" s="1611"/>
      <c r="AR661" s="1611"/>
      <c r="AS661" s="1611"/>
      <c r="AT661" s="1611"/>
      <c r="AU661" s="1611"/>
      <c r="AV661" s="1611"/>
    </row>
    <row r="662" ht="14.25" customHeight="1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I662" s="1611"/>
      <c r="AJ662" s="1611"/>
      <c r="AK662" s="1611"/>
      <c r="AL662" s="1611"/>
      <c r="AM662" s="1611"/>
      <c r="AN662" s="1611"/>
      <c r="AO662" s="1611"/>
      <c r="AP662" s="1611"/>
      <c r="AQ662" s="1611"/>
      <c r="AR662" s="1611"/>
      <c r="AS662" s="1611"/>
      <c r="AT662" s="1611"/>
      <c r="AU662" s="1611"/>
      <c r="AV662" s="1611"/>
    </row>
    <row r="663" ht="14.25" customHeight="1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I663" s="1611"/>
      <c r="AJ663" s="1611"/>
      <c r="AK663" s="1611"/>
      <c r="AL663" s="1611"/>
      <c r="AM663" s="1611"/>
      <c r="AN663" s="1611"/>
      <c r="AO663" s="1611"/>
      <c r="AP663" s="1611"/>
      <c r="AQ663" s="1611"/>
      <c r="AR663" s="1611"/>
      <c r="AS663" s="1611"/>
      <c r="AT663" s="1611"/>
      <c r="AU663" s="1611"/>
      <c r="AV663" s="1611"/>
    </row>
    <row r="664" ht="14.25" customHeight="1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I664" s="1611"/>
      <c r="AJ664" s="1611"/>
      <c r="AK664" s="1611"/>
      <c r="AL664" s="1611"/>
      <c r="AM664" s="1611"/>
      <c r="AN664" s="1611"/>
      <c r="AO664" s="1611"/>
      <c r="AP664" s="1611"/>
      <c r="AQ664" s="1611"/>
      <c r="AR664" s="1611"/>
      <c r="AS664" s="1611"/>
      <c r="AT664" s="1611"/>
      <c r="AU664" s="1611"/>
      <c r="AV664" s="1611"/>
    </row>
    <row r="665" ht="14.25" customHeight="1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I665" s="1611"/>
      <c r="AJ665" s="1611"/>
      <c r="AK665" s="1611"/>
      <c r="AL665" s="1611"/>
      <c r="AM665" s="1611"/>
      <c r="AN665" s="1611"/>
      <c r="AO665" s="1611"/>
      <c r="AP665" s="1611"/>
      <c r="AQ665" s="1611"/>
      <c r="AR665" s="1611"/>
      <c r="AS665" s="1611"/>
      <c r="AT665" s="1611"/>
      <c r="AU665" s="1611"/>
      <c r="AV665" s="1611"/>
    </row>
    <row r="666" ht="14.25" customHeight="1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I666" s="1611"/>
      <c r="AJ666" s="1611"/>
      <c r="AK666" s="1611"/>
      <c r="AL666" s="1611"/>
      <c r="AM666" s="1611"/>
      <c r="AN666" s="1611"/>
      <c r="AO666" s="1611"/>
      <c r="AP666" s="1611"/>
      <c r="AQ666" s="1611"/>
      <c r="AR666" s="1611"/>
      <c r="AS666" s="1611"/>
      <c r="AT666" s="1611"/>
      <c r="AU666" s="1611"/>
      <c r="AV666" s="1611"/>
    </row>
    <row r="667" ht="14.25" customHeight="1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I667" s="1611"/>
      <c r="AJ667" s="1611"/>
      <c r="AK667" s="1611"/>
      <c r="AL667" s="1611"/>
      <c r="AM667" s="1611"/>
      <c r="AN667" s="1611"/>
      <c r="AO667" s="1611"/>
      <c r="AP667" s="1611"/>
      <c r="AQ667" s="1611"/>
      <c r="AR667" s="1611"/>
      <c r="AS667" s="1611"/>
      <c r="AT667" s="1611"/>
      <c r="AU667" s="1611"/>
      <c r="AV667" s="1611"/>
    </row>
    <row r="668" ht="14.25" customHeight="1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I668" s="1611"/>
      <c r="AJ668" s="1611"/>
      <c r="AK668" s="1611"/>
      <c r="AL668" s="1611"/>
      <c r="AM668" s="1611"/>
      <c r="AN668" s="1611"/>
      <c r="AO668" s="1611"/>
      <c r="AP668" s="1611"/>
      <c r="AQ668" s="1611"/>
      <c r="AR668" s="1611"/>
      <c r="AS668" s="1611"/>
      <c r="AT668" s="1611"/>
      <c r="AU668" s="1611"/>
      <c r="AV668" s="1611"/>
    </row>
    <row r="669" ht="14.25" customHeight="1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I669" s="1611"/>
      <c r="AJ669" s="1611"/>
      <c r="AK669" s="1611"/>
      <c r="AL669" s="1611"/>
      <c r="AM669" s="1611"/>
      <c r="AN669" s="1611"/>
      <c r="AO669" s="1611"/>
      <c r="AP669" s="1611"/>
      <c r="AQ669" s="1611"/>
      <c r="AR669" s="1611"/>
      <c r="AS669" s="1611"/>
      <c r="AT669" s="1611"/>
      <c r="AU669" s="1611"/>
      <c r="AV669" s="1611"/>
    </row>
    <row r="670" ht="14.25" customHeight="1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I670" s="1611"/>
      <c r="AJ670" s="1611"/>
      <c r="AK670" s="1611"/>
      <c r="AL670" s="1611"/>
      <c r="AM670" s="1611"/>
      <c r="AN670" s="1611"/>
      <c r="AO670" s="1611"/>
      <c r="AP670" s="1611"/>
      <c r="AQ670" s="1611"/>
      <c r="AR670" s="1611"/>
      <c r="AS670" s="1611"/>
      <c r="AT670" s="1611"/>
      <c r="AU670" s="1611"/>
      <c r="AV670" s="1611"/>
    </row>
    <row r="671" ht="14.25" customHeight="1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I671" s="1611"/>
      <c r="AJ671" s="1611"/>
      <c r="AK671" s="1611"/>
      <c r="AL671" s="1611"/>
      <c r="AM671" s="1611"/>
      <c r="AN671" s="1611"/>
      <c r="AO671" s="1611"/>
      <c r="AP671" s="1611"/>
      <c r="AQ671" s="1611"/>
      <c r="AR671" s="1611"/>
      <c r="AS671" s="1611"/>
      <c r="AT671" s="1611"/>
      <c r="AU671" s="1611"/>
      <c r="AV671" s="1611"/>
    </row>
    <row r="672" ht="14.25" customHeight="1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I672" s="1611"/>
      <c r="AJ672" s="1611"/>
      <c r="AK672" s="1611"/>
      <c r="AL672" s="1611"/>
      <c r="AM672" s="1611"/>
      <c r="AN672" s="1611"/>
      <c r="AO672" s="1611"/>
      <c r="AP672" s="1611"/>
      <c r="AQ672" s="1611"/>
      <c r="AR672" s="1611"/>
      <c r="AS672" s="1611"/>
      <c r="AT672" s="1611"/>
      <c r="AU672" s="1611"/>
      <c r="AV672" s="1611"/>
    </row>
    <row r="673" ht="14.25" customHeight="1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I673" s="1611"/>
      <c r="AJ673" s="1611"/>
      <c r="AK673" s="1611"/>
      <c r="AL673" s="1611"/>
      <c r="AM673" s="1611"/>
      <c r="AN673" s="1611"/>
      <c r="AO673" s="1611"/>
      <c r="AP673" s="1611"/>
      <c r="AQ673" s="1611"/>
      <c r="AR673" s="1611"/>
      <c r="AS673" s="1611"/>
      <c r="AT673" s="1611"/>
      <c r="AU673" s="1611"/>
      <c r="AV673" s="1611"/>
    </row>
    <row r="674" ht="14.25" customHeight="1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I674" s="1611"/>
      <c r="AJ674" s="1611"/>
      <c r="AK674" s="1611"/>
      <c r="AL674" s="1611"/>
      <c r="AM674" s="1611"/>
      <c r="AN674" s="1611"/>
      <c r="AO674" s="1611"/>
      <c r="AP674" s="1611"/>
      <c r="AQ674" s="1611"/>
      <c r="AR674" s="1611"/>
      <c r="AS674" s="1611"/>
      <c r="AT674" s="1611"/>
      <c r="AU674" s="1611"/>
      <c r="AV674" s="1611"/>
    </row>
    <row r="675" ht="14.25" customHeight="1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I675" s="1611"/>
      <c r="AJ675" s="1611"/>
      <c r="AK675" s="1611"/>
      <c r="AL675" s="1611"/>
      <c r="AM675" s="1611"/>
      <c r="AN675" s="1611"/>
      <c r="AO675" s="1611"/>
      <c r="AP675" s="1611"/>
      <c r="AQ675" s="1611"/>
      <c r="AR675" s="1611"/>
      <c r="AS675" s="1611"/>
      <c r="AT675" s="1611"/>
      <c r="AU675" s="1611"/>
      <c r="AV675" s="1611"/>
    </row>
    <row r="676" ht="14.25" customHeight="1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I676" s="1611"/>
      <c r="AJ676" s="1611"/>
      <c r="AK676" s="1611"/>
      <c r="AL676" s="1611"/>
      <c r="AM676" s="1611"/>
      <c r="AN676" s="1611"/>
      <c r="AO676" s="1611"/>
      <c r="AP676" s="1611"/>
      <c r="AQ676" s="1611"/>
      <c r="AR676" s="1611"/>
      <c r="AS676" s="1611"/>
      <c r="AT676" s="1611"/>
      <c r="AU676" s="1611"/>
      <c r="AV676" s="1611"/>
    </row>
    <row r="677" ht="14.25" customHeight="1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I677" s="1611"/>
      <c r="AJ677" s="1611"/>
      <c r="AK677" s="1611"/>
      <c r="AL677" s="1611"/>
      <c r="AM677" s="1611"/>
      <c r="AN677" s="1611"/>
      <c r="AO677" s="1611"/>
      <c r="AP677" s="1611"/>
      <c r="AQ677" s="1611"/>
      <c r="AR677" s="1611"/>
      <c r="AS677" s="1611"/>
      <c r="AT677" s="1611"/>
      <c r="AU677" s="1611"/>
      <c r="AV677" s="1611"/>
    </row>
    <row r="678" ht="14.25" customHeight="1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I678" s="1611"/>
      <c r="AJ678" s="1611"/>
      <c r="AK678" s="1611"/>
      <c r="AL678" s="1611"/>
      <c r="AM678" s="1611"/>
      <c r="AN678" s="1611"/>
      <c r="AO678" s="1611"/>
      <c r="AP678" s="1611"/>
      <c r="AQ678" s="1611"/>
      <c r="AR678" s="1611"/>
      <c r="AS678" s="1611"/>
      <c r="AT678" s="1611"/>
      <c r="AU678" s="1611"/>
      <c r="AV678" s="1611"/>
    </row>
    <row r="679" ht="14.25" customHeight="1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I679" s="1611"/>
      <c r="AJ679" s="1611"/>
      <c r="AK679" s="1611"/>
      <c r="AL679" s="1611"/>
      <c r="AM679" s="1611"/>
      <c r="AN679" s="1611"/>
      <c r="AO679" s="1611"/>
      <c r="AP679" s="1611"/>
      <c r="AQ679" s="1611"/>
      <c r="AR679" s="1611"/>
      <c r="AS679" s="1611"/>
      <c r="AT679" s="1611"/>
      <c r="AU679" s="1611"/>
      <c r="AV679" s="1611"/>
    </row>
    <row r="680" ht="14.25" customHeight="1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I680" s="1611"/>
      <c r="AJ680" s="1611"/>
      <c r="AK680" s="1611"/>
      <c r="AL680" s="1611"/>
      <c r="AM680" s="1611"/>
      <c r="AN680" s="1611"/>
      <c r="AO680" s="1611"/>
      <c r="AP680" s="1611"/>
      <c r="AQ680" s="1611"/>
      <c r="AR680" s="1611"/>
      <c r="AS680" s="1611"/>
      <c r="AT680" s="1611"/>
      <c r="AU680" s="1611"/>
      <c r="AV680" s="1611"/>
    </row>
    <row r="681" ht="14.25" customHeight="1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I681" s="1611"/>
      <c r="AJ681" s="1611"/>
      <c r="AK681" s="1611"/>
      <c r="AL681" s="1611"/>
      <c r="AM681" s="1611"/>
      <c r="AN681" s="1611"/>
      <c r="AO681" s="1611"/>
      <c r="AP681" s="1611"/>
      <c r="AQ681" s="1611"/>
      <c r="AR681" s="1611"/>
      <c r="AS681" s="1611"/>
      <c r="AT681" s="1611"/>
      <c r="AU681" s="1611"/>
      <c r="AV681" s="1611"/>
    </row>
    <row r="682" ht="14.25" customHeight="1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I682" s="1611"/>
      <c r="AJ682" s="1611"/>
      <c r="AK682" s="1611"/>
      <c r="AL682" s="1611"/>
      <c r="AM682" s="1611"/>
      <c r="AN682" s="1611"/>
      <c r="AO682" s="1611"/>
      <c r="AP682" s="1611"/>
      <c r="AQ682" s="1611"/>
      <c r="AR682" s="1611"/>
      <c r="AS682" s="1611"/>
      <c r="AT682" s="1611"/>
      <c r="AU682" s="1611"/>
      <c r="AV682" s="1611"/>
    </row>
    <row r="683" ht="14.25" customHeight="1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I683" s="1611"/>
      <c r="AJ683" s="1611"/>
      <c r="AK683" s="1611"/>
      <c r="AL683" s="1611"/>
      <c r="AM683" s="1611"/>
      <c r="AN683" s="1611"/>
      <c r="AO683" s="1611"/>
      <c r="AP683" s="1611"/>
      <c r="AQ683" s="1611"/>
      <c r="AR683" s="1611"/>
      <c r="AS683" s="1611"/>
      <c r="AT683" s="1611"/>
      <c r="AU683" s="1611"/>
      <c r="AV683" s="1611"/>
    </row>
    <row r="684" ht="14.25" customHeight="1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I684" s="1611"/>
      <c r="AJ684" s="1611"/>
      <c r="AK684" s="1611"/>
      <c r="AL684" s="1611"/>
      <c r="AM684" s="1611"/>
      <c r="AN684" s="1611"/>
      <c r="AO684" s="1611"/>
      <c r="AP684" s="1611"/>
      <c r="AQ684" s="1611"/>
      <c r="AR684" s="1611"/>
      <c r="AS684" s="1611"/>
      <c r="AT684" s="1611"/>
      <c r="AU684" s="1611"/>
      <c r="AV684" s="1611"/>
    </row>
    <row r="685" ht="14.25" customHeight="1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I685" s="1611"/>
      <c r="AJ685" s="1611"/>
      <c r="AK685" s="1611"/>
      <c r="AL685" s="1611"/>
      <c r="AM685" s="1611"/>
      <c r="AN685" s="1611"/>
      <c r="AO685" s="1611"/>
      <c r="AP685" s="1611"/>
      <c r="AQ685" s="1611"/>
      <c r="AR685" s="1611"/>
      <c r="AS685" s="1611"/>
      <c r="AT685" s="1611"/>
      <c r="AU685" s="1611"/>
      <c r="AV685" s="1611"/>
    </row>
    <row r="686" ht="14.25" customHeight="1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I686" s="1611"/>
      <c r="AJ686" s="1611"/>
      <c r="AK686" s="1611"/>
      <c r="AL686" s="1611"/>
      <c r="AM686" s="1611"/>
      <c r="AN686" s="1611"/>
      <c r="AO686" s="1611"/>
      <c r="AP686" s="1611"/>
      <c r="AQ686" s="1611"/>
      <c r="AR686" s="1611"/>
      <c r="AS686" s="1611"/>
      <c r="AT686" s="1611"/>
      <c r="AU686" s="1611"/>
      <c r="AV686" s="1611"/>
    </row>
    <row r="687" ht="14.25" customHeight="1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I687" s="1611"/>
      <c r="AJ687" s="1611"/>
      <c r="AK687" s="1611"/>
      <c r="AL687" s="1611"/>
      <c r="AM687" s="1611"/>
      <c r="AN687" s="1611"/>
      <c r="AO687" s="1611"/>
      <c r="AP687" s="1611"/>
      <c r="AQ687" s="1611"/>
      <c r="AR687" s="1611"/>
      <c r="AS687" s="1611"/>
      <c r="AT687" s="1611"/>
      <c r="AU687" s="1611"/>
      <c r="AV687" s="1611"/>
    </row>
    <row r="688" ht="14.25" customHeight="1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I688" s="1611"/>
      <c r="AJ688" s="1611"/>
      <c r="AK688" s="1611"/>
      <c r="AL688" s="1611"/>
      <c r="AM688" s="1611"/>
      <c r="AN688" s="1611"/>
      <c r="AO688" s="1611"/>
      <c r="AP688" s="1611"/>
      <c r="AQ688" s="1611"/>
      <c r="AR688" s="1611"/>
      <c r="AS688" s="1611"/>
      <c r="AT688" s="1611"/>
      <c r="AU688" s="1611"/>
      <c r="AV688" s="1611"/>
    </row>
    <row r="689" ht="14.25" customHeight="1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I689" s="1611"/>
      <c r="AJ689" s="1611"/>
      <c r="AK689" s="1611"/>
      <c r="AL689" s="1611"/>
      <c r="AM689" s="1611"/>
      <c r="AN689" s="1611"/>
      <c r="AO689" s="1611"/>
      <c r="AP689" s="1611"/>
      <c r="AQ689" s="1611"/>
      <c r="AR689" s="1611"/>
      <c r="AS689" s="1611"/>
      <c r="AT689" s="1611"/>
      <c r="AU689" s="1611"/>
      <c r="AV689" s="1611"/>
    </row>
    <row r="690" ht="14.25" customHeight="1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I690" s="1611"/>
      <c r="AJ690" s="1611"/>
      <c r="AK690" s="1611"/>
      <c r="AL690" s="1611"/>
      <c r="AM690" s="1611"/>
      <c r="AN690" s="1611"/>
      <c r="AO690" s="1611"/>
      <c r="AP690" s="1611"/>
      <c r="AQ690" s="1611"/>
      <c r="AR690" s="1611"/>
      <c r="AS690" s="1611"/>
      <c r="AT690" s="1611"/>
      <c r="AU690" s="1611"/>
      <c r="AV690" s="1611"/>
    </row>
    <row r="691" ht="14.25" customHeight="1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I691" s="1611"/>
      <c r="AJ691" s="1611"/>
      <c r="AK691" s="1611"/>
      <c r="AL691" s="1611"/>
      <c r="AM691" s="1611"/>
      <c r="AN691" s="1611"/>
      <c r="AO691" s="1611"/>
      <c r="AP691" s="1611"/>
      <c r="AQ691" s="1611"/>
      <c r="AR691" s="1611"/>
      <c r="AS691" s="1611"/>
      <c r="AT691" s="1611"/>
      <c r="AU691" s="1611"/>
      <c r="AV691" s="1611"/>
    </row>
    <row r="692" ht="14.25" customHeight="1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I692" s="1611"/>
      <c r="AJ692" s="1611"/>
      <c r="AK692" s="1611"/>
      <c r="AL692" s="1611"/>
      <c r="AM692" s="1611"/>
      <c r="AN692" s="1611"/>
      <c r="AO692" s="1611"/>
      <c r="AP692" s="1611"/>
      <c r="AQ692" s="1611"/>
      <c r="AR692" s="1611"/>
      <c r="AS692" s="1611"/>
      <c r="AT692" s="1611"/>
      <c r="AU692" s="1611"/>
      <c r="AV692" s="1611"/>
    </row>
    <row r="693" ht="14.25" customHeight="1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I693" s="1611"/>
      <c r="AJ693" s="1611"/>
      <c r="AK693" s="1611"/>
      <c r="AL693" s="1611"/>
      <c r="AM693" s="1611"/>
      <c r="AN693" s="1611"/>
      <c r="AO693" s="1611"/>
      <c r="AP693" s="1611"/>
      <c r="AQ693" s="1611"/>
      <c r="AR693" s="1611"/>
      <c r="AS693" s="1611"/>
      <c r="AT693" s="1611"/>
      <c r="AU693" s="1611"/>
      <c r="AV693" s="1611"/>
    </row>
    <row r="694" ht="14.25" customHeight="1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I694" s="1611"/>
      <c r="AJ694" s="1611"/>
      <c r="AK694" s="1611"/>
      <c r="AL694" s="1611"/>
      <c r="AM694" s="1611"/>
      <c r="AN694" s="1611"/>
      <c r="AO694" s="1611"/>
      <c r="AP694" s="1611"/>
      <c r="AQ694" s="1611"/>
      <c r="AR694" s="1611"/>
      <c r="AS694" s="1611"/>
      <c r="AT694" s="1611"/>
      <c r="AU694" s="1611"/>
      <c r="AV694" s="1611"/>
    </row>
    <row r="695" ht="14.25" customHeight="1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I695" s="1611"/>
      <c r="AJ695" s="1611"/>
      <c r="AK695" s="1611"/>
      <c r="AL695" s="1611"/>
      <c r="AM695" s="1611"/>
      <c r="AN695" s="1611"/>
      <c r="AO695" s="1611"/>
      <c r="AP695" s="1611"/>
      <c r="AQ695" s="1611"/>
      <c r="AR695" s="1611"/>
      <c r="AS695" s="1611"/>
      <c r="AT695" s="1611"/>
      <c r="AU695" s="1611"/>
      <c r="AV695" s="1611"/>
    </row>
    <row r="696" ht="14.25" customHeight="1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I696" s="1611"/>
      <c r="AJ696" s="1611"/>
      <c r="AK696" s="1611"/>
      <c r="AL696" s="1611"/>
      <c r="AM696" s="1611"/>
      <c r="AN696" s="1611"/>
      <c r="AO696" s="1611"/>
      <c r="AP696" s="1611"/>
      <c r="AQ696" s="1611"/>
      <c r="AR696" s="1611"/>
      <c r="AS696" s="1611"/>
      <c r="AT696" s="1611"/>
      <c r="AU696" s="1611"/>
      <c r="AV696" s="1611"/>
    </row>
    <row r="697" ht="14.25" customHeight="1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I697" s="1611"/>
      <c r="AJ697" s="1611"/>
      <c r="AK697" s="1611"/>
      <c r="AL697" s="1611"/>
      <c r="AM697" s="1611"/>
      <c r="AN697" s="1611"/>
      <c r="AO697" s="1611"/>
      <c r="AP697" s="1611"/>
      <c r="AQ697" s="1611"/>
      <c r="AR697" s="1611"/>
      <c r="AS697" s="1611"/>
      <c r="AT697" s="1611"/>
      <c r="AU697" s="1611"/>
      <c r="AV697" s="1611"/>
    </row>
    <row r="698" ht="14.25" customHeight="1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I698" s="1611"/>
      <c r="AJ698" s="1611"/>
      <c r="AK698" s="1611"/>
      <c r="AL698" s="1611"/>
      <c r="AM698" s="1611"/>
      <c r="AN698" s="1611"/>
      <c r="AO698" s="1611"/>
      <c r="AP698" s="1611"/>
      <c r="AQ698" s="1611"/>
      <c r="AR698" s="1611"/>
      <c r="AS698" s="1611"/>
      <c r="AT698" s="1611"/>
      <c r="AU698" s="1611"/>
      <c r="AV698" s="1611"/>
    </row>
    <row r="699" ht="14.25" customHeight="1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I699" s="1611"/>
      <c r="AJ699" s="1611"/>
      <c r="AK699" s="1611"/>
      <c r="AL699" s="1611"/>
      <c r="AM699" s="1611"/>
      <c r="AN699" s="1611"/>
      <c r="AO699" s="1611"/>
      <c r="AP699" s="1611"/>
      <c r="AQ699" s="1611"/>
      <c r="AR699" s="1611"/>
      <c r="AS699" s="1611"/>
      <c r="AT699" s="1611"/>
      <c r="AU699" s="1611"/>
      <c r="AV699" s="1611"/>
    </row>
    <row r="700" ht="14.25" customHeight="1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I700" s="1611"/>
      <c r="AJ700" s="1611"/>
      <c r="AK700" s="1611"/>
      <c r="AL700" s="1611"/>
      <c r="AM700" s="1611"/>
      <c r="AN700" s="1611"/>
      <c r="AO700" s="1611"/>
      <c r="AP700" s="1611"/>
      <c r="AQ700" s="1611"/>
      <c r="AR700" s="1611"/>
      <c r="AS700" s="1611"/>
      <c r="AT700" s="1611"/>
      <c r="AU700" s="1611"/>
      <c r="AV700" s="1611"/>
    </row>
    <row r="701" ht="14.25" customHeight="1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I701" s="1611"/>
      <c r="AJ701" s="1611"/>
      <c r="AK701" s="1611"/>
      <c r="AL701" s="1611"/>
      <c r="AM701" s="1611"/>
      <c r="AN701" s="1611"/>
      <c r="AO701" s="1611"/>
      <c r="AP701" s="1611"/>
      <c r="AQ701" s="1611"/>
      <c r="AR701" s="1611"/>
      <c r="AS701" s="1611"/>
      <c r="AT701" s="1611"/>
      <c r="AU701" s="1611"/>
      <c r="AV701" s="1611"/>
    </row>
    <row r="702" ht="14.25" customHeight="1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I702" s="1611"/>
      <c r="AJ702" s="1611"/>
      <c r="AK702" s="1611"/>
      <c r="AL702" s="1611"/>
      <c r="AM702" s="1611"/>
      <c r="AN702" s="1611"/>
      <c r="AO702" s="1611"/>
      <c r="AP702" s="1611"/>
      <c r="AQ702" s="1611"/>
      <c r="AR702" s="1611"/>
      <c r="AS702" s="1611"/>
      <c r="AT702" s="1611"/>
      <c r="AU702" s="1611"/>
      <c r="AV702" s="1611"/>
    </row>
    <row r="703" ht="14.25" customHeight="1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I703" s="1611"/>
      <c r="AJ703" s="1611"/>
      <c r="AK703" s="1611"/>
      <c r="AL703" s="1611"/>
      <c r="AM703" s="1611"/>
      <c r="AN703" s="1611"/>
      <c r="AO703" s="1611"/>
      <c r="AP703" s="1611"/>
      <c r="AQ703" s="1611"/>
      <c r="AR703" s="1611"/>
      <c r="AS703" s="1611"/>
      <c r="AT703" s="1611"/>
      <c r="AU703" s="1611"/>
      <c r="AV703" s="1611"/>
    </row>
    <row r="704" ht="14.25" customHeight="1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I704" s="1611"/>
      <c r="AJ704" s="1611"/>
      <c r="AK704" s="1611"/>
      <c r="AL704" s="1611"/>
      <c r="AM704" s="1611"/>
      <c r="AN704" s="1611"/>
      <c r="AO704" s="1611"/>
      <c r="AP704" s="1611"/>
      <c r="AQ704" s="1611"/>
      <c r="AR704" s="1611"/>
      <c r="AS704" s="1611"/>
      <c r="AT704" s="1611"/>
      <c r="AU704" s="1611"/>
      <c r="AV704" s="1611"/>
    </row>
    <row r="705" ht="14.25" customHeight="1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I705" s="1611"/>
      <c r="AJ705" s="1611"/>
      <c r="AK705" s="1611"/>
      <c r="AL705" s="1611"/>
      <c r="AM705" s="1611"/>
      <c r="AN705" s="1611"/>
      <c r="AO705" s="1611"/>
      <c r="AP705" s="1611"/>
      <c r="AQ705" s="1611"/>
      <c r="AR705" s="1611"/>
      <c r="AS705" s="1611"/>
      <c r="AT705" s="1611"/>
      <c r="AU705" s="1611"/>
      <c r="AV705" s="1611"/>
    </row>
    <row r="706" ht="14.25" customHeight="1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I706" s="1611"/>
      <c r="AJ706" s="1611"/>
      <c r="AK706" s="1611"/>
      <c r="AL706" s="1611"/>
      <c r="AM706" s="1611"/>
      <c r="AN706" s="1611"/>
      <c r="AO706" s="1611"/>
      <c r="AP706" s="1611"/>
      <c r="AQ706" s="1611"/>
      <c r="AR706" s="1611"/>
      <c r="AS706" s="1611"/>
      <c r="AT706" s="1611"/>
      <c r="AU706" s="1611"/>
      <c r="AV706" s="1611"/>
    </row>
    <row r="707" ht="14.25" customHeight="1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I707" s="1611"/>
      <c r="AJ707" s="1611"/>
      <c r="AK707" s="1611"/>
      <c r="AL707" s="1611"/>
      <c r="AM707" s="1611"/>
      <c r="AN707" s="1611"/>
      <c r="AO707" s="1611"/>
      <c r="AP707" s="1611"/>
      <c r="AQ707" s="1611"/>
      <c r="AR707" s="1611"/>
      <c r="AS707" s="1611"/>
      <c r="AT707" s="1611"/>
      <c r="AU707" s="1611"/>
      <c r="AV707" s="1611"/>
    </row>
    <row r="708" ht="14.25" customHeight="1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I708" s="1611"/>
      <c r="AJ708" s="1611"/>
      <c r="AK708" s="1611"/>
      <c r="AL708" s="1611"/>
      <c r="AM708" s="1611"/>
      <c r="AN708" s="1611"/>
      <c r="AO708" s="1611"/>
      <c r="AP708" s="1611"/>
      <c r="AQ708" s="1611"/>
      <c r="AR708" s="1611"/>
      <c r="AS708" s="1611"/>
      <c r="AT708" s="1611"/>
      <c r="AU708" s="1611"/>
      <c r="AV708" s="1611"/>
    </row>
    <row r="709" ht="14.25" customHeight="1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I709" s="1611"/>
      <c r="AJ709" s="1611"/>
      <c r="AK709" s="1611"/>
      <c r="AL709" s="1611"/>
      <c r="AM709" s="1611"/>
      <c r="AN709" s="1611"/>
      <c r="AO709" s="1611"/>
      <c r="AP709" s="1611"/>
      <c r="AQ709" s="1611"/>
      <c r="AR709" s="1611"/>
      <c r="AS709" s="1611"/>
      <c r="AT709" s="1611"/>
      <c r="AU709" s="1611"/>
      <c r="AV709" s="1611"/>
    </row>
    <row r="710" ht="14.25" customHeight="1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I710" s="1611"/>
      <c r="AJ710" s="1611"/>
      <c r="AK710" s="1611"/>
      <c r="AL710" s="1611"/>
      <c r="AM710" s="1611"/>
      <c r="AN710" s="1611"/>
      <c r="AO710" s="1611"/>
      <c r="AP710" s="1611"/>
      <c r="AQ710" s="1611"/>
      <c r="AR710" s="1611"/>
      <c r="AS710" s="1611"/>
      <c r="AT710" s="1611"/>
      <c r="AU710" s="1611"/>
      <c r="AV710" s="1611"/>
    </row>
    <row r="711" ht="14.25" customHeight="1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I711" s="1611"/>
      <c r="AJ711" s="1611"/>
      <c r="AK711" s="1611"/>
      <c r="AL711" s="1611"/>
      <c r="AM711" s="1611"/>
      <c r="AN711" s="1611"/>
      <c r="AO711" s="1611"/>
      <c r="AP711" s="1611"/>
      <c r="AQ711" s="1611"/>
      <c r="AR711" s="1611"/>
      <c r="AS711" s="1611"/>
      <c r="AT711" s="1611"/>
      <c r="AU711" s="1611"/>
      <c r="AV711" s="1611"/>
    </row>
    <row r="712" ht="14.25" customHeight="1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I712" s="1611"/>
      <c r="AJ712" s="1611"/>
      <c r="AK712" s="1611"/>
      <c r="AL712" s="1611"/>
      <c r="AM712" s="1611"/>
      <c r="AN712" s="1611"/>
      <c r="AO712" s="1611"/>
      <c r="AP712" s="1611"/>
      <c r="AQ712" s="1611"/>
      <c r="AR712" s="1611"/>
      <c r="AS712" s="1611"/>
      <c r="AT712" s="1611"/>
      <c r="AU712" s="1611"/>
      <c r="AV712" s="1611"/>
    </row>
    <row r="713" ht="14.25" customHeight="1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I713" s="1611"/>
      <c r="AJ713" s="1611"/>
      <c r="AK713" s="1611"/>
      <c r="AL713" s="1611"/>
      <c r="AM713" s="1611"/>
      <c r="AN713" s="1611"/>
      <c r="AO713" s="1611"/>
      <c r="AP713" s="1611"/>
      <c r="AQ713" s="1611"/>
      <c r="AR713" s="1611"/>
      <c r="AS713" s="1611"/>
      <c r="AT713" s="1611"/>
      <c r="AU713" s="1611"/>
      <c r="AV713" s="1611"/>
    </row>
    <row r="714" ht="14.25" customHeight="1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I714" s="1611"/>
      <c r="AJ714" s="1611"/>
      <c r="AK714" s="1611"/>
      <c r="AL714" s="1611"/>
      <c r="AM714" s="1611"/>
      <c r="AN714" s="1611"/>
      <c r="AO714" s="1611"/>
      <c r="AP714" s="1611"/>
      <c r="AQ714" s="1611"/>
      <c r="AR714" s="1611"/>
      <c r="AS714" s="1611"/>
      <c r="AT714" s="1611"/>
      <c r="AU714" s="1611"/>
      <c r="AV714" s="1611"/>
    </row>
    <row r="715" ht="14.25" customHeight="1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I715" s="1611"/>
      <c r="AJ715" s="1611"/>
      <c r="AK715" s="1611"/>
      <c r="AL715" s="1611"/>
      <c r="AM715" s="1611"/>
      <c r="AN715" s="1611"/>
      <c r="AO715" s="1611"/>
      <c r="AP715" s="1611"/>
      <c r="AQ715" s="1611"/>
      <c r="AR715" s="1611"/>
      <c r="AS715" s="1611"/>
      <c r="AT715" s="1611"/>
      <c r="AU715" s="1611"/>
      <c r="AV715" s="1611"/>
    </row>
    <row r="716" ht="14.25" customHeight="1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I716" s="1611"/>
      <c r="AJ716" s="1611"/>
      <c r="AK716" s="1611"/>
      <c r="AL716" s="1611"/>
      <c r="AM716" s="1611"/>
      <c r="AN716" s="1611"/>
      <c r="AO716" s="1611"/>
      <c r="AP716" s="1611"/>
      <c r="AQ716" s="1611"/>
      <c r="AR716" s="1611"/>
      <c r="AS716" s="1611"/>
      <c r="AT716" s="1611"/>
      <c r="AU716" s="1611"/>
      <c r="AV716" s="1611"/>
    </row>
    <row r="717" ht="14.25" customHeight="1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I717" s="1611"/>
      <c r="AJ717" s="1611"/>
      <c r="AK717" s="1611"/>
      <c r="AL717" s="1611"/>
      <c r="AM717" s="1611"/>
      <c r="AN717" s="1611"/>
      <c r="AO717" s="1611"/>
      <c r="AP717" s="1611"/>
      <c r="AQ717" s="1611"/>
      <c r="AR717" s="1611"/>
      <c r="AS717" s="1611"/>
      <c r="AT717" s="1611"/>
      <c r="AU717" s="1611"/>
      <c r="AV717" s="1611"/>
    </row>
    <row r="718" ht="14.25" customHeight="1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I718" s="1611"/>
      <c r="AJ718" s="1611"/>
      <c r="AK718" s="1611"/>
      <c r="AL718" s="1611"/>
      <c r="AM718" s="1611"/>
      <c r="AN718" s="1611"/>
      <c r="AO718" s="1611"/>
      <c r="AP718" s="1611"/>
      <c r="AQ718" s="1611"/>
      <c r="AR718" s="1611"/>
      <c r="AS718" s="1611"/>
      <c r="AT718" s="1611"/>
      <c r="AU718" s="1611"/>
      <c r="AV718" s="1611"/>
    </row>
    <row r="719" ht="14.25" customHeight="1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I719" s="1611"/>
      <c r="AJ719" s="1611"/>
      <c r="AK719" s="1611"/>
      <c r="AL719" s="1611"/>
      <c r="AM719" s="1611"/>
      <c r="AN719" s="1611"/>
      <c r="AO719" s="1611"/>
      <c r="AP719" s="1611"/>
      <c r="AQ719" s="1611"/>
      <c r="AR719" s="1611"/>
      <c r="AS719" s="1611"/>
      <c r="AT719" s="1611"/>
      <c r="AU719" s="1611"/>
      <c r="AV719" s="1611"/>
    </row>
    <row r="720" ht="14.25" customHeight="1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I720" s="1611"/>
      <c r="AJ720" s="1611"/>
      <c r="AK720" s="1611"/>
      <c r="AL720" s="1611"/>
      <c r="AM720" s="1611"/>
      <c r="AN720" s="1611"/>
      <c r="AO720" s="1611"/>
      <c r="AP720" s="1611"/>
      <c r="AQ720" s="1611"/>
      <c r="AR720" s="1611"/>
      <c r="AS720" s="1611"/>
      <c r="AT720" s="1611"/>
      <c r="AU720" s="1611"/>
      <c r="AV720" s="1611"/>
    </row>
    <row r="721" ht="14.25" customHeight="1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I721" s="1611"/>
      <c r="AJ721" s="1611"/>
      <c r="AK721" s="1611"/>
      <c r="AL721" s="1611"/>
      <c r="AM721" s="1611"/>
      <c r="AN721" s="1611"/>
      <c r="AO721" s="1611"/>
      <c r="AP721" s="1611"/>
      <c r="AQ721" s="1611"/>
      <c r="AR721" s="1611"/>
      <c r="AS721" s="1611"/>
      <c r="AT721" s="1611"/>
      <c r="AU721" s="1611"/>
      <c r="AV721" s="1611"/>
    </row>
    <row r="722" ht="14.25" customHeight="1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I722" s="1611"/>
      <c r="AJ722" s="1611"/>
      <c r="AK722" s="1611"/>
      <c r="AL722" s="1611"/>
      <c r="AM722" s="1611"/>
      <c r="AN722" s="1611"/>
      <c r="AO722" s="1611"/>
      <c r="AP722" s="1611"/>
      <c r="AQ722" s="1611"/>
      <c r="AR722" s="1611"/>
      <c r="AS722" s="1611"/>
      <c r="AT722" s="1611"/>
      <c r="AU722" s="1611"/>
      <c r="AV722" s="1611"/>
    </row>
    <row r="723" ht="14.25" customHeight="1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I723" s="1611"/>
      <c r="AJ723" s="1611"/>
      <c r="AK723" s="1611"/>
      <c r="AL723" s="1611"/>
      <c r="AM723" s="1611"/>
      <c r="AN723" s="1611"/>
      <c r="AO723" s="1611"/>
      <c r="AP723" s="1611"/>
      <c r="AQ723" s="1611"/>
      <c r="AR723" s="1611"/>
      <c r="AS723" s="1611"/>
      <c r="AT723" s="1611"/>
      <c r="AU723" s="1611"/>
      <c r="AV723" s="1611"/>
    </row>
    <row r="724" ht="14.25" customHeight="1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I724" s="1611"/>
      <c r="AJ724" s="1611"/>
      <c r="AK724" s="1611"/>
      <c r="AL724" s="1611"/>
      <c r="AM724" s="1611"/>
      <c r="AN724" s="1611"/>
      <c r="AO724" s="1611"/>
      <c r="AP724" s="1611"/>
      <c r="AQ724" s="1611"/>
      <c r="AR724" s="1611"/>
      <c r="AS724" s="1611"/>
      <c r="AT724" s="1611"/>
      <c r="AU724" s="1611"/>
      <c r="AV724" s="1611"/>
    </row>
    <row r="725" ht="14.25" customHeight="1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I725" s="1611"/>
      <c r="AJ725" s="1611"/>
      <c r="AK725" s="1611"/>
      <c r="AL725" s="1611"/>
      <c r="AM725" s="1611"/>
      <c r="AN725" s="1611"/>
      <c r="AO725" s="1611"/>
      <c r="AP725" s="1611"/>
      <c r="AQ725" s="1611"/>
      <c r="AR725" s="1611"/>
      <c r="AS725" s="1611"/>
      <c r="AT725" s="1611"/>
      <c r="AU725" s="1611"/>
      <c r="AV725" s="1611"/>
    </row>
    <row r="726" ht="14.25" customHeight="1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I726" s="1611"/>
      <c r="AJ726" s="1611"/>
      <c r="AK726" s="1611"/>
      <c r="AL726" s="1611"/>
      <c r="AM726" s="1611"/>
      <c r="AN726" s="1611"/>
      <c r="AO726" s="1611"/>
      <c r="AP726" s="1611"/>
      <c r="AQ726" s="1611"/>
      <c r="AR726" s="1611"/>
      <c r="AS726" s="1611"/>
      <c r="AT726" s="1611"/>
      <c r="AU726" s="1611"/>
      <c r="AV726" s="1611"/>
    </row>
    <row r="727" ht="14.25" customHeight="1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I727" s="1611"/>
      <c r="AJ727" s="1611"/>
      <c r="AK727" s="1611"/>
      <c r="AL727" s="1611"/>
      <c r="AM727" s="1611"/>
      <c r="AN727" s="1611"/>
      <c r="AO727" s="1611"/>
      <c r="AP727" s="1611"/>
      <c r="AQ727" s="1611"/>
      <c r="AR727" s="1611"/>
      <c r="AS727" s="1611"/>
      <c r="AT727" s="1611"/>
      <c r="AU727" s="1611"/>
      <c r="AV727" s="1611"/>
    </row>
    <row r="728" ht="14.25" customHeight="1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I728" s="1611"/>
      <c r="AJ728" s="1611"/>
      <c r="AK728" s="1611"/>
      <c r="AL728" s="1611"/>
      <c r="AM728" s="1611"/>
      <c r="AN728" s="1611"/>
      <c r="AO728" s="1611"/>
      <c r="AP728" s="1611"/>
      <c r="AQ728" s="1611"/>
      <c r="AR728" s="1611"/>
      <c r="AS728" s="1611"/>
      <c r="AT728" s="1611"/>
      <c r="AU728" s="1611"/>
      <c r="AV728" s="1611"/>
    </row>
    <row r="729" ht="14.25" customHeight="1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I729" s="1611"/>
      <c r="AJ729" s="1611"/>
      <c r="AK729" s="1611"/>
      <c r="AL729" s="1611"/>
      <c r="AM729" s="1611"/>
      <c r="AN729" s="1611"/>
      <c r="AO729" s="1611"/>
      <c r="AP729" s="1611"/>
      <c r="AQ729" s="1611"/>
      <c r="AR729" s="1611"/>
      <c r="AS729" s="1611"/>
      <c r="AT729" s="1611"/>
      <c r="AU729" s="1611"/>
      <c r="AV729" s="1611"/>
    </row>
    <row r="730" ht="14.25" customHeight="1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I730" s="1611"/>
      <c r="AJ730" s="1611"/>
      <c r="AK730" s="1611"/>
      <c r="AL730" s="1611"/>
      <c r="AM730" s="1611"/>
      <c r="AN730" s="1611"/>
      <c r="AO730" s="1611"/>
      <c r="AP730" s="1611"/>
      <c r="AQ730" s="1611"/>
      <c r="AR730" s="1611"/>
      <c r="AS730" s="1611"/>
      <c r="AT730" s="1611"/>
      <c r="AU730" s="1611"/>
      <c r="AV730" s="1611"/>
    </row>
    <row r="731" ht="14.25" customHeight="1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I731" s="1611"/>
      <c r="AJ731" s="1611"/>
      <c r="AK731" s="1611"/>
      <c r="AL731" s="1611"/>
      <c r="AM731" s="1611"/>
      <c r="AN731" s="1611"/>
      <c r="AO731" s="1611"/>
      <c r="AP731" s="1611"/>
      <c r="AQ731" s="1611"/>
      <c r="AR731" s="1611"/>
      <c r="AS731" s="1611"/>
      <c r="AT731" s="1611"/>
      <c r="AU731" s="1611"/>
      <c r="AV731" s="1611"/>
    </row>
    <row r="732" ht="14.25" customHeight="1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I732" s="1611"/>
      <c r="AJ732" s="1611"/>
      <c r="AK732" s="1611"/>
      <c r="AL732" s="1611"/>
      <c r="AM732" s="1611"/>
      <c r="AN732" s="1611"/>
      <c r="AO732" s="1611"/>
      <c r="AP732" s="1611"/>
      <c r="AQ732" s="1611"/>
      <c r="AR732" s="1611"/>
      <c r="AS732" s="1611"/>
      <c r="AT732" s="1611"/>
      <c r="AU732" s="1611"/>
      <c r="AV732" s="1611"/>
    </row>
    <row r="733" ht="14.25" customHeight="1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I733" s="1611"/>
      <c r="AJ733" s="1611"/>
      <c r="AK733" s="1611"/>
      <c r="AL733" s="1611"/>
      <c r="AM733" s="1611"/>
      <c r="AN733" s="1611"/>
      <c r="AO733" s="1611"/>
      <c r="AP733" s="1611"/>
      <c r="AQ733" s="1611"/>
      <c r="AR733" s="1611"/>
      <c r="AS733" s="1611"/>
      <c r="AT733" s="1611"/>
      <c r="AU733" s="1611"/>
      <c r="AV733" s="1611"/>
    </row>
    <row r="734" ht="14.25" customHeight="1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I734" s="1611"/>
      <c r="AJ734" s="1611"/>
      <c r="AK734" s="1611"/>
      <c r="AL734" s="1611"/>
      <c r="AM734" s="1611"/>
      <c r="AN734" s="1611"/>
      <c r="AO734" s="1611"/>
      <c r="AP734" s="1611"/>
      <c r="AQ734" s="1611"/>
      <c r="AR734" s="1611"/>
      <c r="AS734" s="1611"/>
      <c r="AT734" s="1611"/>
      <c r="AU734" s="1611"/>
      <c r="AV734" s="1611"/>
    </row>
    <row r="735" ht="14.25" customHeight="1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I735" s="1611"/>
      <c r="AJ735" s="1611"/>
      <c r="AK735" s="1611"/>
      <c r="AL735" s="1611"/>
      <c r="AM735" s="1611"/>
      <c r="AN735" s="1611"/>
      <c r="AO735" s="1611"/>
      <c r="AP735" s="1611"/>
      <c r="AQ735" s="1611"/>
      <c r="AR735" s="1611"/>
      <c r="AS735" s="1611"/>
      <c r="AT735" s="1611"/>
      <c r="AU735" s="1611"/>
      <c r="AV735" s="1611"/>
    </row>
    <row r="736" ht="14.25" customHeight="1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I736" s="1611"/>
      <c r="AJ736" s="1611"/>
      <c r="AK736" s="1611"/>
      <c r="AL736" s="1611"/>
      <c r="AM736" s="1611"/>
      <c r="AN736" s="1611"/>
      <c r="AO736" s="1611"/>
      <c r="AP736" s="1611"/>
      <c r="AQ736" s="1611"/>
      <c r="AR736" s="1611"/>
      <c r="AS736" s="1611"/>
      <c r="AT736" s="1611"/>
      <c r="AU736" s="1611"/>
      <c r="AV736" s="1611"/>
    </row>
    <row r="737" ht="14.25" customHeight="1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I737" s="1611"/>
      <c r="AJ737" s="1611"/>
      <c r="AK737" s="1611"/>
      <c r="AL737" s="1611"/>
      <c r="AM737" s="1611"/>
      <c r="AN737" s="1611"/>
      <c r="AO737" s="1611"/>
      <c r="AP737" s="1611"/>
      <c r="AQ737" s="1611"/>
      <c r="AR737" s="1611"/>
      <c r="AS737" s="1611"/>
      <c r="AT737" s="1611"/>
      <c r="AU737" s="1611"/>
      <c r="AV737" s="1611"/>
    </row>
    <row r="738" ht="14.25" customHeight="1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I738" s="1611"/>
      <c r="AJ738" s="1611"/>
      <c r="AK738" s="1611"/>
      <c r="AL738" s="1611"/>
      <c r="AM738" s="1611"/>
      <c r="AN738" s="1611"/>
      <c r="AO738" s="1611"/>
      <c r="AP738" s="1611"/>
      <c r="AQ738" s="1611"/>
      <c r="AR738" s="1611"/>
      <c r="AS738" s="1611"/>
      <c r="AT738" s="1611"/>
      <c r="AU738" s="1611"/>
      <c r="AV738" s="1611"/>
    </row>
    <row r="739" ht="14.25" customHeight="1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I739" s="1611"/>
      <c r="AJ739" s="1611"/>
      <c r="AK739" s="1611"/>
      <c r="AL739" s="1611"/>
      <c r="AM739" s="1611"/>
      <c r="AN739" s="1611"/>
      <c r="AO739" s="1611"/>
      <c r="AP739" s="1611"/>
      <c r="AQ739" s="1611"/>
      <c r="AR739" s="1611"/>
      <c r="AS739" s="1611"/>
      <c r="AT739" s="1611"/>
      <c r="AU739" s="1611"/>
      <c r="AV739" s="1611"/>
    </row>
    <row r="740" ht="14.25" customHeight="1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I740" s="1611"/>
      <c r="AJ740" s="1611"/>
      <c r="AK740" s="1611"/>
      <c r="AL740" s="1611"/>
      <c r="AM740" s="1611"/>
      <c r="AN740" s="1611"/>
      <c r="AO740" s="1611"/>
      <c r="AP740" s="1611"/>
      <c r="AQ740" s="1611"/>
      <c r="AR740" s="1611"/>
      <c r="AS740" s="1611"/>
      <c r="AT740" s="1611"/>
      <c r="AU740" s="1611"/>
      <c r="AV740" s="1611"/>
    </row>
    <row r="741" ht="14.25" customHeight="1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I741" s="1611"/>
      <c r="AJ741" s="1611"/>
      <c r="AK741" s="1611"/>
      <c r="AL741" s="1611"/>
      <c r="AM741" s="1611"/>
      <c r="AN741" s="1611"/>
      <c r="AO741" s="1611"/>
      <c r="AP741" s="1611"/>
      <c r="AQ741" s="1611"/>
      <c r="AR741" s="1611"/>
      <c r="AS741" s="1611"/>
      <c r="AT741" s="1611"/>
      <c r="AU741" s="1611"/>
      <c r="AV741" s="1611"/>
    </row>
    <row r="742" ht="14.25" customHeight="1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I742" s="1611"/>
      <c r="AJ742" s="1611"/>
      <c r="AK742" s="1611"/>
      <c r="AL742" s="1611"/>
      <c r="AM742" s="1611"/>
      <c r="AN742" s="1611"/>
      <c r="AO742" s="1611"/>
      <c r="AP742" s="1611"/>
      <c r="AQ742" s="1611"/>
      <c r="AR742" s="1611"/>
      <c r="AS742" s="1611"/>
      <c r="AT742" s="1611"/>
      <c r="AU742" s="1611"/>
      <c r="AV742" s="1611"/>
    </row>
    <row r="743" ht="14.25" customHeight="1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I743" s="1611"/>
      <c r="AJ743" s="1611"/>
      <c r="AK743" s="1611"/>
      <c r="AL743" s="1611"/>
      <c r="AM743" s="1611"/>
      <c r="AN743" s="1611"/>
      <c r="AO743" s="1611"/>
      <c r="AP743" s="1611"/>
      <c r="AQ743" s="1611"/>
      <c r="AR743" s="1611"/>
      <c r="AS743" s="1611"/>
      <c r="AT743" s="1611"/>
      <c r="AU743" s="1611"/>
      <c r="AV743" s="1611"/>
    </row>
    <row r="744" ht="14.25" customHeight="1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I744" s="1611"/>
      <c r="AJ744" s="1611"/>
      <c r="AK744" s="1611"/>
      <c r="AL744" s="1611"/>
      <c r="AM744" s="1611"/>
      <c r="AN744" s="1611"/>
      <c r="AO744" s="1611"/>
      <c r="AP744" s="1611"/>
      <c r="AQ744" s="1611"/>
      <c r="AR744" s="1611"/>
      <c r="AS744" s="1611"/>
      <c r="AT744" s="1611"/>
      <c r="AU744" s="1611"/>
      <c r="AV744" s="1611"/>
    </row>
    <row r="745" ht="14.25" customHeight="1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I745" s="1611"/>
      <c r="AJ745" s="1611"/>
      <c r="AK745" s="1611"/>
      <c r="AL745" s="1611"/>
      <c r="AM745" s="1611"/>
      <c r="AN745" s="1611"/>
      <c r="AO745" s="1611"/>
      <c r="AP745" s="1611"/>
      <c r="AQ745" s="1611"/>
      <c r="AR745" s="1611"/>
      <c r="AS745" s="1611"/>
      <c r="AT745" s="1611"/>
      <c r="AU745" s="1611"/>
      <c r="AV745" s="1611"/>
    </row>
    <row r="746" ht="14.25" customHeight="1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I746" s="1611"/>
      <c r="AJ746" s="1611"/>
      <c r="AK746" s="1611"/>
      <c r="AL746" s="1611"/>
      <c r="AM746" s="1611"/>
      <c r="AN746" s="1611"/>
      <c r="AO746" s="1611"/>
      <c r="AP746" s="1611"/>
      <c r="AQ746" s="1611"/>
      <c r="AR746" s="1611"/>
      <c r="AS746" s="1611"/>
      <c r="AT746" s="1611"/>
      <c r="AU746" s="1611"/>
      <c r="AV746" s="1611"/>
    </row>
    <row r="747" ht="14.25" customHeight="1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I747" s="1611"/>
      <c r="AJ747" s="1611"/>
      <c r="AK747" s="1611"/>
      <c r="AL747" s="1611"/>
      <c r="AM747" s="1611"/>
      <c r="AN747" s="1611"/>
      <c r="AO747" s="1611"/>
      <c r="AP747" s="1611"/>
      <c r="AQ747" s="1611"/>
      <c r="AR747" s="1611"/>
      <c r="AS747" s="1611"/>
      <c r="AT747" s="1611"/>
      <c r="AU747" s="1611"/>
      <c r="AV747" s="1611"/>
    </row>
    <row r="748" ht="14.25" customHeight="1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I748" s="1611"/>
      <c r="AJ748" s="1611"/>
      <c r="AK748" s="1611"/>
      <c r="AL748" s="1611"/>
      <c r="AM748" s="1611"/>
      <c r="AN748" s="1611"/>
      <c r="AO748" s="1611"/>
      <c r="AP748" s="1611"/>
      <c r="AQ748" s="1611"/>
      <c r="AR748" s="1611"/>
      <c r="AS748" s="1611"/>
      <c r="AT748" s="1611"/>
      <c r="AU748" s="1611"/>
      <c r="AV748" s="1611"/>
    </row>
    <row r="749" ht="14.25" customHeight="1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I749" s="1611"/>
      <c r="AJ749" s="1611"/>
      <c r="AK749" s="1611"/>
      <c r="AL749" s="1611"/>
      <c r="AM749" s="1611"/>
      <c r="AN749" s="1611"/>
      <c r="AO749" s="1611"/>
      <c r="AP749" s="1611"/>
      <c r="AQ749" s="1611"/>
      <c r="AR749" s="1611"/>
      <c r="AS749" s="1611"/>
      <c r="AT749" s="1611"/>
      <c r="AU749" s="1611"/>
      <c r="AV749" s="1611"/>
    </row>
    <row r="750" ht="14.25" customHeight="1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I750" s="1611"/>
      <c r="AJ750" s="1611"/>
      <c r="AK750" s="1611"/>
      <c r="AL750" s="1611"/>
      <c r="AM750" s="1611"/>
      <c r="AN750" s="1611"/>
      <c r="AO750" s="1611"/>
      <c r="AP750" s="1611"/>
      <c r="AQ750" s="1611"/>
      <c r="AR750" s="1611"/>
      <c r="AS750" s="1611"/>
      <c r="AT750" s="1611"/>
      <c r="AU750" s="1611"/>
      <c r="AV750" s="1611"/>
    </row>
    <row r="751" ht="14.25" customHeight="1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I751" s="1611"/>
      <c r="AJ751" s="1611"/>
      <c r="AK751" s="1611"/>
      <c r="AL751" s="1611"/>
      <c r="AM751" s="1611"/>
      <c r="AN751" s="1611"/>
      <c r="AO751" s="1611"/>
      <c r="AP751" s="1611"/>
      <c r="AQ751" s="1611"/>
      <c r="AR751" s="1611"/>
      <c r="AS751" s="1611"/>
      <c r="AT751" s="1611"/>
      <c r="AU751" s="1611"/>
      <c r="AV751" s="1611"/>
    </row>
    <row r="752" ht="14.25" customHeight="1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I752" s="1611"/>
      <c r="AJ752" s="1611"/>
      <c r="AK752" s="1611"/>
      <c r="AL752" s="1611"/>
      <c r="AM752" s="1611"/>
      <c r="AN752" s="1611"/>
      <c r="AO752" s="1611"/>
      <c r="AP752" s="1611"/>
      <c r="AQ752" s="1611"/>
      <c r="AR752" s="1611"/>
      <c r="AS752" s="1611"/>
      <c r="AT752" s="1611"/>
      <c r="AU752" s="1611"/>
      <c r="AV752" s="1611"/>
    </row>
    <row r="753" ht="14.25" customHeight="1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I753" s="1611"/>
      <c r="AJ753" s="1611"/>
      <c r="AK753" s="1611"/>
      <c r="AL753" s="1611"/>
      <c r="AM753" s="1611"/>
      <c r="AN753" s="1611"/>
      <c r="AO753" s="1611"/>
      <c r="AP753" s="1611"/>
      <c r="AQ753" s="1611"/>
      <c r="AR753" s="1611"/>
      <c r="AS753" s="1611"/>
      <c r="AT753" s="1611"/>
      <c r="AU753" s="1611"/>
      <c r="AV753" s="1611"/>
    </row>
    <row r="754" ht="14.25" customHeight="1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I754" s="1611"/>
      <c r="AJ754" s="1611"/>
      <c r="AK754" s="1611"/>
      <c r="AL754" s="1611"/>
      <c r="AM754" s="1611"/>
      <c r="AN754" s="1611"/>
      <c r="AO754" s="1611"/>
      <c r="AP754" s="1611"/>
      <c r="AQ754" s="1611"/>
      <c r="AR754" s="1611"/>
      <c r="AS754" s="1611"/>
      <c r="AT754" s="1611"/>
      <c r="AU754" s="1611"/>
      <c r="AV754" s="1611"/>
    </row>
    <row r="755" ht="14.25" customHeight="1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I755" s="1611"/>
      <c r="AJ755" s="1611"/>
      <c r="AK755" s="1611"/>
      <c r="AL755" s="1611"/>
      <c r="AM755" s="1611"/>
      <c r="AN755" s="1611"/>
      <c r="AO755" s="1611"/>
      <c r="AP755" s="1611"/>
      <c r="AQ755" s="1611"/>
      <c r="AR755" s="1611"/>
      <c r="AS755" s="1611"/>
      <c r="AT755" s="1611"/>
      <c r="AU755" s="1611"/>
      <c r="AV755" s="1611"/>
    </row>
    <row r="756" ht="14.25" customHeight="1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I756" s="1611"/>
      <c r="AJ756" s="1611"/>
      <c r="AK756" s="1611"/>
      <c r="AL756" s="1611"/>
      <c r="AM756" s="1611"/>
      <c r="AN756" s="1611"/>
      <c r="AO756" s="1611"/>
      <c r="AP756" s="1611"/>
      <c r="AQ756" s="1611"/>
      <c r="AR756" s="1611"/>
      <c r="AS756" s="1611"/>
      <c r="AT756" s="1611"/>
      <c r="AU756" s="1611"/>
      <c r="AV756" s="1611"/>
    </row>
    <row r="757" ht="14.25" customHeight="1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I757" s="1611"/>
      <c r="AJ757" s="1611"/>
      <c r="AK757" s="1611"/>
      <c r="AL757" s="1611"/>
      <c r="AM757" s="1611"/>
      <c r="AN757" s="1611"/>
      <c r="AO757" s="1611"/>
      <c r="AP757" s="1611"/>
      <c r="AQ757" s="1611"/>
      <c r="AR757" s="1611"/>
      <c r="AS757" s="1611"/>
      <c r="AT757" s="1611"/>
      <c r="AU757" s="1611"/>
      <c r="AV757" s="1611"/>
    </row>
    <row r="758" ht="14.25" customHeight="1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I758" s="1611"/>
      <c r="AJ758" s="1611"/>
      <c r="AK758" s="1611"/>
      <c r="AL758" s="1611"/>
      <c r="AM758" s="1611"/>
      <c r="AN758" s="1611"/>
      <c r="AO758" s="1611"/>
      <c r="AP758" s="1611"/>
      <c r="AQ758" s="1611"/>
      <c r="AR758" s="1611"/>
      <c r="AS758" s="1611"/>
      <c r="AT758" s="1611"/>
      <c r="AU758" s="1611"/>
      <c r="AV758" s="1611"/>
    </row>
    <row r="759" ht="14.25" customHeight="1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I759" s="1611"/>
      <c r="AJ759" s="1611"/>
      <c r="AK759" s="1611"/>
      <c r="AL759" s="1611"/>
      <c r="AM759" s="1611"/>
      <c r="AN759" s="1611"/>
      <c r="AO759" s="1611"/>
      <c r="AP759" s="1611"/>
      <c r="AQ759" s="1611"/>
      <c r="AR759" s="1611"/>
      <c r="AS759" s="1611"/>
      <c r="AT759" s="1611"/>
      <c r="AU759" s="1611"/>
      <c r="AV759" s="1611"/>
    </row>
    <row r="760" ht="14.25" customHeight="1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I760" s="1611"/>
      <c r="AJ760" s="1611"/>
      <c r="AK760" s="1611"/>
      <c r="AL760" s="1611"/>
      <c r="AM760" s="1611"/>
      <c r="AN760" s="1611"/>
      <c r="AO760" s="1611"/>
      <c r="AP760" s="1611"/>
      <c r="AQ760" s="1611"/>
      <c r="AR760" s="1611"/>
      <c r="AS760" s="1611"/>
      <c r="AT760" s="1611"/>
      <c r="AU760" s="1611"/>
      <c r="AV760" s="1611"/>
    </row>
    <row r="761" ht="14.25" customHeight="1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I761" s="1611"/>
      <c r="AJ761" s="1611"/>
      <c r="AK761" s="1611"/>
      <c r="AL761" s="1611"/>
      <c r="AM761" s="1611"/>
      <c r="AN761" s="1611"/>
      <c r="AO761" s="1611"/>
      <c r="AP761" s="1611"/>
      <c r="AQ761" s="1611"/>
      <c r="AR761" s="1611"/>
      <c r="AS761" s="1611"/>
      <c r="AT761" s="1611"/>
      <c r="AU761" s="1611"/>
      <c r="AV761" s="1611"/>
    </row>
    <row r="762" ht="14.25" customHeight="1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I762" s="1611"/>
      <c r="AJ762" s="1611"/>
      <c r="AK762" s="1611"/>
      <c r="AL762" s="1611"/>
      <c r="AM762" s="1611"/>
      <c r="AN762" s="1611"/>
      <c r="AO762" s="1611"/>
      <c r="AP762" s="1611"/>
      <c r="AQ762" s="1611"/>
      <c r="AR762" s="1611"/>
      <c r="AS762" s="1611"/>
      <c r="AT762" s="1611"/>
      <c r="AU762" s="1611"/>
      <c r="AV762" s="1611"/>
    </row>
    <row r="763" ht="14.25" customHeight="1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I763" s="1611"/>
      <c r="AJ763" s="1611"/>
      <c r="AK763" s="1611"/>
      <c r="AL763" s="1611"/>
      <c r="AM763" s="1611"/>
      <c r="AN763" s="1611"/>
      <c r="AO763" s="1611"/>
      <c r="AP763" s="1611"/>
      <c r="AQ763" s="1611"/>
      <c r="AR763" s="1611"/>
      <c r="AS763" s="1611"/>
      <c r="AT763" s="1611"/>
      <c r="AU763" s="1611"/>
      <c r="AV763" s="1611"/>
    </row>
    <row r="764" ht="14.25" customHeight="1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I764" s="1611"/>
      <c r="AJ764" s="1611"/>
      <c r="AK764" s="1611"/>
      <c r="AL764" s="1611"/>
      <c r="AM764" s="1611"/>
      <c r="AN764" s="1611"/>
      <c r="AO764" s="1611"/>
      <c r="AP764" s="1611"/>
      <c r="AQ764" s="1611"/>
      <c r="AR764" s="1611"/>
      <c r="AS764" s="1611"/>
      <c r="AT764" s="1611"/>
      <c r="AU764" s="1611"/>
      <c r="AV764" s="1611"/>
    </row>
    <row r="765" ht="14.25" customHeight="1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I765" s="1611"/>
      <c r="AJ765" s="1611"/>
      <c r="AK765" s="1611"/>
      <c r="AL765" s="1611"/>
      <c r="AM765" s="1611"/>
      <c r="AN765" s="1611"/>
      <c r="AO765" s="1611"/>
      <c r="AP765" s="1611"/>
      <c r="AQ765" s="1611"/>
      <c r="AR765" s="1611"/>
      <c r="AS765" s="1611"/>
      <c r="AT765" s="1611"/>
      <c r="AU765" s="1611"/>
      <c r="AV765" s="1611"/>
    </row>
    <row r="766" ht="14.25" customHeight="1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I766" s="1611"/>
      <c r="AJ766" s="1611"/>
      <c r="AK766" s="1611"/>
      <c r="AL766" s="1611"/>
      <c r="AM766" s="1611"/>
      <c r="AN766" s="1611"/>
      <c r="AO766" s="1611"/>
      <c r="AP766" s="1611"/>
      <c r="AQ766" s="1611"/>
      <c r="AR766" s="1611"/>
      <c r="AS766" s="1611"/>
      <c r="AT766" s="1611"/>
      <c r="AU766" s="1611"/>
      <c r="AV766" s="1611"/>
    </row>
    <row r="767" ht="14.25" customHeight="1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I767" s="1611"/>
      <c r="AJ767" s="1611"/>
      <c r="AK767" s="1611"/>
      <c r="AL767" s="1611"/>
      <c r="AM767" s="1611"/>
      <c r="AN767" s="1611"/>
      <c r="AO767" s="1611"/>
      <c r="AP767" s="1611"/>
      <c r="AQ767" s="1611"/>
      <c r="AR767" s="1611"/>
      <c r="AS767" s="1611"/>
      <c r="AT767" s="1611"/>
      <c r="AU767" s="1611"/>
      <c r="AV767" s="1611"/>
    </row>
    <row r="768" ht="14.25" customHeight="1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I768" s="1611"/>
      <c r="AJ768" s="1611"/>
      <c r="AK768" s="1611"/>
      <c r="AL768" s="1611"/>
      <c r="AM768" s="1611"/>
      <c r="AN768" s="1611"/>
      <c r="AO768" s="1611"/>
      <c r="AP768" s="1611"/>
      <c r="AQ768" s="1611"/>
      <c r="AR768" s="1611"/>
      <c r="AS768" s="1611"/>
      <c r="AT768" s="1611"/>
      <c r="AU768" s="1611"/>
      <c r="AV768" s="1611"/>
    </row>
    <row r="769" ht="14.25" customHeight="1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I769" s="1611"/>
      <c r="AJ769" s="1611"/>
      <c r="AK769" s="1611"/>
      <c r="AL769" s="1611"/>
      <c r="AM769" s="1611"/>
      <c r="AN769" s="1611"/>
      <c r="AO769" s="1611"/>
      <c r="AP769" s="1611"/>
      <c r="AQ769" s="1611"/>
      <c r="AR769" s="1611"/>
      <c r="AS769" s="1611"/>
      <c r="AT769" s="1611"/>
      <c r="AU769" s="1611"/>
      <c r="AV769" s="1611"/>
    </row>
    <row r="770" ht="14.25" customHeight="1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I770" s="1611"/>
      <c r="AJ770" s="1611"/>
      <c r="AK770" s="1611"/>
      <c r="AL770" s="1611"/>
      <c r="AM770" s="1611"/>
      <c r="AN770" s="1611"/>
      <c r="AO770" s="1611"/>
      <c r="AP770" s="1611"/>
      <c r="AQ770" s="1611"/>
      <c r="AR770" s="1611"/>
      <c r="AS770" s="1611"/>
      <c r="AT770" s="1611"/>
      <c r="AU770" s="1611"/>
      <c r="AV770" s="1611"/>
    </row>
    <row r="771" ht="14.25" customHeight="1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I771" s="1611"/>
      <c r="AJ771" s="1611"/>
      <c r="AK771" s="1611"/>
      <c r="AL771" s="1611"/>
      <c r="AM771" s="1611"/>
      <c r="AN771" s="1611"/>
      <c r="AO771" s="1611"/>
      <c r="AP771" s="1611"/>
      <c r="AQ771" s="1611"/>
      <c r="AR771" s="1611"/>
      <c r="AS771" s="1611"/>
      <c r="AT771" s="1611"/>
      <c r="AU771" s="1611"/>
      <c r="AV771" s="1611"/>
    </row>
    <row r="772" ht="14.25" customHeight="1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I772" s="1611"/>
      <c r="AJ772" s="1611"/>
      <c r="AK772" s="1611"/>
      <c r="AL772" s="1611"/>
      <c r="AM772" s="1611"/>
      <c r="AN772" s="1611"/>
      <c r="AO772" s="1611"/>
      <c r="AP772" s="1611"/>
      <c r="AQ772" s="1611"/>
      <c r="AR772" s="1611"/>
      <c r="AS772" s="1611"/>
      <c r="AT772" s="1611"/>
      <c r="AU772" s="1611"/>
      <c r="AV772" s="1611"/>
    </row>
    <row r="773" ht="14.25" customHeight="1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I773" s="1611"/>
      <c r="AJ773" s="1611"/>
      <c r="AK773" s="1611"/>
      <c r="AL773" s="1611"/>
      <c r="AM773" s="1611"/>
      <c r="AN773" s="1611"/>
      <c r="AO773" s="1611"/>
      <c r="AP773" s="1611"/>
      <c r="AQ773" s="1611"/>
      <c r="AR773" s="1611"/>
      <c r="AS773" s="1611"/>
      <c r="AT773" s="1611"/>
      <c r="AU773" s="1611"/>
      <c r="AV773" s="1611"/>
    </row>
    <row r="774" ht="14.25" customHeight="1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I774" s="1611"/>
      <c r="AJ774" s="1611"/>
      <c r="AK774" s="1611"/>
      <c r="AL774" s="1611"/>
      <c r="AM774" s="1611"/>
      <c r="AN774" s="1611"/>
      <c r="AO774" s="1611"/>
      <c r="AP774" s="1611"/>
      <c r="AQ774" s="1611"/>
      <c r="AR774" s="1611"/>
      <c r="AS774" s="1611"/>
      <c r="AT774" s="1611"/>
      <c r="AU774" s="1611"/>
      <c r="AV774" s="1611"/>
    </row>
    <row r="775" ht="14.25" customHeight="1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I775" s="1611"/>
      <c r="AJ775" s="1611"/>
      <c r="AK775" s="1611"/>
      <c r="AL775" s="1611"/>
      <c r="AM775" s="1611"/>
      <c r="AN775" s="1611"/>
      <c r="AO775" s="1611"/>
      <c r="AP775" s="1611"/>
      <c r="AQ775" s="1611"/>
      <c r="AR775" s="1611"/>
      <c r="AS775" s="1611"/>
      <c r="AT775" s="1611"/>
      <c r="AU775" s="1611"/>
      <c r="AV775" s="1611"/>
    </row>
    <row r="776" ht="14.25" customHeight="1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I776" s="1611"/>
      <c r="AJ776" s="1611"/>
      <c r="AK776" s="1611"/>
      <c r="AL776" s="1611"/>
      <c r="AM776" s="1611"/>
      <c r="AN776" s="1611"/>
      <c r="AO776" s="1611"/>
      <c r="AP776" s="1611"/>
      <c r="AQ776" s="1611"/>
      <c r="AR776" s="1611"/>
      <c r="AS776" s="1611"/>
      <c r="AT776" s="1611"/>
      <c r="AU776" s="1611"/>
      <c r="AV776" s="1611"/>
    </row>
    <row r="777" ht="14.25" customHeight="1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I777" s="1611"/>
      <c r="AJ777" s="1611"/>
      <c r="AK777" s="1611"/>
      <c r="AL777" s="1611"/>
      <c r="AM777" s="1611"/>
      <c r="AN777" s="1611"/>
      <c r="AO777" s="1611"/>
      <c r="AP777" s="1611"/>
      <c r="AQ777" s="1611"/>
      <c r="AR777" s="1611"/>
      <c r="AS777" s="1611"/>
      <c r="AT777" s="1611"/>
      <c r="AU777" s="1611"/>
      <c r="AV777" s="1611"/>
    </row>
    <row r="778" ht="14.25" customHeight="1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I778" s="1611"/>
      <c r="AJ778" s="1611"/>
      <c r="AK778" s="1611"/>
      <c r="AL778" s="1611"/>
      <c r="AM778" s="1611"/>
      <c r="AN778" s="1611"/>
      <c r="AO778" s="1611"/>
      <c r="AP778" s="1611"/>
      <c r="AQ778" s="1611"/>
      <c r="AR778" s="1611"/>
      <c r="AS778" s="1611"/>
      <c r="AT778" s="1611"/>
      <c r="AU778" s="1611"/>
      <c r="AV778" s="1611"/>
    </row>
    <row r="779" ht="14.25" customHeight="1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I779" s="1611"/>
      <c r="AJ779" s="1611"/>
      <c r="AK779" s="1611"/>
      <c r="AL779" s="1611"/>
      <c r="AM779" s="1611"/>
      <c r="AN779" s="1611"/>
      <c r="AO779" s="1611"/>
      <c r="AP779" s="1611"/>
      <c r="AQ779" s="1611"/>
      <c r="AR779" s="1611"/>
      <c r="AS779" s="1611"/>
      <c r="AT779" s="1611"/>
      <c r="AU779" s="1611"/>
      <c r="AV779" s="1611"/>
    </row>
    <row r="780" ht="14.25" customHeight="1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I780" s="1611"/>
      <c r="AJ780" s="1611"/>
      <c r="AK780" s="1611"/>
      <c r="AL780" s="1611"/>
      <c r="AM780" s="1611"/>
      <c r="AN780" s="1611"/>
      <c r="AO780" s="1611"/>
      <c r="AP780" s="1611"/>
      <c r="AQ780" s="1611"/>
      <c r="AR780" s="1611"/>
      <c r="AS780" s="1611"/>
      <c r="AT780" s="1611"/>
      <c r="AU780" s="1611"/>
      <c r="AV780" s="1611"/>
    </row>
    <row r="781" ht="14.25" customHeight="1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I781" s="1611"/>
      <c r="AJ781" s="1611"/>
      <c r="AK781" s="1611"/>
      <c r="AL781" s="1611"/>
      <c r="AM781" s="1611"/>
      <c r="AN781" s="1611"/>
      <c r="AO781" s="1611"/>
      <c r="AP781" s="1611"/>
      <c r="AQ781" s="1611"/>
      <c r="AR781" s="1611"/>
      <c r="AS781" s="1611"/>
      <c r="AT781" s="1611"/>
      <c r="AU781" s="1611"/>
      <c r="AV781" s="1611"/>
    </row>
    <row r="782" ht="14.25" customHeight="1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I782" s="1611"/>
      <c r="AJ782" s="1611"/>
      <c r="AK782" s="1611"/>
      <c r="AL782" s="1611"/>
      <c r="AM782" s="1611"/>
      <c r="AN782" s="1611"/>
      <c r="AO782" s="1611"/>
      <c r="AP782" s="1611"/>
      <c r="AQ782" s="1611"/>
      <c r="AR782" s="1611"/>
      <c r="AS782" s="1611"/>
      <c r="AT782" s="1611"/>
      <c r="AU782" s="1611"/>
      <c r="AV782" s="1611"/>
    </row>
    <row r="783" ht="14.25" customHeight="1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I783" s="1611"/>
      <c r="AJ783" s="1611"/>
      <c r="AK783" s="1611"/>
      <c r="AL783" s="1611"/>
      <c r="AM783" s="1611"/>
      <c r="AN783" s="1611"/>
      <c r="AO783" s="1611"/>
      <c r="AP783" s="1611"/>
      <c r="AQ783" s="1611"/>
      <c r="AR783" s="1611"/>
      <c r="AS783" s="1611"/>
      <c r="AT783" s="1611"/>
      <c r="AU783" s="1611"/>
      <c r="AV783" s="1611"/>
    </row>
    <row r="784" ht="14.25" customHeight="1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I784" s="1611"/>
      <c r="AJ784" s="1611"/>
      <c r="AK784" s="1611"/>
      <c r="AL784" s="1611"/>
      <c r="AM784" s="1611"/>
      <c r="AN784" s="1611"/>
      <c r="AO784" s="1611"/>
      <c r="AP784" s="1611"/>
      <c r="AQ784" s="1611"/>
      <c r="AR784" s="1611"/>
      <c r="AS784" s="1611"/>
      <c r="AT784" s="1611"/>
      <c r="AU784" s="1611"/>
      <c r="AV784" s="1611"/>
    </row>
    <row r="785" ht="14.25" customHeight="1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I785" s="1611"/>
      <c r="AJ785" s="1611"/>
      <c r="AK785" s="1611"/>
      <c r="AL785" s="1611"/>
      <c r="AM785" s="1611"/>
      <c r="AN785" s="1611"/>
      <c r="AO785" s="1611"/>
      <c r="AP785" s="1611"/>
      <c r="AQ785" s="1611"/>
      <c r="AR785" s="1611"/>
      <c r="AS785" s="1611"/>
      <c r="AT785" s="1611"/>
      <c r="AU785" s="1611"/>
      <c r="AV785" s="1611"/>
    </row>
    <row r="786" ht="14.25" customHeight="1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I786" s="1611"/>
      <c r="AJ786" s="1611"/>
      <c r="AK786" s="1611"/>
      <c r="AL786" s="1611"/>
      <c r="AM786" s="1611"/>
      <c r="AN786" s="1611"/>
      <c r="AO786" s="1611"/>
      <c r="AP786" s="1611"/>
      <c r="AQ786" s="1611"/>
      <c r="AR786" s="1611"/>
      <c r="AS786" s="1611"/>
      <c r="AT786" s="1611"/>
      <c r="AU786" s="1611"/>
      <c r="AV786" s="1611"/>
    </row>
    <row r="787" ht="14.25" customHeight="1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I787" s="1611"/>
      <c r="AJ787" s="1611"/>
      <c r="AK787" s="1611"/>
      <c r="AL787" s="1611"/>
      <c r="AM787" s="1611"/>
      <c r="AN787" s="1611"/>
      <c r="AO787" s="1611"/>
      <c r="AP787" s="1611"/>
      <c r="AQ787" s="1611"/>
      <c r="AR787" s="1611"/>
      <c r="AS787" s="1611"/>
      <c r="AT787" s="1611"/>
      <c r="AU787" s="1611"/>
      <c r="AV787" s="1611"/>
    </row>
    <row r="788" ht="14.25" customHeight="1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I788" s="1611"/>
      <c r="AJ788" s="1611"/>
      <c r="AK788" s="1611"/>
      <c r="AL788" s="1611"/>
      <c r="AM788" s="1611"/>
      <c r="AN788" s="1611"/>
      <c r="AO788" s="1611"/>
      <c r="AP788" s="1611"/>
      <c r="AQ788" s="1611"/>
      <c r="AR788" s="1611"/>
      <c r="AS788" s="1611"/>
      <c r="AT788" s="1611"/>
      <c r="AU788" s="1611"/>
      <c r="AV788" s="1611"/>
    </row>
    <row r="789" ht="14.25" customHeight="1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I789" s="1611"/>
      <c r="AJ789" s="1611"/>
      <c r="AK789" s="1611"/>
      <c r="AL789" s="1611"/>
      <c r="AM789" s="1611"/>
      <c r="AN789" s="1611"/>
      <c r="AO789" s="1611"/>
      <c r="AP789" s="1611"/>
      <c r="AQ789" s="1611"/>
      <c r="AR789" s="1611"/>
      <c r="AS789" s="1611"/>
      <c r="AT789" s="1611"/>
      <c r="AU789" s="1611"/>
      <c r="AV789" s="1611"/>
    </row>
    <row r="790" ht="14.25" customHeight="1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I790" s="1611"/>
      <c r="AJ790" s="1611"/>
      <c r="AK790" s="1611"/>
      <c r="AL790" s="1611"/>
      <c r="AM790" s="1611"/>
      <c r="AN790" s="1611"/>
      <c r="AO790" s="1611"/>
      <c r="AP790" s="1611"/>
      <c r="AQ790" s="1611"/>
      <c r="AR790" s="1611"/>
      <c r="AS790" s="1611"/>
      <c r="AT790" s="1611"/>
      <c r="AU790" s="1611"/>
      <c r="AV790" s="1611"/>
    </row>
    <row r="791" ht="14.25" customHeight="1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I791" s="1611"/>
      <c r="AJ791" s="1611"/>
      <c r="AK791" s="1611"/>
      <c r="AL791" s="1611"/>
      <c r="AM791" s="1611"/>
      <c r="AN791" s="1611"/>
      <c r="AO791" s="1611"/>
      <c r="AP791" s="1611"/>
      <c r="AQ791" s="1611"/>
      <c r="AR791" s="1611"/>
      <c r="AS791" s="1611"/>
      <c r="AT791" s="1611"/>
      <c r="AU791" s="1611"/>
      <c r="AV791" s="1611"/>
    </row>
    <row r="792" ht="14.25" customHeight="1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I792" s="1611"/>
      <c r="AJ792" s="1611"/>
      <c r="AK792" s="1611"/>
      <c r="AL792" s="1611"/>
      <c r="AM792" s="1611"/>
      <c r="AN792" s="1611"/>
      <c r="AO792" s="1611"/>
      <c r="AP792" s="1611"/>
      <c r="AQ792" s="1611"/>
      <c r="AR792" s="1611"/>
      <c r="AS792" s="1611"/>
      <c r="AT792" s="1611"/>
      <c r="AU792" s="1611"/>
      <c r="AV792" s="1611"/>
    </row>
    <row r="793" ht="14.25" customHeight="1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I793" s="1611"/>
      <c r="AJ793" s="1611"/>
      <c r="AK793" s="1611"/>
      <c r="AL793" s="1611"/>
      <c r="AM793" s="1611"/>
      <c r="AN793" s="1611"/>
      <c r="AO793" s="1611"/>
      <c r="AP793" s="1611"/>
      <c r="AQ793" s="1611"/>
      <c r="AR793" s="1611"/>
      <c r="AS793" s="1611"/>
      <c r="AT793" s="1611"/>
      <c r="AU793" s="1611"/>
      <c r="AV793" s="1611"/>
    </row>
    <row r="794" ht="14.25" customHeight="1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I794" s="1611"/>
      <c r="AJ794" s="1611"/>
      <c r="AK794" s="1611"/>
      <c r="AL794" s="1611"/>
      <c r="AM794" s="1611"/>
      <c r="AN794" s="1611"/>
      <c r="AO794" s="1611"/>
      <c r="AP794" s="1611"/>
      <c r="AQ794" s="1611"/>
      <c r="AR794" s="1611"/>
      <c r="AS794" s="1611"/>
      <c r="AT794" s="1611"/>
      <c r="AU794" s="1611"/>
      <c r="AV794" s="1611"/>
    </row>
    <row r="795" ht="14.25" customHeight="1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I795" s="1611"/>
      <c r="AJ795" s="1611"/>
      <c r="AK795" s="1611"/>
      <c r="AL795" s="1611"/>
      <c r="AM795" s="1611"/>
      <c r="AN795" s="1611"/>
      <c r="AO795" s="1611"/>
      <c r="AP795" s="1611"/>
      <c r="AQ795" s="1611"/>
      <c r="AR795" s="1611"/>
      <c r="AS795" s="1611"/>
      <c r="AT795" s="1611"/>
      <c r="AU795" s="1611"/>
      <c r="AV795" s="1611"/>
    </row>
    <row r="796" ht="14.25" customHeight="1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I796" s="1611"/>
      <c r="AJ796" s="1611"/>
      <c r="AK796" s="1611"/>
      <c r="AL796" s="1611"/>
      <c r="AM796" s="1611"/>
      <c r="AN796" s="1611"/>
      <c r="AO796" s="1611"/>
      <c r="AP796" s="1611"/>
      <c r="AQ796" s="1611"/>
      <c r="AR796" s="1611"/>
      <c r="AS796" s="1611"/>
      <c r="AT796" s="1611"/>
      <c r="AU796" s="1611"/>
      <c r="AV796" s="1611"/>
    </row>
    <row r="797" ht="14.25" customHeight="1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I797" s="1611"/>
      <c r="AJ797" s="1611"/>
      <c r="AK797" s="1611"/>
      <c r="AL797" s="1611"/>
      <c r="AM797" s="1611"/>
      <c r="AN797" s="1611"/>
      <c r="AO797" s="1611"/>
      <c r="AP797" s="1611"/>
      <c r="AQ797" s="1611"/>
      <c r="AR797" s="1611"/>
      <c r="AS797" s="1611"/>
      <c r="AT797" s="1611"/>
      <c r="AU797" s="1611"/>
      <c r="AV797" s="1611"/>
    </row>
    <row r="798" ht="14.25" customHeight="1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I798" s="1611"/>
      <c r="AJ798" s="1611"/>
      <c r="AK798" s="1611"/>
      <c r="AL798" s="1611"/>
      <c r="AM798" s="1611"/>
      <c r="AN798" s="1611"/>
      <c r="AO798" s="1611"/>
      <c r="AP798" s="1611"/>
      <c r="AQ798" s="1611"/>
      <c r="AR798" s="1611"/>
      <c r="AS798" s="1611"/>
      <c r="AT798" s="1611"/>
      <c r="AU798" s="1611"/>
      <c r="AV798" s="1611"/>
    </row>
    <row r="799" ht="14.25" customHeight="1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I799" s="1611"/>
      <c r="AJ799" s="1611"/>
      <c r="AK799" s="1611"/>
      <c r="AL799" s="1611"/>
      <c r="AM799" s="1611"/>
      <c r="AN799" s="1611"/>
      <c r="AO799" s="1611"/>
      <c r="AP799" s="1611"/>
      <c r="AQ799" s="1611"/>
      <c r="AR799" s="1611"/>
      <c r="AS799" s="1611"/>
      <c r="AT799" s="1611"/>
      <c r="AU799" s="1611"/>
      <c r="AV799" s="1611"/>
    </row>
    <row r="800" ht="14.25" customHeight="1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I800" s="1611"/>
      <c r="AJ800" s="1611"/>
      <c r="AK800" s="1611"/>
      <c r="AL800" s="1611"/>
      <c r="AM800" s="1611"/>
      <c r="AN800" s="1611"/>
      <c r="AO800" s="1611"/>
      <c r="AP800" s="1611"/>
      <c r="AQ800" s="1611"/>
      <c r="AR800" s="1611"/>
      <c r="AS800" s="1611"/>
      <c r="AT800" s="1611"/>
      <c r="AU800" s="1611"/>
      <c r="AV800" s="1611"/>
    </row>
    <row r="801" ht="14.25" customHeight="1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I801" s="1611"/>
      <c r="AJ801" s="1611"/>
      <c r="AK801" s="1611"/>
      <c r="AL801" s="1611"/>
      <c r="AM801" s="1611"/>
      <c r="AN801" s="1611"/>
      <c r="AO801" s="1611"/>
      <c r="AP801" s="1611"/>
      <c r="AQ801" s="1611"/>
      <c r="AR801" s="1611"/>
      <c r="AS801" s="1611"/>
      <c r="AT801" s="1611"/>
      <c r="AU801" s="1611"/>
      <c r="AV801" s="1611"/>
    </row>
    <row r="802" ht="14.25" customHeight="1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I802" s="1611"/>
      <c r="AJ802" s="1611"/>
      <c r="AK802" s="1611"/>
      <c r="AL802" s="1611"/>
      <c r="AM802" s="1611"/>
      <c r="AN802" s="1611"/>
      <c r="AO802" s="1611"/>
      <c r="AP802" s="1611"/>
      <c r="AQ802" s="1611"/>
      <c r="AR802" s="1611"/>
      <c r="AS802" s="1611"/>
      <c r="AT802" s="1611"/>
      <c r="AU802" s="1611"/>
      <c r="AV802" s="1611"/>
    </row>
    <row r="803" ht="14.25" customHeight="1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I803" s="1611"/>
      <c r="AJ803" s="1611"/>
      <c r="AK803" s="1611"/>
      <c r="AL803" s="1611"/>
      <c r="AM803" s="1611"/>
      <c r="AN803" s="1611"/>
      <c r="AO803" s="1611"/>
      <c r="AP803" s="1611"/>
      <c r="AQ803" s="1611"/>
      <c r="AR803" s="1611"/>
      <c r="AS803" s="1611"/>
      <c r="AT803" s="1611"/>
      <c r="AU803" s="1611"/>
      <c r="AV803" s="1611"/>
    </row>
    <row r="804" ht="14.25" customHeight="1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I804" s="1611"/>
      <c r="AJ804" s="1611"/>
      <c r="AK804" s="1611"/>
      <c r="AL804" s="1611"/>
      <c r="AM804" s="1611"/>
      <c r="AN804" s="1611"/>
      <c r="AO804" s="1611"/>
      <c r="AP804" s="1611"/>
      <c r="AQ804" s="1611"/>
      <c r="AR804" s="1611"/>
      <c r="AS804" s="1611"/>
      <c r="AT804" s="1611"/>
      <c r="AU804" s="1611"/>
      <c r="AV804" s="1611"/>
    </row>
    <row r="805" ht="14.25" customHeight="1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I805" s="1611"/>
      <c r="AJ805" s="1611"/>
      <c r="AK805" s="1611"/>
      <c r="AL805" s="1611"/>
      <c r="AM805" s="1611"/>
      <c r="AN805" s="1611"/>
      <c r="AO805" s="1611"/>
      <c r="AP805" s="1611"/>
      <c r="AQ805" s="1611"/>
      <c r="AR805" s="1611"/>
      <c r="AS805" s="1611"/>
      <c r="AT805" s="1611"/>
      <c r="AU805" s="1611"/>
      <c r="AV805" s="1611"/>
    </row>
    <row r="806" ht="14.25" customHeight="1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I806" s="1611"/>
      <c r="AJ806" s="1611"/>
      <c r="AK806" s="1611"/>
      <c r="AL806" s="1611"/>
      <c r="AM806" s="1611"/>
      <c r="AN806" s="1611"/>
      <c r="AO806" s="1611"/>
      <c r="AP806" s="1611"/>
      <c r="AQ806" s="1611"/>
      <c r="AR806" s="1611"/>
      <c r="AS806" s="1611"/>
      <c r="AT806" s="1611"/>
      <c r="AU806" s="1611"/>
      <c r="AV806" s="1611"/>
    </row>
    <row r="807" ht="14.25" customHeight="1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I807" s="1611"/>
      <c r="AJ807" s="1611"/>
      <c r="AK807" s="1611"/>
      <c r="AL807" s="1611"/>
      <c r="AM807" s="1611"/>
      <c r="AN807" s="1611"/>
      <c r="AO807" s="1611"/>
      <c r="AP807" s="1611"/>
      <c r="AQ807" s="1611"/>
      <c r="AR807" s="1611"/>
      <c r="AS807" s="1611"/>
      <c r="AT807" s="1611"/>
      <c r="AU807" s="1611"/>
      <c r="AV807" s="1611"/>
    </row>
    <row r="808" ht="14.25" customHeight="1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I808" s="1611"/>
      <c r="AJ808" s="1611"/>
      <c r="AK808" s="1611"/>
      <c r="AL808" s="1611"/>
      <c r="AM808" s="1611"/>
      <c r="AN808" s="1611"/>
      <c r="AO808" s="1611"/>
      <c r="AP808" s="1611"/>
      <c r="AQ808" s="1611"/>
      <c r="AR808" s="1611"/>
      <c r="AS808" s="1611"/>
      <c r="AT808" s="1611"/>
      <c r="AU808" s="1611"/>
      <c r="AV808" s="1611"/>
    </row>
    <row r="809" ht="14.25" customHeight="1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I809" s="1611"/>
      <c r="AJ809" s="1611"/>
      <c r="AK809" s="1611"/>
      <c r="AL809" s="1611"/>
      <c r="AM809" s="1611"/>
      <c r="AN809" s="1611"/>
      <c r="AO809" s="1611"/>
      <c r="AP809" s="1611"/>
      <c r="AQ809" s="1611"/>
      <c r="AR809" s="1611"/>
      <c r="AS809" s="1611"/>
      <c r="AT809" s="1611"/>
      <c r="AU809" s="1611"/>
      <c r="AV809" s="1611"/>
    </row>
    <row r="810" ht="14.25" customHeight="1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I810" s="1611"/>
      <c r="AJ810" s="1611"/>
      <c r="AK810" s="1611"/>
      <c r="AL810" s="1611"/>
      <c r="AM810" s="1611"/>
      <c r="AN810" s="1611"/>
      <c r="AO810" s="1611"/>
      <c r="AP810" s="1611"/>
      <c r="AQ810" s="1611"/>
      <c r="AR810" s="1611"/>
      <c r="AS810" s="1611"/>
      <c r="AT810" s="1611"/>
      <c r="AU810" s="1611"/>
      <c r="AV810" s="1611"/>
    </row>
    <row r="811" ht="14.25" customHeight="1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I811" s="1611"/>
      <c r="AJ811" s="1611"/>
      <c r="AK811" s="1611"/>
      <c r="AL811" s="1611"/>
      <c r="AM811" s="1611"/>
      <c r="AN811" s="1611"/>
      <c r="AO811" s="1611"/>
      <c r="AP811" s="1611"/>
      <c r="AQ811" s="1611"/>
      <c r="AR811" s="1611"/>
      <c r="AS811" s="1611"/>
      <c r="AT811" s="1611"/>
      <c r="AU811" s="1611"/>
      <c r="AV811" s="1611"/>
    </row>
    <row r="812" ht="14.25" customHeight="1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I812" s="1611"/>
      <c r="AJ812" s="1611"/>
      <c r="AK812" s="1611"/>
      <c r="AL812" s="1611"/>
      <c r="AM812" s="1611"/>
      <c r="AN812" s="1611"/>
      <c r="AO812" s="1611"/>
      <c r="AP812" s="1611"/>
      <c r="AQ812" s="1611"/>
      <c r="AR812" s="1611"/>
      <c r="AS812" s="1611"/>
      <c r="AT812" s="1611"/>
      <c r="AU812" s="1611"/>
      <c r="AV812" s="1611"/>
    </row>
    <row r="813" ht="14.25" customHeight="1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I813" s="1611"/>
      <c r="AJ813" s="1611"/>
      <c r="AK813" s="1611"/>
      <c r="AL813" s="1611"/>
      <c r="AM813" s="1611"/>
      <c r="AN813" s="1611"/>
      <c r="AO813" s="1611"/>
      <c r="AP813" s="1611"/>
      <c r="AQ813" s="1611"/>
      <c r="AR813" s="1611"/>
      <c r="AS813" s="1611"/>
      <c r="AT813" s="1611"/>
      <c r="AU813" s="1611"/>
      <c r="AV813" s="1611"/>
    </row>
    <row r="814" ht="14.25" customHeight="1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I814" s="1611"/>
      <c r="AJ814" s="1611"/>
      <c r="AK814" s="1611"/>
      <c r="AL814" s="1611"/>
      <c r="AM814" s="1611"/>
      <c r="AN814" s="1611"/>
      <c r="AO814" s="1611"/>
      <c r="AP814" s="1611"/>
      <c r="AQ814" s="1611"/>
      <c r="AR814" s="1611"/>
      <c r="AS814" s="1611"/>
      <c r="AT814" s="1611"/>
      <c r="AU814" s="1611"/>
      <c r="AV814" s="1611"/>
    </row>
    <row r="815" ht="14.25" customHeight="1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I815" s="1611"/>
      <c r="AJ815" s="1611"/>
      <c r="AK815" s="1611"/>
      <c r="AL815" s="1611"/>
      <c r="AM815" s="1611"/>
      <c r="AN815" s="1611"/>
      <c r="AO815" s="1611"/>
      <c r="AP815" s="1611"/>
      <c r="AQ815" s="1611"/>
      <c r="AR815" s="1611"/>
      <c r="AS815" s="1611"/>
      <c r="AT815" s="1611"/>
      <c r="AU815" s="1611"/>
      <c r="AV815" s="1611"/>
    </row>
    <row r="816" ht="14.25" customHeight="1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I816" s="1611"/>
      <c r="AJ816" s="1611"/>
      <c r="AK816" s="1611"/>
      <c r="AL816" s="1611"/>
      <c r="AM816" s="1611"/>
      <c r="AN816" s="1611"/>
      <c r="AO816" s="1611"/>
      <c r="AP816" s="1611"/>
      <c r="AQ816" s="1611"/>
      <c r="AR816" s="1611"/>
      <c r="AS816" s="1611"/>
      <c r="AT816" s="1611"/>
      <c r="AU816" s="1611"/>
      <c r="AV816" s="1611"/>
    </row>
    <row r="817" ht="14.25" customHeight="1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I817" s="1611"/>
      <c r="AJ817" s="1611"/>
      <c r="AK817" s="1611"/>
      <c r="AL817" s="1611"/>
      <c r="AM817" s="1611"/>
      <c r="AN817" s="1611"/>
      <c r="AO817" s="1611"/>
      <c r="AP817" s="1611"/>
      <c r="AQ817" s="1611"/>
      <c r="AR817" s="1611"/>
      <c r="AS817" s="1611"/>
      <c r="AT817" s="1611"/>
      <c r="AU817" s="1611"/>
      <c r="AV817" s="1611"/>
    </row>
    <row r="818" ht="14.25" customHeight="1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I818" s="1611"/>
      <c r="AJ818" s="1611"/>
      <c r="AK818" s="1611"/>
      <c r="AL818" s="1611"/>
      <c r="AM818" s="1611"/>
      <c r="AN818" s="1611"/>
      <c r="AO818" s="1611"/>
      <c r="AP818" s="1611"/>
      <c r="AQ818" s="1611"/>
      <c r="AR818" s="1611"/>
      <c r="AS818" s="1611"/>
      <c r="AT818" s="1611"/>
      <c r="AU818" s="1611"/>
      <c r="AV818" s="1611"/>
    </row>
    <row r="819" ht="14.25" customHeight="1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I819" s="1611"/>
      <c r="AJ819" s="1611"/>
      <c r="AK819" s="1611"/>
      <c r="AL819" s="1611"/>
      <c r="AM819" s="1611"/>
      <c r="AN819" s="1611"/>
      <c r="AO819" s="1611"/>
      <c r="AP819" s="1611"/>
      <c r="AQ819" s="1611"/>
      <c r="AR819" s="1611"/>
      <c r="AS819" s="1611"/>
      <c r="AT819" s="1611"/>
      <c r="AU819" s="1611"/>
      <c r="AV819" s="1611"/>
    </row>
    <row r="820" ht="14.25" customHeight="1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I820" s="1611"/>
      <c r="AJ820" s="1611"/>
      <c r="AK820" s="1611"/>
      <c r="AL820" s="1611"/>
      <c r="AM820" s="1611"/>
      <c r="AN820" s="1611"/>
      <c r="AO820" s="1611"/>
      <c r="AP820" s="1611"/>
      <c r="AQ820" s="1611"/>
      <c r="AR820" s="1611"/>
      <c r="AS820" s="1611"/>
      <c r="AT820" s="1611"/>
      <c r="AU820" s="1611"/>
      <c r="AV820" s="1611"/>
    </row>
    <row r="821" ht="14.25" customHeight="1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I821" s="1611"/>
      <c r="AJ821" s="1611"/>
      <c r="AK821" s="1611"/>
      <c r="AL821" s="1611"/>
      <c r="AM821" s="1611"/>
      <c r="AN821" s="1611"/>
      <c r="AO821" s="1611"/>
      <c r="AP821" s="1611"/>
      <c r="AQ821" s="1611"/>
      <c r="AR821" s="1611"/>
      <c r="AS821" s="1611"/>
      <c r="AT821" s="1611"/>
      <c r="AU821" s="1611"/>
      <c r="AV821" s="1611"/>
    </row>
    <row r="822" ht="14.25" customHeight="1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I822" s="1611"/>
      <c r="AJ822" s="1611"/>
      <c r="AK822" s="1611"/>
      <c r="AL822" s="1611"/>
      <c r="AM822" s="1611"/>
      <c r="AN822" s="1611"/>
      <c r="AO822" s="1611"/>
      <c r="AP822" s="1611"/>
      <c r="AQ822" s="1611"/>
      <c r="AR822" s="1611"/>
      <c r="AS822" s="1611"/>
      <c r="AT822" s="1611"/>
      <c r="AU822" s="1611"/>
      <c r="AV822" s="1611"/>
    </row>
    <row r="823" ht="14.25" customHeight="1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I823" s="1611"/>
      <c r="AJ823" s="1611"/>
      <c r="AK823" s="1611"/>
      <c r="AL823" s="1611"/>
      <c r="AM823" s="1611"/>
      <c r="AN823" s="1611"/>
      <c r="AO823" s="1611"/>
      <c r="AP823" s="1611"/>
      <c r="AQ823" s="1611"/>
      <c r="AR823" s="1611"/>
      <c r="AS823" s="1611"/>
      <c r="AT823" s="1611"/>
      <c r="AU823" s="1611"/>
      <c r="AV823" s="1611"/>
    </row>
    <row r="824" ht="14.25" customHeight="1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I824" s="1611"/>
      <c r="AJ824" s="1611"/>
      <c r="AK824" s="1611"/>
      <c r="AL824" s="1611"/>
      <c r="AM824" s="1611"/>
      <c r="AN824" s="1611"/>
      <c r="AO824" s="1611"/>
      <c r="AP824" s="1611"/>
      <c r="AQ824" s="1611"/>
      <c r="AR824" s="1611"/>
      <c r="AS824" s="1611"/>
      <c r="AT824" s="1611"/>
      <c r="AU824" s="1611"/>
      <c r="AV824" s="1611"/>
    </row>
    <row r="825" ht="14.25" customHeight="1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I825" s="1611"/>
      <c r="AJ825" s="1611"/>
      <c r="AK825" s="1611"/>
      <c r="AL825" s="1611"/>
      <c r="AM825" s="1611"/>
      <c r="AN825" s="1611"/>
      <c r="AO825" s="1611"/>
      <c r="AP825" s="1611"/>
      <c r="AQ825" s="1611"/>
      <c r="AR825" s="1611"/>
      <c r="AS825" s="1611"/>
      <c r="AT825" s="1611"/>
      <c r="AU825" s="1611"/>
      <c r="AV825" s="1611"/>
    </row>
    <row r="826" ht="14.25" customHeight="1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I826" s="1611"/>
      <c r="AJ826" s="1611"/>
      <c r="AK826" s="1611"/>
      <c r="AL826" s="1611"/>
      <c r="AM826" s="1611"/>
      <c r="AN826" s="1611"/>
      <c r="AO826" s="1611"/>
      <c r="AP826" s="1611"/>
      <c r="AQ826" s="1611"/>
      <c r="AR826" s="1611"/>
      <c r="AS826" s="1611"/>
      <c r="AT826" s="1611"/>
      <c r="AU826" s="1611"/>
      <c r="AV826" s="1611"/>
    </row>
    <row r="827" ht="14.25" customHeight="1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I827" s="1611"/>
      <c r="AJ827" s="1611"/>
      <c r="AK827" s="1611"/>
      <c r="AL827" s="1611"/>
      <c r="AM827" s="1611"/>
      <c r="AN827" s="1611"/>
      <c r="AO827" s="1611"/>
      <c r="AP827" s="1611"/>
      <c r="AQ827" s="1611"/>
      <c r="AR827" s="1611"/>
      <c r="AS827" s="1611"/>
      <c r="AT827" s="1611"/>
      <c r="AU827" s="1611"/>
      <c r="AV827" s="1611"/>
    </row>
    <row r="828" ht="14.25" customHeight="1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I828" s="1611"/>
      <c r="AJ828" s="1611"/>
      <c r="AK828" s="1611"/>
      <c r="AL828" s="1611"/>
      <c r="AM828" s="1611"/>
      <c r="AN828" s="1611"/>
      <c r="AO828" s="1611"/>
      <c r="AP828" s="1611"/>
      <c r="AQ828" s="1611"/>
      <c r="AR828" s="1611"/>
      <c r="AS828" s="1611"/>
      <c r="AT828" s="1611"/>
      <c r="AU828" s="1611"/>
      <c r="AV828" s="1611"/>
    </row>
    <row r="829" ht="14.25" customHeight="1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I829" s="1611"/>
      <c r="AJ829" s="1611"/>
      <c r="AK829" s="1611"/>
      <c r="AL829" s="1611"/>
      <c r="AM829" s="1611"/>
      <c r="AN829" s="1611"/>
      <c r="AO829" s="1611"/>
      <c r="AP829" s="1611"/>
      <c r="AQ829" s="1611"/>
      <c r="AR829" s="1611"/>
      <c r="AS829" s="1611"/>
      <c r="AT829" s="1611"/>
      <c r="AU829" s="1611"/>
      <c r="AV829" s="1611"/>
    </row>
    <row r="830" ht="14.25" customHeight="1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I830" s="1611"/>
      <c r="AJ830" s="1611"/>
      <c r="AK830" s="1611"/>
      <c r="AL830" s="1611"/>
      <c r="AM830" s="1611"/>
      <c r="AN830" s="1611"/>
      <c r="AO830" s="1611"/>
      <c r="AP830" s="1611"/>
      <c r="AQ830" s="1611"/>
      <c r="AR830" s="1611"/>
      <c r="AS830" s="1611"/>
      <c r="AT830" s="1611"/>
      <c r="AU830" s="1611"/>
      <c r="AV830" s="1611"/>
    </row>
    <row r="831" ht="14.25" customHeight="1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I831" s="1611"/>
      <c r="AJ831" s="1611"/>
      <c r="AK831" s="1611"/>
      <c r="AL831" s="1611"/>
      <c r="AM831" s="1611"/>
      <c r="AN831" s="1611"/>
      <c r="AO831" s="1611"/>
      <c r="AP831" s="1611"/>
      <c r="AQ831" s="1611"/>
      <c r="AR831" s="1611"/>
      <c r="AS831" s="1611"/>
      <c r="AT831" s="1611"/>
      <c r="AU831" s="1611"/>
      <c r="AV831" s="1611"/>
    </row>
    <row r="832" ht="14.25" customHeight="1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I832" s="1611"/>
      <c r="AJ832" s="1611"/>
      <c r="AK832" s="1611"/>
      <c r="AL832" s="1611"/>
      <c r="AM832" s="1611"/>
      <c r="AN832" s="1611"/>
      <c r="AO832" s="1611"/>
      <c r="AP832" s="1611"/>
      <c r="AQ832" s="1611"/>
      <c r="AR832" s="1611"/>
      <c r="AS832" s="1611"/>
      <c r="AT832" s="1611"/>
      <c r="AU832" s="1611"/>
      <c r="AV832" s="1611"/>
    </row>
    <row r="833" ht="14.25" customHeight="1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I833" s="1611"/>
      <c r="AJ833" s="1611"/>
      <c r="AK833" s="1611"/>
      <c r="AL833" s="1611"/>
      <c r="AM833" s="1611"/>
      <c r="AN833" s="1611"/>
      <c r="AO833" s="1611"/>
      <c r="AP833" s="1611"/>
      <c r="AQ833" s="1611"/>
      <c r="AR833" s="1611"/>
      <c r="AS833" s="1611"/>
      <c r="AT833" s="1611"/>
      <c r="AU833" s="1611"/>
      <c r="AV833" s="1611"/>
    </row>
    <row r="834" ht="14.25" customHeight="1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I834" s="1611"/>
      <c r="AJ834" s="1611"/>
      <c r="AK834" s="1611"/>
      <c r="AL834" s="1611"/>
      <c r="AM834" s="1611"/>
      <c r="AN834" s="1611"/>
      <c r="AO834" s="1611"/>
      <c r="AP834" s="1611"/>
      <c r="AQ834" s="1611"/>
      <c r="AR834" s="1611"/>
      <c r="AS834" s="1611"/>
      <c r="AT834" s="1611"/>
      <c r="AU834" s="1611"/>
      <c r="AV834" s="1611"/>
    </row>
    <row r="835" ht="14.25" customHeight="1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I835" s="1611"/>
      <c r="AJ835" s="1611"/>
      <c r="AK835" s="1611"/>
      <c r="AL835" s="1611"/>
      <c r="AM835" s="1611"/>
      <c r="AN835" s="1611"/>
      <c r="AO835" s="1611"/>
      <c r="AP835" s="1611"/>
      <c r="AQ835" s="1611"/>
      <c r="AR835" s="1611"/>
      <c r="AS835" s="1611"/>
      <c r="AT835" s="1611"/>
      <c r="AU835" s="1611"/>
      <c r="AV835" s="1611"/>
    </row>
    <row r="836" ht="14.25" customHeight="1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I836" s="1611"/>
      <c r="AJ836" s="1611"/>
      <c r="AK836" s="1611"/>
      <c r="AL836" s="1611"/>
      <c r="AM836" s="1611"/>
      <c r="AN836" s="1611"/>
      <c r="AO836" s="1611"/>
      <c r="AP836" s="1611"/>
      <c r="AQ836" s="1611"/>
      <c r="AR836" s="1611"/>
      <c r="AS836" s="1611"/>
      <c r="AT836" s="1611"/>
      <c r="AU836" s="1611"/>
      <c r="AV836" s="1611"/>
    </row>
    <row r="837" ht="14.25" customHeight="1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I837" s="1611"/>
      <c r="AJ837" s="1611"/>
      <c r="AK837" s="1611"/>
      <c r="AL837" s="1611"/>
      <c r="AM837" s="1611"/>
      <c r="AN837" s="1611"/>
      <c r="AO837" s="1611"/>
      <c r="AP837" s="1611"/>
      <c r="AQ837" s="1611"/>
      <c r="AR837" s="1611"/>
      <c r="AS837" s="1611"/>
      <c r="AT837" s="1611"/>
      <c r="AU837" s="1611"/>
      <c r="AV837" s="1611"/>
    </row>
    <row r="838" ht="14.25" customHeight="1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I838" s="1611"/>
      <c r="AJ838" s="1611"/>
      <c r="AK838" s="1611"/>
      <c r="AL838" s="1611"/>
      <c r="AM838" s="1611"/>
      <c r="AN838" s="1611"/>
      <c r="AO838" s="1611"/>
      <c r="AP838" s="1611"/>
      <c r="AQ838" s="1611"/>
      <c r="AR838" s="1611"/>
      <c r="AS838" s="1611"/>
      <c r="AT838" s="1611"/>
      <c r="AU838" s="1611"/>
      <c r="AV838" s="1611"/>
    </row>
    <row r="839" ht="14.25" customHeight="1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I839" s="1611"/>
      <c r="AJ839" s="1611"/>
      <c r="AK839" s="1611"/>
      <c r="AL839" s="1611"/>
      <c r="AM839" s="1611"/>
      <c r="AN839" s="1611"/>
      <c r="AO839" s="1611"/>
      <c r="AP839" s="1611"/>
      <c r="AQ839" s="1611"/>
      <c r="AR839" s="1611"/>
      <c r="AS839" s="1611"/>
      <c r="AT839" s="1611"/>
      <c r="AU839" s="1611"/>
      <c r="AV839" s="1611"/>
    </row>
    <row r="840" ht="14.25" customHeight="1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I840" s="1611"/>
      <c r="AJ840" s="1611"/>
      <c r="AK840" s="1611"/>
      <c r="AL840" s="1611"/>
      <c r="AM840" s="1611"/>
      <c r="AN840" s="1611"/>
      <c r="AO840" s="1611"/>
      <c r="AP840" s="1611"/>
      <c r="AQ840" s="1611"/>
      <c r="AR840" s="1611"/>
      <c r="AS840" s="1611"/>
      <c r="AT840" s="1611"/>
      <c r="AU840" s="1611"/>
      <c r="AV840" s="1611"/>
    </row>
    <row r="841" ht="14.25" customHeight="1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I841" s="1611"/>
      <c r="AJ841" s="1611"/>
      <c r="AK841" s="1611"/>
      <c r="AL841" s="1611"/>
      <c r="AM841" s="1611"/>
      <c r="AN841" s="1611"/>
      <c r="AO841" s="1611"/>
      <c r="AP841" s="1611"/>
      <c r="AQ841" s="1611"/>
      <c r="AR841" s="1611"/>
      <c r="AS841" s="1611"/>
      <c r="AT841" s="1611"/>
      <c r="AU841" s="1611"/>
      <c r="AV841" s="1611"/>
    </row>
    <row r="842" ht="14.25" customHeight="1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I842" s="1611"/>
      <c r="AJ842" s="1611"/>
      <c r="AK842" s="1611"/>
      <c r="AL842" s="1611"/>
      <c r="AM842" s="1611"/>
      <c r="AN842" s="1611"/>
      <c r="AO842" s="1611"/>
      <c r="AP842" s="1611"/>
      <c r="AQ842" s="1611"/>
      <c r="AR842" s="1611"/>
      <c r="AS842" s="1611"/>
      <c r="AT842" s="1611"/>
      <c r="AU842" s="1611"/>
      <c r="AV842" s="1611"/>
    </row>
    <row r="843" ht="14.25" customHeight="1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I843" s="1611"/>
      <c r="AJ843" s="1611"/>
      <c r="AK843" s="1611"/>
      <c r="AL843" s="1611"/>
      <c r="AM843" s="1611"/>
      <c r="AN843" s="1611"/>
      <c r="AO843" s="1611"/>
      <c r="AP843" s="1611"/>
      <c r="AQ843" s="1611"/>
      <c r="AR843" s="1611"/>
      <c r="AS843" s="1611"/>
      <c r="AT843" s="1611"/>
      <c r="AU843" s="1611"/>
      <c r="AV843" s="1611"/>
    </row>
    <row r="844" ht="14.25" customHeight="1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I844" s="1611"/>
      <c r="AJ844" s="1611"/>
      <c r="AK844" s="1611"/>
      <c r="AL844" s="1611"/>
      <c r="AM844" s="1611"/>
      <c r="AN844" s="1611"/>
      <c r="AO844" s="1611"/>
      <c r="AP844" s="1611"/>
      <c r="AQ844" s="1611"/>
      <c r="AR844" s="1611"/>
      <c r="AS844" s="1611"/>
      <c r="AT844" s="1611"/>
      <c r="AU844" s="1611"/>
      <c r="AV844" s="1611"/>
    </row>
    <row r="845" ht="14.25" customHeight="1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I845" s="1611"/>
      <c r="AJ845" s="1611"/>
      <c r="AK845" s="1611"/>
      <c r="AL845" s="1611"/>
      <c r="AM845" s="1611"/>
      <c r="AN845" s="1611"/>
      <c r="AO845" s="1611"/>
      <c r="AP845" s="1611"/>
      <c r="AQ845" s="1611"/>
      <c r="AR845" s="1611"/>
      <c r="AS845" s="1611"/>
      <c r="AT845" s="1611"/>
      <c r="AU845" s="1611"/>
      <c r="AV845" s="1611"/>
    </row>
    <row r="846" ht="14.25" customHeight="1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I846" s="1611"/>
      <c r="AJ846" s="1611"/>
      <c r="AK846" s="1611"/>
      <c r="AL846" s="1611"/>
      <c r="AM846" s="1611"/>
      <c r="AN846" s="1611"/>
      <c r="AO846" s="1611"/>
      <c r="AP846" s="1611"/>
      <c r="AQ846" s="1611"/>
      <c r="AR846" s="1611"/>
      <c r="AS846" s="1611"/>
      <c r="AT846" s="1611"/>
      <c r="AU846" s="1611"/>
      <c r="AV846" s="1611"/>
    </row>
    <row r="847" ht="14.25" customHeight="1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I847" s="1611"/>
      <c r="AJ847" s="1611"/>
      <c r="AK847" s="1611"/>
      <c r="AL847" s="1611"/>
      <c r="AM847" s="1611"/>
      <c r="AN847" s="1611"/>
      <c r="AO847" s="1611"/>
      <c r="AP847" s="1611"/>
      <c r="AQ847" s="1611"/>
      <c r="AR847" s="1611"/>
      <c r="AS847" s="1611"/>
      <c r="AT847" s="1611"/>
      <c r="AU847" s="1611"/>
      <c r="AV847" s="1611"/>
    </row>
    <row r="848" ht="14.25" customHeight="1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I848" s="1611"/>
      <c r="AJ848" s="1611"/>
      <c r="AK848" s="1611"/>
      <c r="AL848" s="1611"/>
      <c r="AM848" s="1611"/>
      <c r="AN848" s="1611"/>
      <c r="AO848" s="1611"/>
      <c r="AP848" s="1611"/>
      <c r="AQ848" s="1611"/>
      <c r="AR848" s="1611"/>
      <c r="AS848" s="1611"/>
      <c r="AT848" s="1611"/>
      <c r="AU848" s="1611"/>
      <c r="AV848" s="1611"/>
    </row>
    <row r="849" ht="14.25" customHeight="1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I849" s="1611"/>
      <c r="AJ849" s="1611"/>
      <c r="AK849" s="1611"/>
      <c r="AL849" s="1611"/>
      <c r="AM849" s="1611"/>
      <c r="AN849" s="1611"/>
      <c r="AO849" s="1611"/>
      <c r="AP849" s="1611"/>
      <c r="AQ849" s="1611"/>
      <c r="AR849" s="1611"/>
      <c r="AS849" s="1611"/>
      <c r="AT849" s="1611"/>
      <c r="AU849" s="1611"/>
      <c r="AV849" s="1611"/>
    </row>
    <row r="850" ht="14.25" customHeight="1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I850" s="1611"/>
      <c r="AJ850" s="1611"/>
      <c r="AK850" s="1611"/>
      <c r="AL850" s="1611"/>
      <c r="AM850" s="1611"/>
      <c r="AN850" s="1611"/>
      <c r="AO850" s="1611"/>
      <c r="AP850" s="1611"/>
      <c r="AQ850" s="1611"/>
      <c r="AR850" s="1611"/>
      <c r="AS850" s="1611"/>
      <c r="AT850" s="1611"/>
      <c r="AU850" s="1611"/>
      <c r="AV850" s="1611"/>
    </row>
    <row r="851" ht="14.25" customHeight="1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I851" s="1611"/>
      <c r="AJ851" s="1611"/>
      <c r="AK851" s="1611"/>
      <c r="AL851" s="1611"/>
      <c r="AM851" s="1611"/>
      <c r="AN851" s="1611"/>
      <c r="AO851" s="1611"/>
      <c r="AP851" s="1611"/>
      <c r="AQ851" s="1611"/>
      <c r="AR851" s="1611"/>
      <c r="AS851" s="1611"/>
      <c r="AT851" s="1611"/>
      <c r="AU851" s="1611"/>
      <c r="AV851" s="1611"/>
    </row>
    <row r="852" ht="14.25" customHeight="1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I852" s="1611"/>
      <c r="AJ852" s="1611"/>
      <c r="AK852" s="1611"/>
      <c r="AL852" s="1611"/>
      <c r="AM852" s="1611"/>
      <c r="AN852" s="1611"/>
      <c r="AO852" s="1611"/>
      <c r="AP852" s="1611"/>
      <c r="AQ852" s="1611"/>
      <c r="AR852" s="1611"/>
      <c r="AS852" s="1611"/>
      <c r="AT852" s="1611"/>
      <c r="AU852" s="1611"/>
      <c r="AV852" s="1611"/>
    </row>
    <row r="853" ht="14.25" customHeight="1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I853" s="1611"/>
      <c r="AJ853" s="1611"/>
      <c r="AK853" s="1611"/>
      <c r="AL853" s="1611"/>
      <c r="AM853" s="1611"/>
      <c r="AN853" s="1611"/>
      <c r="AO853" s="1611"/>
      <c r="AP853" s="1611"/>
      <c r="AQ853" s="1611"/>
      <c r="AR853" s="1611"/>
      <c r="AS853" s="1611"/>
      <c r="AT853" s="1611"/>
      <c r="AU853" s="1611"/>
      <c r="AV853" s="1611"/>
    </row>
    <row r="854" ht="14.25" customHeight="1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I854" s="1611"/>
      <c r="AJ854" s="1611"/>
      <c r="AK854" s="1611"/>
      <c r="AL854" s="1611"/>
      <c r="AM854" s="1611"/>
      <c r="AN854" s="1611"/>
      <c r="AO854" s="1611"/>
      <c r="AP854" s="1611"/>
      <c r="AQ854" s="1611"/>
      <c r="AR854" s="1611"/>
      <c r="AS854" s="1611"/>
      <c r="AT854" s="1611"/>
      <c r="AU854" s="1611"/>
      <c r="AV854" s="1611"/>
    </row>
    <row r="855" ht="14.25" customHeight="1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I855" s="1611"/>
      <c r="AJ855" s="1611"/>
      <c r="AK855" s="1611"/>
      <c r="AL855" s="1611"/>
      <c r="AM855" s="1611"/>
      <c r="AN855" s="1611"/>
      <c r="AO855" s="1611"/>
      <c r="AP855" s="1611"/>
      <c r="AQ855" s="1611"/>
      <c r="AR855" s="1611"/>
      <c r="AS855" s="1611"/>
      <c r="AT855" s="1611"/>
      <c r="AU855" s="1611"/>
      <c r="AV855" s="1611"/>
    </row>
    <row r="856" ht="14.25" customHeight="1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I856" s="1611"/>
      <c r="AJ856" s="1611"/>
      <c r="AK856" s="1611"/>
      <c r="AL856" s="1611"/>
      <c r="AM856" s="1611"/>
      <c r="AN856" s="1611"/>
      <c r="AO856" s="1611"/>
      <c r="AP856" s="1611"/>
      <c r="AQ856" s="1611"/>
      <c r="AR856" s="1611"/>
      <c r="AS856" s="1611"/>
      <c r="AT856" s="1611"/>
      <c r="AU856" s="1611"/>
      <c r="AV856" s="1611"/>
    </row>
    <row r="857" ht="14.25" customHeight="1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I857" s="1611"/>
      <c r="AJ857" s="1611"/>
      <c r="AK857" s="1611"/>
      <c r="AL857" s="1611"/>
      <c r="AM857" s="1611"/>
      <c r="AN857" s="1611"/>
      <c r="AO857" s="1611"/>
      <c r="AP857" s="1611"/>
      <c r="AQ857" s="1611"/>
      <c r="AR857" s="1611"/>
      <c r="AS857" s="1611"/>
      <c r="AT857" s="1611"/>
      <c r="AU857" s="1611"/>
      <c r="AV857" s="1611"/>
    </row>
    <row r="858" ht="14.25" customHeight="1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I858" s="1611"/>
      <c r="AJ858" s="1611"/>
      <c r="AK858" s="1611"/>
      <c r="AL858" s="1611"/>
      <c r="AM858" s="1611"/>
      <c r="AN858" s="1611"/>
      <c r="AO858" s="1611"/>
      <c r="AP858" s="1611"/>
      <c r="AQ858" s="1611"/>
      <c r="AR858" s="1611"/>
      <c r="AS858" s="1611"/>
      <c r="AT858" s="1611"/>
      <c r="AU858" s="1611"/>
      <c r="AV858" s="1611"/>
    </row>
    <row r="859" ht="14.25" customHeight="1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I859" s="1611"/>
      <c r="AJ859" s="1611"/>
      <c r="AK859" s="1611"/>
      <c r="AL859" s="1611"/>
      <c r="AM859" s="1611"/>
      <c r="AN859" s="1611"/>
      <c r="AO859" s="1611"/>
      <c r="AP859" s="1611"/>
      <c r="AQ859" s="1611"/>
      <c r="AR859" s="1611"/>
      <c r="AS859" s="1611"/>
      <c r="AT859" s="1611"/>
      <c r="AU859" s="1611"/>
      <c r="AV859" s="1611"/>
    </row>
    <row r="860" ht="14.25" customHeight="1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I860" s="1611"/>
      <c r="AJ860" s="1611"/>
      <c r="AK860" s="1611"/>
      <c r="AL860" s="1611"/>
      <c r="AM860" s="1611"/>
      <c r="AN860" s="1611"/>
      <c r="AO860" s="1611"/>
      <c r="AP860" s="1611"/>
      <c r="AQ860" s="1611"/>
      <c r="AR860" s="1611"/>
      <c r="AS860" s="1611"/>
      <c r="AT860" s="1611"/>
      <c r="AU860" s="1611"/>
      <c r="AV860" s="1611"/>
    </row>
    <row r="861" ht="14.25" customHeight="1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I861" s="1611"/>
      <c r="AJ861" s="1611"/>
      <c r="AK861" s="1611"/>
      <c r="AL861" s="1611"/>
      <c r="AM861" s="1611"/>
      <c r="AN861" s="1611"/>
      <c r="AO861" s="1611"/>
      <c r="AP861" s="1611"/>
      <c r="AQ861" s="1611"/>
      <c r="AR861" s="1611"/>
      <c r="AS861" s="1611"/>
      <c r="AT861" s="1611"/>
      <c r="AU861" s="1611"/>
      <c r="AV861" s="1611"/>
    </row>
    <row r="862" ht="14.25" customHeight="1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I862" s="1611"/>
      <c r="AJ862" s="1611"/>
      <c r="AK862" s="1611"/>
      <c r="AL862" s="1611"/>
      <c r="AM862" s="1611"/>
      <c r="AN862" s="1611"/>
      <c r="AO862" s="1611"/>
      <c r="AP862" s="1611"/>
      <c r="AQ862" s="1611"/>
      <c r="AR862" s="1611"/>
      <c r="AS862" s="1611"/>
      <c r="AT862" s="1611"/>
      <c r="AU862" s="1611"/>
      <c r="AV862" s="1611"/>
    </row>
    <row r="863" ht="14.25" customHeight="1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I863" s="1611"/>
      <c r="AJ863" s="1611"/>
      <c r="AK863" s="1611"/>
      <c r="AL863" s="1611"/>
      <c r="AM863" s="1611"/>
      <c r="AN863" s="1611"/>
      <c r="AO863" s="1611"/>
      <c r="AP863" s="1611"/>
      <c r="AQ863" s="1611"/>
      <c r="AR863" s="1611"/>
      <c r="AS863" s="1611"/>
      <c r="AT863" s="1611"/>
      <c r="AU863" s="1611"/>
      <c r="AV863" s="1611"/>
    </row>
    <row r="864" ht="14.25" customHeight="1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I864" s="1611"/>
      <c r="AJ864" s="1611"/>
      <c r="AK864" s="1611"/>
      <c r="AL864" s="1611"/>
      <c r="AM864" s="1611"/>
      <c r="AN864" s="1611"/>
      <c r="AO864" s="1611"/>
      <c r="AP864" s="1611"/>
      <c r="AQ864" s="1611"/>
      <c r="AR864" s="1611"/>
      <c r="AS864" s="1611"/>
      <c r="AT864" s="1611"/>
      <c r="AU864" s="1611"/>
      <c r="AV864" s="1611"/>
    </row>
    <row r="865" ht="14.25" customHeight="1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I865" s="1611"/>
      <c r="AJ865" s="1611"/>
      <c r="AK865" s="1611"/>
      <c r="AL865" s="1611"/>
      <c r="AM865" s="1611"/>
      <c r="AN865" s="1611"/>
      <c r="AO865" s="1611"/>
      <c r="AP865" s="1611"/>
      <c r="AQ865" s="1611"/>
      <c r="AR865" s="1611"/>
      <c r="AS865" s="1611"/>
      <c r="AT865" s="1611"/>
      <c r="AU865" s="1611"/>
      <c r="AV865" s="1611"/>
    </row>
    <row r="866" ht="14.25" customHeight="1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I866" s="1611"/>
      <c r="AJ866" s="1611"/>
      <c r="AK866" s="1611"/>
      <c r="AL866" s="1611"/>
      <c r="AM866" s="1611"/>
      <c r="AN866" s="1611"/>
      <c r="AO866" s="1611"/>
      <c r="AP866" s="1611"/>
      <c r="AQ866" s="1611"/>
      <c r="AR866" s="1611"/>
      <c r="AS866" s="1611"/>
      <c r="AT866" s="1611"/>
      <c r="AU866" s="1611"/>
      <c r="AV866" s="1611"/>
    </row>
    <row r="867" ht="14.25" customHeight="1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I867" s="1611"/>
      <c r="AJ867" s="1611"/>
      <c r="AK867" s="1611"/>
      <c r="AL867" s="1611"/>
      <c r="AM867" s="1611"/>
      <c r="AN867" s="1611"/>
      <c r="AO867" s="1611"/>
      <c r="AP867" s="1611"/>
      <c r="AQ867" s="1611"/>
      <c r="AR867" s="1611"/>
      <c r="AS867" s="1611"/>
      <c r="AT867" s="1611"/>
      <c r="AU867" s="1611"/>
      <c r="AV867" s="1611"/>
    </row>
    <row r="868" ht="14.25" customHeight="1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I868" s="1611"/>
      <c r="AJ868" s="1611"/>
      <c r="AK868" s="1611"/>
      <c r="AL868" s="1611"/>
      <c r="AM868" s="1611"/>
      <c r="AN868" s="1611"/>
      <c r="AO868" s="1611"/>
      <c r="AP868" s="1611"/>
      <c r="AQ868" s="1611"/>
      <c r="AR868" s="1611"/>
      <c r="AS868" s="1611"/>
      <c r="AT868" s="1611"/>
      <c r="AU868" s="1611"/>
      <c r="AV868" s="1611"/>
    </row>
    <row r="869" ht="14.25" customHeight="1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I869" s="1611"/>
      <c r="AJ869" s="1611"/>
      <c r="AK869" s="1611"/>
      <c r="AL869" s="1611"/>
      <c r="AM869" s="1611"/>
      <c r="AN869" s="1611"/>
      <c r="AO869" s="1611"/>
      <c r="AP869" s="1611"/>
      <c r="AQ869" s="1611"/>
      <c r="AR869" s="1611"/>
      <c r="AS869" s="1611"/>
      <c r="AT869" s="1611"/>
      <c r="AU869" s="1611"/>
      <c r="AV869" s="1611"/>
    </row>
    <row r="870" ht="14.25" customHeight="1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I870" s="1611"/>
      <c r="AJ870" s="1611"/>
      <c r="AK870" s="1611"/>
      <c r="AL870" s="1611"/>
      <c r="AM870" s="1611"/>
      <c r="AN870" s="1611"/>
      <c r="AO870" s="1611"/>
      <c r="AP870" s="1611"/>
      <c r="AQ870" s="1611"/>
      <c r="AR870" s="1611"/>
      <c r="AS870" s="1611"/>
      <c r="AT870" s="1611"/>
      <c r="AU870" s="1611"/>
      <c r="AV870" s="1611"/>
    </row>
    <row r="871" ht="14.25" customHeight="1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I871" s="1611"/>
      <c r="AJ871" s="1611"/>
      <c r="AK871" s="1611"/>
      <c r="AL871" s="1611"/>
      <c r="AM871" s="1611"/>
      <c r="AN871" s="1611"/>
      <c r="AO871" s="1611"/>
      <c r="AP871" s="1611"/>
      <c r="AQ871" s="1611"/>
      <c r="AR871" s="1611"/>
      <c r="AS871" s="1611"/>
      <c r="AT871" s="1611"/>
      <c r="AU871" s="1611"/>
      <c r="AV871" s="1611"/>
    </row>
    <row r="872" ht="14.25" customHeight="1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I872" s="1611"/>
      <c r="AJ872" s="1611"/>
      <c r="AK872" s="1611"/>
      <c r="AL872" s="1611"/>
      <c r="AM872" s="1611"/>
      <c r="AN872" s="1611"/>
      <c r="AO872" s="1611"/>
      <c r="AP872" s="1611"/>
      <c r="AQ872" s="1611"/>
      <c r="AR872" s="1611"/>
      <c r="AS872" s="1611"/>
      <c r="AT872" s="1611"/>
      <c r="AU872" s="1611"/>
      <c r="AV872" s="1611"/>
    </row>
    <row r="873" ht="14.25" customHeight="1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I873" s="1611"/>
      <c r="AJ873" s="1611"/>
      <c r="AK873" s="1611"/>
      <c r="AL873" s="1611"/>
      <c r="AM873" s="1611"/>
      <c r="AN873" s="1611"/>
      <c r="AO873" s="1611"/>
      <c r="AP873" s="1611"/>
      <c r="AQ873" s="1611"/>
      <c r="AR873" s="1611"/>
      <c r="AS873" s="1611"/>
      <c r="AT873" s="1611"/>
      <c r="AU873" s="1611"/>
      <c r="AV873" s="1611"/>
    </row>
    <row r="874" ht="14.25" customHeight="1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I874" s="1611"/>
      <c r="AJ874" s="1611"/>
      <c r="AK874" s="1611"/>
      <c r="AL874" s="1611"/>
      <c r="AM874" s="1611"/>
      <c r="AN874" s="1611"/>
      <c r="AO874" s="1611"/>
      <c r="AP874" s="1611"/>
      <c r="AQ874" s="1611"/>
      <c r="AR874" s="1611"/>
      <c r="AS874" s="1611"/>
      <c r="AT874" s="1611"/>
      <c r="AU874" s="1611"/>
      <c r="AV874" s="1611"/>
    </row>
    <row r="875" ht="14.25" customHeight="1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I875" s="1611"/>
      <c r="AJ875" s="1611"/>
      <c r="AK875" s="1611"/>
      <c r="AL875" s="1611"/>
      <c r="AM875" s="1611"/>
      <c r="AN875" s="1611"/>
      <c r="AO875" s="1611"/>
      <c r="AP875" s="1611"/>
      <c r="AQ875" s="1611"/>
      <c r="AR875" s="1611"/>
      <c r="AS875" s="1611"/>
      <c r="AT875" s="1611"/>
      <c r="AU875" s="1611"/>
      <c r="AV875" s="1611"/>
    </row>
    <row r="876" ht="14.25" customHeight="1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I876" s="1611"/>
      <c r="AJ876" s="1611"/>
      <c r="AK876" s="1611"/>
      <c r="AL876" s="1611"/>
      <c r="AM876" s="1611"/>
      <c r="AN876" s="1611"/>
      <c r="AO876" s="1611"/>
      <c r="AP876" s="1611"/>
      <c r="AQ876" s="1611"/>
      <c r="AR876" s="1611"/>
      <c r="AS876" s="1611"/>
      <c r="AT876" s="1611"/>
      <c r="AU876" s="1611"/>
      <c r="AV876" s="1611"/>
    </row>
    <row r="877" ht="14.25" customHeight="1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I877" s="1611"/>
      <c r="AJ877" s="1611"/>
      <c r="AK877" s="1611"/>
      <c r="AL877" s="1611"/>
      <c r="AM877" s="1611"/>
      <c r="AN877" s="1611"/>
      <c r="AO877" s="1611"/>
      <c r="AP877" s="1611"/>
      <c r="AQ877" s="1611"/>
      <c r="AR877" s="1611"/>
      <c r="AS877" s="1611"/>
      <c r="AT877" s="1611"/>
      <c r="AU877" s="1611"/>
      <c r="AV877" s="1611"/>
    </row>
    <row r="878" ht="14.25" customHeight="1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I878" s="1611"/>
      <c r="AJ878" s="1611"/>
      <c r="AK878" s="1611"/>
      <c r="AL878" s="1611"/>
      <c r="AM878" s="1611"/>
      <c r="AN878" s="1611"/>
      <c r="AO878" s="1611"/>
      <c r="AP878" s="1611"/>
      <c r="AQ878" s="1611"/>
      <c r="AR878" s="1611"/>
      <c r="AS878" s="1611"/>
      <c r="AT878" s="1611"/>
      <c r="AU878" s="1611"/>
      <c r="AV878" s="1611"/>
    </row>
    <row r="879" ht="14.25" customHeight="1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I879" s="1611"/>
      <c r="AJ879" s="1611"/>
      <c r="AK879" s="1611"/>
      <c r="AL879" s="1611"/>
      <c r="AM879" s="1611"/>
      <c r="AN879" s="1611"/>
      <c r="AO879" s="1611"/>
      <c r="AP879" s="1611"/>
      <c r="AQ879" s="1611"/>
      <c r="AR879" s="1611"/>
      <c r="AS879" s="1611"/>
      <c r="AT879" s="1611"/>
      <c r="AU879" s="1611"/>
      <c r="AV879" s="1611"/>
    </row>
    <row r="880" ht="14.25" customHeight="1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I880" s="1611"/>
      <c r="AJ880" s="1611"/>
      <c r="AK880" s="1611"/>
      <c r="AL880" s="1611"/>
      <c r="AM880" s="1611"/>
      <c r="AN880" s="1611"/>
      <c r="AO880" s="1611"/>
      <c r="AP880" s="1611"/>
      <c r="AQ880" s="1611"/>
      <c r="AR880" s="1611"/>
      <c r="AS880" s="1611"/>
      <c r="AT880" s="1611"/>
      <c r="AU880" s="1611"/>
      <c r="AV880" s="1611"/>
    </row>
    <row r="881" ht="14.25" customHeight="1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I881" s="1611"/>
      <c r="AJ881" s="1611"/>
      <c r="AK881" s="1611"/>
      <c r="AL881" s="1611"/>
      <c r="AM881" s="1611"/>
      <c r="AN881" s="1611"/>
      <c r="AO881" s="1611"/>
      <c r="AP881" s="1611"/>
      <c r="AQ881" s="1611"/>
      <c r="AR881" s="1611"/>
      <c r="AS881" s="1611"/>
      <c r="AT881" s="1611"/>
      <c r="AU881" s="1611"/>
      <c r="AV881" s="1611"/>
    </row>
    <row r="882" ht="14.25" customHeight="1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I882" s="1611"/>
      <c r="AJ882" s="1611"/>
      <c r="AK882" s="1611"/>
      <c r="AL882" s="1611"/>
      <c r="AM882" s="1611"/>
      <c r="AN882" s="1611"/>
      <c r="AO882" s="1611"/>
      <c r="AP882" s="1611"/>
      <c r="AQ882" s="1611"/>
      <c r="AR882" s="1611"/>
      <c r="AS882" s="1611"/>
      <c r="AT882" s="1611"/>
      <c r="AU882" s="1611"/>
      <c r="AV882" s="1611"/>
    </row>
    <row r="883" ht="14.25" customHeight="1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I883" s="1611"/>
      <c r="AJ883" s="1611"/>
      <c r="AK883" s="1611"/>
      <c r="AL883" s="1611"/>
      <c r="AM883" s="1611"/>
      <c r="AN883" s="1611"/>
      <c r="AO883" s="1611"/>
      <c r="AP883" s="1611"/>
      <c r="AQ883" s="1611"/>
      <c r="AR883" s="1611"/>
      <c r="AS883" s="1611"/>
      <c r="AT883" s="1611"/>
      <c r="AU883" s="1611"/>
      <c r="AV883" s="1611"/>
    </row>
    <row r="884" ht="14.25" customHeight="1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I884" s="1611"/>
      <c r="AJ884" s="1611"/>
      <c r="AK884" s="1611"/>
      <c r="AL884" s="1611"/>
      <c r="AM884" s="1611"/>
      <c r="AN884" s="1611"/>
      <c r="AO884" s="1611"/>
      <c r="AP884" s="1611"/>
      <c r="AQ884" s="1611"/>
      <c r="AR884" s="1611"/>
      <c r="AS884" s="1611"/>
      <c r="AT884" s="1611"/>
      <c r="AU884" s="1611"/>
      <c r="AV884" s="1611"/>
    </row>
    <row r="885" ht="14.25" customHeight="1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I885" s="1611"/>
      <c r="AJ885" s="1611"/>
      <c r="AK885" s="1611"/>
      <c r="AL885" s="1611"/>
      <c r="AM885" s="1611"/>
      <c r="AN885" s="1611"/>
      <c r="AO885" s="1611"/>
      <c r="AP885" s="1611"/>
      <c r="AQ885" s="1611"/>
      <c r="AR885" s="1611"/>
      <c r="AS885" s="1611"/>
      <c r="AT885" s="1611"/>
      <c r="AU885" s="1611"/>
      <c r="AV885" s="1611"/>
    </row>
    <row r="886" ht="14.25" customHeight="1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I886" s="1611"/>
      <c r="AJ886" s="1611"/>
      <c r="AK886" s="1611"/>
      <c r="AL886" s="1611"/>
      <c r="AM886" s="1611"/>
      <c r="AN886" s="1611"/>
      <c r="AO886" s="1611"/>
      <c r="AP886" s="1611"/>
      <c r="AQ886" s="1611"/>
      <c r="AR886" s="1611"/>
      <c r="AS886" s="1611"/>
      <c r="AT886" s="1611"/>
      <c r="AU886" s="1611"/>
      <c r="AV886" s="1611"/>
    </row>
    <row r="887" ht="14.25" customHeight="1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I887" s="1611"/>
      <c r="AJ887" s="1611"/>
      <c r="AK887" s="1611"/>
      <c r="AL887" s="1611"/>
      <c r="AM887" s="1611"/>
      <c r="AN887" s="1611"/>
      <c r="AO887" s="1611"/>
      <c r="AP887" s="1611"/>
      <c r="AQ887" s="1611"/>
      <c r="AR887" s="1611"/>
      <c r="AS887" s="1611"/>
      <c r="AT887" s="1611"/>
      <c r="AU887" s="1611"/>
      <c r="AV887" s="1611"/>
    </row>
    <row r="888" ht="14.25" customHeight="1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I888" s="1611"/>
      <c r="AJ888" s="1611"/>
      <c r="AK888" s="1611"/>
      <c r="AL888" s="1611"/>
      <c r="AM888" s="1611"/>
      <c r="AN888" s="1611"/>
      <c r="AO888" s="1611"/>
      <c r="AP888" s="1611"/>
      <c r="AQ888" s="1611"/>
      <c r="AR888" s="1611"/>
      <c r="AS888" s="1611"/>
      <c r="AT888" s="1611"/>
      <c r="AU888" s="1611"/>
      <c r="AV888" s="1611"/>
    </row>
    <row r="889" ht="14.25" customHeight="1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I889" s="1611"/>
      <c r="AJ889" s="1611"/>
      <c r="AK889" s="1611"/>
      <c r="AL889" s="1611"/>
      <c r="AM889" s="1611"/>
      <c r="AN889" s="1611"/>
      <c r="AO889" s="1611"/>
      <c r="AP889" s="1611"/>
      <c r="AQ889" s="1611"/>
      <c r="AR889" s="1611"/>
      <c r="AS889" s="1611"/>
      <c r="AT889" s="1611"/>
      <c r="AU889" s="1611"/>
      <c r="AV889" s="1611"/>
    </row>
    <row r="890" ht="14.25" customHeight="1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I890" s="1611"/>
      <c r="AJ890" s="1611"/>
      <c r="AK890" s="1611"/>
      <c r="AL890" s="1611"/>
      <c r="AM890" s="1611"/>
      <c r="AN890" s="1611"/>
      <c r="AO890" s="1611"/>
      <c r="AP890" s="1611"/>
      <c r="AQ890" s="1611"/>
      <c r="AR890" s="1611"/>
      <c r="AS890" s="1611"/>
      <c r="AT890" s="1611"/>
      <c r="AU890" s="1611"/>
      <c r="AV890" s="1611"/>
    </row>
    <row r="891" ht="14.25" customHeight="1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I891" s="1611"/>
      <c r="AJ891" s="1611"/>
      <c r="AK891" s="1611"/>
      <c r="AL891" s="1611"/>
      <c r="AM891" s="1611"/>
      <c r="AN891" s="1611"/>
      <c r="AO891" s="1611"/>
      <c r="AP891" s="1611"/>
      <c r="AQ891" s="1611"/>
      <c r="AR891" s="1611"/>
      <c r="AS891" s="1611"/>
      <c r="AT891" s="1611"/>
      <c r="AU891" s="1611"/>
      <c r="AV891" s="1611"/>
    </row>
    <row r="892" ht="14.25" customHeight="1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I892" s="1611"/>
      <c r="AJ892" s="1611"/>
      <c r="AK892" s="1611"/>
      <c r="AL892" s="1611"/>
      <c r="AM892" s="1611"/>
      <c r="AN892" s="1611"/>
      <c r="AO892" s="1611"/>
      <c r="AP892" s="1611"/>
      <c r="AQ892" s="1611"/>
      <c r="AR892" s="1611"/>
      <c r="AS892" s="1611"/>
      <c r="AT892" s="1611"/>
      <c r="AU892" s="1611"/>
      <c r="AV892" s="1611"/>
    </row>
    <row r="893" ht="14.25" customHeight="1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I893" s="1611"/>
      <c r="AJ893" s="1611"/>
      <c r="AK893" s="1611"/>
      <c r="AL893" s="1611"/>
      <c r="AM893" s="1611"/>
      <c r="AN893" s="1611"/>
      <c r="AO893" s="1611"/>
      <c r="AP893" s="1611"/>
      <c r="AQ893" s="1611"/>
      <c r="AR893" s="1611"/>
      <c r="AS893" s="1611"/>
      <c r="AT893" s="1611"/>
      <c r="AU893" s="1611"/>
      <c r="AV893" s="1611"/>
    </row>
    <row r="894" ht="14.25" customHeight="1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I894" s="1611"/>
      <c r="AJ894" s="1611"/>
      <c r="AK894" s="1611"/>
      <c r="AL894" s="1611"/>
      <c r="AM894" s="1611"/>
      <c r="AN894" s="1611"/>
      <c r="AO894" s="1611"/>
      <c r="AP894" s="1611"/>
      <c r="AQ894" s="1611"/>
      <c r="AR894" s="1611"/>
      <c r="AS894" s="1611"/>
      <c r="AT894" s="1611"/>
      <c r="AU894" s="1611"/>
      <c r="AV894" s="1611"/>
    </row>
    <row r="895" ht="14.25" customHeight="1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I895" s="1611"/>
      <c r="AJ895" s="1611"/>
      <c r="AK895" s="1611"/>
      <c r="AL895" s="1611"/>
      <c r="AM895" s="1611"/>
      <c r="AN895" s="1611"/>
      <c r="AO895" s="1611"/>
      <c r="AP895" s="1611"/>
      <c r="AQ895" s="1611"/>
      <c r="AR895" s="1611"/>
      <c r="AS895" s="1611"/>
      <c r="AT895" s="1611"/>
      <c r="AU895" s="1611"/>
      <c r="AV895" s="1611"/>
    </row>
    <row r="896" ht="14.25" customHeight="1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I896" s="1611"/>
      <c r="AJ896" s="1611"/>
      <c r="AK896" s="1611"/>
      <c r="AL896" s="1611"/>
      <c r="AM896" s="1611"/>
      <c r="AN896" s="1611"/>
      <c r="AO896" s="1611"/>
      <c r="AP896" s="1611"/>
      <c r="AQ896" s="1611"/>
      <c r="AR896" s="1611"/>
      <c r="AS896" s="1611"/>
      <c r="AT896" s="1611"/>
      <c r="AU896" s="1611"/>
      <c r="AV896" s="1611"/>
    </row>
    <row r="897" ht="14.25" customHeight="1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I897" s="1611"/>
      <c r="AJ897" s="1611"/>
      <c r="AK897" s="1611"/>
      <c r="AL897" s="1611"/>
      <c r="AM897" s="1611"/>
      <c r="AN897" s="1611"/>
      <c r="AO897" s="1611"/>
      <c r="AP897" s="1611"/>
      <c r="AQ897" s="1611"/>
      <c r="AR897" s="1611"/>
      <c r="AS897" s="1611"/>
      <c r="AT897" s="1611"/>
      <c r="AU897" s="1611"/>
      <c r="AV897" s="1611"/>
    </row>
    <row r="898" ht="14.25" customHeight="1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I898" s="1611"/>
      <c r="AJ898" s="1611"/>
      <c r="AK898" s="1611"/>
      <c r="AL898" s="1611"/>
      <c r="AM898" s="1611"/>
      <c r="AN898" s="1611"/>
      <c r="AO898" s="1611"/>
      <c r="AP898" s="1611"/>
      <c r="AQ898" s="1611"/>
      <c r="AR898" s="1611"/>
      <c r="AS898" s="1611"/>
      <c r="AT898" s="1611"/>
      <c r="AU898" s="1611"/>
      <c r="AV898" s="1611"/>
    </row>
    <row r="899" ht="14.25" customHeight="1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I899" s="1611"/>
      <c r="AJ899" s="1611"/>
      <c r="AK899" s="1611"/>
      <c r="AL899" s="1611"/>
      <c r="AM899" s="1611"/>
      <c r="AN899" s="1611"/>
      <c r="AO899" s="1611"/>
      <c r="AP899" s="1611"/>
      <c r="AQ899" s="1611"/>
      <c r="AR899" s="1611"/>
      <c r="AS899" s="1611"/>
      <c r="AT899" s="1611"/>
      <c r="AU899" s="1611"/>
      <c r="AV899" s="1611"/>
    </row>
    <row r="900" ht="14.25" customHeight="1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I900" s="1611"/>
      <c r="AJ900" s="1611"/>
      <c r="AK900" s="1611"/>
      <c r="AL900" s="1611"/>
      <c r="AM900" s="1611"/>
      <c r="AN900" s="1611"/>
      <c r="AO900" s="1611"/>
      <c r="AP900" s="1611"/>
      <c r="AQ900" s="1611"/>
      <c r="AR900" s="1611"/>
      <c r="AS900" s="1611"/>
      <c r="AT900" s="1611"/>
      <c r="AU900" s="1611"/>
      <c r="AV900" s="1611"/>
    </row>
    <row r="901" ht="14.25" customHeight="1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I901" s="1611"/>
      <c r="AJ901" s="1611"/>
      <c r="AK901" s="1611"/>
      <c r="AL901" s="1611"/>
      <c r="AM901" s="1611"/>
      <c r="AN901" s="1611"/>
      <c r="AO901" s="1611"/>
      <c r="AP901" s="1611"/>
      <c r="AQ901" s="1611"/>
      <c r="AR901" s="1611"/>
      <c r="AS901" s="1611"/>
      <c r="AT901" s="1611"/>
      <c r="AU901" s="1611"/>
      <c r="AV901" s="1611"/>
    </row>
    <row r="902" ht="14.25" customHeight="1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I902" s="1611"/>
      <c r="AJ902" s="1611"/>
      <c r="AK902" s="1611"/>
      <c r="AL902" s="1611"/>
      <c r="AM902" s="1611"/>
      <c r="AN902" s="1611"/>
      <c r="AO902" s="1611"/>
      <c r="AP902" s="1611"/>
      <c r="AQ902" s="1611"/>
      <c r="AR902" s="1611"/>
      <c r="AS902" s="1611"/>
      <c r="AT902" s="1611"/>
      <c r="AU902" s="1611"/>
      <c r="AV902" s="1611"/>
    </row>
    <row r="903" ht="14.25" customHeight="1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I903" s="1611"/>
      <c r="AJ903" s="1611"/>
      <c r="AK903" s="1611"/>
      <c r="AL903" s="1611"/>
      <c r="AM903" s="1611"/>
      <c r="AN903" s="1611"/>
      <c r="AO903" s="1611"/>
      <c r="AP903" s="1611"/>
      <c r="AQ903" s="1611"/>
      <c r="AR903" s="1611"/>
      <c r="AS903" s="1611"/>
      <c r="AT903" s="1611"/>
      <c r="AU903" s="1611"/>
      <c r="AV903" s="1611"/>
    </row>
    <row r="904" ht="14.25" customHeight="1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I904" s="1611"/>
      <c r="AJ904" s="1611"/>
      <c r="AK904" s="1611"/>
      <c r="AL904" s="1611"/>
      <c r="AM904" s="1611"/>
      <c r="AN904" s="1611"/>
      <c r="AO904" s="1611"/>
      <c r="AP904" s="1611"/>
      <c r="AQ904" s="1611"/>
      <c r="AR904" s="1611"/>
      <c r="AS904" s="1611"/>
      <c r="AT904" s="1611"/>
      <c r="AU904" s="1611"/>
      <c r="AV904" s="1611"/>
    </row>
    <row r="905" ht="14.25" customHeight="1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I905" s="1611"/>
      <c r="AJ905" s="1611"/>
      <c r="AK905" s="1611"/>
      <c r="AL905" s="1611"/>
      <c r="AM905" s="1611"/>
      <c r="AN905" s="1611"/>
      <c r="AO905" s="1611"/>
      <c r="AP905" s="1611"/>
      <c r="AQ905" s="1611"/>
      <c r="AR905" s="1611"/>
      <c r="AS905" s="1611"/>
      <c r="AT905" s="1611"/>
      <c r="AU905" s="1611"/>
      <c r="AV905" s="1611"/>
    </row>
    <row r="906" ht="14.25" customHeight="1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I906" s="1611"/>
      <c r="AJ906" s="1611"/>
      <c r="AK906" s="1611"/>
      <c r="AL906" s="1611"/>
      <c r="AM906" s="1611"/>
      <c r="AN906" s="1611"/>
      <c r="AO906" s="1611"/>
      <c r="AP906" s="1611"/>
      <c r="AQ906" s="1611"/>
      <c r="AR906" s="1611"/>
      <c r="AS906" s="1611"/>
      <c r="AT906" s="1611"/>
      <c r="AU906" s="1611"/>
      <c r="AV906" s="1611"/>
    </row>
    <row r="907" ht="14.25" customHeight="1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I907" s="1611"/>
      <c r="AJ907" s="1611"/>
      <c r="AK907" s="1611"/>
      <c r="AL907" s="1611"/>
      <c r="AM907" s="1611"/>
      <c r="AN907" s="1611"/>
      <c r="AO907" s="1611"/>
      <c r="AP907" s="1611"/>
      <c r="AQ907" s="1611"/>
      <c r="AR907" s="1611"/>
      <c r="AS907" s="1611"/>
      <c r="AT907" s="1611"/>
      <c r="AU907" s="1611"/>
      <c r="AV907" s="1611"/>
    </row>
    <row r="908" ht="14.25" customHeight="1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I908" s="1611"/>
      <c r="AJ908" s="1611"/>
      <c r="AK908" s="1611"/>
      <c r="AL908" s="1611"/>
      <c r="AM908" s="1611"/>
      <c r="AN908" s="1611"/>
      <c r="AO908" s="1611"/>
      <c r="AP908" s="1611"/>
      <c r="AQ908" s="1611"/>
      <c r="AR908" s="1611"/>
      <c r="AS908" s="1611"/>
      <c r="AT908" s="1611"/>
      <c r="AU908" s="1611"/>
      <c r="AV908" s="1611"/>
    </row>
    <row r="909" ht="14.25" customHeight="1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I909" s="1611"/>
      <c r="AJ909" s="1611"/>
      <c r="AK909" s="1611"/>
      <c r="AL909" s="1611"/>
      <c r="AM909" s="1611"/>
      <c r="AN909" s="1611"/>
      <c r="AO909" s="1611"/>
      <c r="AP909" s="1611"/>
      <c r="AQ909" s="1611"/>
      <c r="AR909" s="1611"/>
      <c r="AS909" s="1611"/>
      <c r="AT909" s="1611"/>
      <c r="AU909" s="1611"/>
      <c r="AV909" s="1611"/>
    </row>
    <row r="910" ht="14.25" customHeight="1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I910" s="1611"/>
      <c r="AJ910" s="1611"/>
      <c r="AK910" s="1611"/>
      <c r="AL910" s="1611"/>
      <c r="AM910" s="1611"/>
      <c r="AN910" s="1611"/>
      <c r="AO910" s="1611"/>
      <c r="AP910" s="1611"/>
      <c r="AQ910" s="1611"/>
      <c r="AR910" s="1611"/>
      <c r="AS910" s="1611"/>
      <c r="AT910" s="1611"/>
      <c r="AU910" s="1611"/>
      <c r="AV910" s="1611"/>
    </row>
    <row r="911" ht="14.25" customHeight="1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I911" s="1611"/>
      <c r="AJ911" s="1611"/>
      <c r="AK911" s="1611"/>
      <c r="AL911" s="1611"/>
      <c r="AM911" s="1611"/>
      <c r="AN911" s="1611"/>
      <c r="AO911" s="1611"/>
      <c r="AP911" s="1611"/>
      <c r="AQ911" s="1611"/>
      <c r="AR911" s="1611"/>
      <c r="AS911" s="1611"/>
      <c r="AT911" s="1611"/>
      <c r="AU911" s="1611"/>
      <c r="AV911" s="1611"/>
    </row>
    <row r="912" ht="14.25" customHeight="1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I912" s="1611"/>
      <c r="AJ912" s="1611"/>
      <c r="AK912" s="1611"/>
      <c r="AL912" s="1611"/>
      <c r="AM912" s="1611"/>
      <c r="AN912" s="1611"/>
      <c r="AO912" s="1611"/>
      <c r="AP912" s="1611"/>
      <c r="AQ912" s="1611"/>
      <c r="AR912" s="1611"/>
      <c r="AS912" s="1611"/>
      <c r="AT912" s="1611"/>
      <c r="AU912" s="1611"/>
      <c r="AV912" s="1611"/>
    </row>
    <row r="913" ht="14.25" customHeight="1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I913" s="1611"/>
      <c r="AJ913" s="1611"/>
      <c r="AK913" s="1611"/>
      <c r="AL913" s="1611"/>
      <c r="AM913" s="1611"/>
      <c r="AN913" s="1611"/>
      <c r="AO913" s="1611"/>
      <c r="AP913" s="1611"/>
      <c r="AQ913" s="1611"/>
      <c r="AR913" s="1611"/>
      <c r="AS913" s="1611"/>
      <c r="AT913" s="1611"/>
      <c r="AU913" s="1611"/>
      <c r="AV913" s="1611"/>
    </row>
    <row r="914" ht="14.25" customHeight="1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I914" s="1611"/>
      <c r="AJ914" s="1611"/>
      <c r="AK914" s="1611"/>
      <c r="AL914" s="1611"/>
      <c r="AM914" s="1611"/>
      <c r="AN914" s="1611"/>
      <c r="AO914" s="1611"/>
      <c r="AP914" s="1611"/>
      <c r="AQ914" s="1611"/>
      <c r="AR914" s="1611"/>
      <c r="AS914" s="1611"/>
      <c r="AT914" s="1611"/>
      <c r="AU914" s="1611"/>
      <c r="AV914" s="1611"/>
    </row>
    <row r="915" ht="14.25" customHeight="1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I915" s="1611"/>
      <c r="AJ915" s="1611"/>
      <c r="AK915" s="1611"/>
      <c r="AL915" s="1611"/>
      <c r="AM915" s="1611"/>
      <c r="AN915" s="1611"/>
      <c r="AO915" s="1611"/>
      <c r="AP915" s="1611"/>
      <c r="AQ915" s="1611"/>
      <c r="AR915" s="1611"/>
      <c r="AS915" s="1611"/>
      <c r="AT915" s="1611"/>
      <c r="AU915" s="1611"/>
      <c r="AV915" s="1611"/>
    </row>
    <row r="916" ht="14.25" customHeight="1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I916" s="1611"/>
      <c r="AJ916" s="1611"/>
      <c r="AK916" s="1611"/>
      <c r="AL916" s="1611"/>
      <c r="AM916" s="1611"/>
      <c r="AN916" s="1611"/>
      <c r="AO916" s="1611"/>
      <c r="AP916" s="1611"/>
      <c r="AQ916" s="1611"/>
      <c r="AR916" s="1611"/>
      <c r="AS916" s="1611"/>
      <c r="AT916" s="1611"/>
      <c r="AU916" s="1611"/>
      <c r="AV916" s="1611"/>
    </row>
    <row r="917" ht="14.25" customHeight="1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I917" s="1611"/>
      <c r="AJ917" s="1611"/>
      <c r="AK917" s="1611"/>
      <c r="AL917" s="1611"/>
      <c r="AM917" s="1611"/>
      <c r="AN917" s="1611"/>
      <c r="AO917" s="1611"/>
      <c r="AP917" s="1611"/>
      <c r="AQ917" s="1611"/>
      <c r="AR917" s="1611"/>
      <c r="AS917" s="1611"/>
      <c r="AT917" s="1611"/>
      <c r="AU917" s="1611"/>
      <c r="AV917" s="1611"/>
    </row>
    <row r="918" ht="14.25" customHeight="1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I918" s="1611"/>
      <c r="AJ918" s="1611"/>
      <c r="AK918" s="1611"/>
      <c r="AL918" s="1611"/>
      <c r="AM918" s="1611"/>
      <c r="AN918" s="1611"/>
      <c r="AO918" s="1611"/>
      <c r="AP918" s="1611"/>
      <c r="AQ918" s="1611"/>
      <c r="AR918" s="1611"/>
      <c r="AS918" s="1611"/>
      <c r="AT918" s="1611"/>
      <c r="AU918" s="1611"/>
      <c r="AV918" s="1611"/>
    </row>
    <row r="919" ht="14.25" customHeight="1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I919" s="1611"/>
      <c r="AJ919" s="1611"/>
      <c r="AK919" s="1611"/>
      <c r="AL919" s="1611"/>
      <c r="AM919" s="1611"/>
      <c r="AN919" s="1611"/>
      <c r="AO919" s="1611"/>
      <c r="AP919" s="1611"/>
      <c r="AQ919" s="1611"/>
      <c r="AR919" s="1611"/>
      <c r="AS919" s="1611"/>
      <c r="AT919" s="1611"/>
      <c r="AU919" s="1611"/>
      <c r="AV919" s="1611"/>
    </row>
    <row r="920" ht="14.25" customHeight="1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I920" s="1611"/>
      <c r="AJ920" s="1611"/>
      <c r="AK920" s="1611"/>
      <c r="AL920" s="1611"/>
      <c r="AM920" s="1611"/>
      <c r="AN920" s="1611"/>
      <c r="AO920" s="1611"/>
      <c r="AP920" s="1611"/>
      <c r="AQ920" s="1611"/>
      <c r="AR920" s="1611"/>
      <c r="AS920" s="1611"/>
      <c r="AT920" s="1611"/>
      <c r="AU920" s="1611"/>
      <c r="AV920" s="1611"/>
    </row>
    <row r="921" ht="14.25" customHeight="1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I921" s="1611"/>
      <c r="AJ921" s="1611"/>
      <c r="AK921" s="1611"/>
      <c r="AL921" s="1611"/>
      <c r="AM921" s="1611"/>
      <c r="AN921" s="1611"/>
      <c r="AO921" s="1611"/>
      <c r="AP921" s="1611"/>
      <c r="AQ921" s="1611"/>
      <c r="AR921" s="1611"/>
      <c r="AS921" s="1611"/>
      <c r="AT921" s="1611"/>
      <c r="AU921" s="1611"/>
      <c r="AV921" s="1611"/>
    </row>
    <row r="922" ht="14.25" customHeight="1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I922" s="1611"/>
      <c r="AJ922" s="1611"/>
      <c r="AK922" s="1611"/>
      <c r="AL922" s="1611"/>
      <c r="AM922" s="1611"/>
      <c r="AN922" s="1611"/>
      <c r="AO922" s="1611"/>
      <c r="AP922" s="1611"/>
      <c r="AQ922" s="1611"/>
      <c r="AR922" s="1611"/>
      <c r="AS922" s="1611"/>
      <c r="AT922" s="1611"/>
      <c r="AU922" s="1611"/>
      <c r="AV922" s="1611"/>
    </row>
    <row r="923" ht="14.25" customHeight="1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I923" s="1611"/>
      <c r="AJ923" s="1611"/>
      <c r="AK923" s="1611"/>
      <c r="AL923" s="1611"/>
      <c r="AM923" s="1611"/>
      <c r="AN923" s="1611"/>
      <c r="AO923" s="1611"/>
      <c r="AP923" s="1611"/>
      <c r="AQ923" s="1611"/>
      <c r="AR923" s="1611"/>
      <c r="AS923" s="1611"/>
      <c r="AT923" s="1611"/>
      <c r="AU923" s="1611"/>
      <c r="AV923" s="1611"/>
    </row>
    <row r="924" ht="14.25" customHeight="1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I924" s="1611"/>
      <c r="AJ924" s="1611"/>
      <c r="AK924" s="1611"/>
      <c r="AL924" s="1611"/>
      <c r="AM924" s="1611"/>
      <c r="AN924" s="1611"/>
      <c r="AO924" s="1611"/>
      <c r="AP924" s="1611"/>
      <c r="AQ924" s="1611"/>
      <c r="AR924" s="1611"/>
      <c r="AS924" s="1611"/>
      <c r="AT924" s="1611"/>
      <c r="AU924" s="1611"/>
      <c r="AV924" s="1611"/>
    </row>
    <row r="925" ht="14.25" customHeight="1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I925" s="1611"/>
      <c r="AJ925" s="1611"/>
      <c r="AK925" s="1611"/>
      <c r="AL925" s="1611"/>
      <c r="AM925" s="1611"/>
      <c r="AN925" s="1611"/>
      <c r="AO925" s="1611"/>
      <c r="AP925" s="1611"/>
      <c r="AQ925" s="1611"/>
      <c r="AR925" s="1611"/>
      <c r="AS925" s="1611"/>
      <c r="AT925" s="1611"/>
      <c r="AU925" s="1611"/>
      <c r="AV925" s="1611"/>
    </row>
    <row r="926" ht="14.25" customHeight="1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I926" s="1611"/>
      <c r="AJ926" s="1611"/>
      <c r="AK926" s="1611"/>
      <c r="AL926" s="1611"/>
      <c r="AM926" s="1611"/>
      <c r="AN926" s="1611"/>
      <c r="AO926" s="1611"/>
      <c r="AP926" s="1611"/>
      <c r="AQ926" s="1611"/>
      <c r="AR926" s="1611"/>
      <c r="AS926" s="1611"/>
      <c r="AT926" s="1611"/>
      <c r="AU926" s="1611"/>
      <c r="AV926" s="1611"/>
    </row>
    <row r="927" ht="14.25" customHeight="1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I927" s="1611"/>
      <c r="AJ927" s="1611"/>
      <c r="AK927" s="1611"/>
      <c r="AL927" s="1611"/>
      <c r="AM927" s="1611"/>
      <c r="AN927" s="1611"/>
      <c r="AO927" s="1611"/>
      <c r="AP927" s="1611"/>
      <c r="AQ927" s="1611"/>
      <c r="AR927" s="1611"/>
      <c r="AS927" s="1611"/>
      <c r="AT927" s="1611"/>
      <c r="AU927" s="1611"/>
      <c r="AV927" s="1611"/>
    </row>
    <row r="928" ht="14.25" customHeight="1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I928" s="1611"/>
      <c r="AJ928" s="1611"/>
      <c r="AK928" s="1611"/>
      <c r="AL928" s="1611"/>
      <c r="AM928" s="1611"/>
      <c r="AN928" s="1611"/>
      <c r="AO928" s="1611"/>
      <c r="AP928" s="1611"/>
      <c r="AQ928" s="1611"/>
      <c r="AR928" s="1611"/>
      <c r="AS928" s="1611"/>
      <c r="AT928" s="1611"/>
      <c r="AU928" s="1611"/>
      <c r="AV928" s="1611"/>
    </row>
    <row r="929" ht="14.25" customHeight="1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I929" s="1611"/>
      <c r="AJ929" s="1611"/>
      <c r="AK929" s="1611"/>
      <c r="AL929" s="1611"/>
      <c r="AM929" s="1611"/>
      <c r="AN929" s="1611"/>
      <c r="AO929" s="1611"/>
      <c r="AP929" s="1611"/>
      <c r="AQ929" s="1611"/>
      <c r="AR929" s="1611"/>
      <c r="AS929" s="1611"/>
      <c r="AT929" s="1611"/>
      <c r="AU929" s="1611"/>
      <c r="AV929" s="1611"/>
    </row>
    <row r="930" ht="14.25" customHeight="1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I930" s="1611"/>
      <c r="AJ930" s="1611"/>
      <c r="AK930" s="1611"/>
      <c r="AL930" s="1611"/>
      <c r="AM930" s="1611"/>
      <c r="AN930" s="1611"/>
      <c r="AO930" s="1611"/>
      <c r="AP930" s="1611"/>
      <c r="AQ930" s="1611"/>
      <c r="AR930" s="1611"/>
      <c r="AS930" s="1611"/>
      <c r="AT930" s="1611"/>
      <c r="AU930" s="1611"/>
      <c r="AV930" s="1611"/>
    </row>
    <row r="931" ht="14.25" customHeight="1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I931" s="1611"/>
      <c r="AJ931" s="1611"/>
      <c r="AK931" s="1611"/>
      <c r="AL931" s="1611"/>
      <c r="AM931" s="1611"/>
      <c r="AN931" s="1611"/>
      <c r="AO931" s="1611"/>
      <c r="AP931" s="1611"/>
      <c r="AQ931" s="1611"/>
      <c r="AR931" s="1611"/>
      <c r="AS931" s="1611"/>
      <c r="AT931" s="1611"/>
      <c r="AU931" s="1611"/>
      <c r="AV931" s="1611"/>
    </row>
    <row r="932" ht="14.25" customHeight="1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I932" s="1611"/>
      <c r="AJ932" s="1611"/>
      <c r="AK932" s="1611"/>
      <c r="AL932" s="1611"/>
      <c r="AM932" s="1611"/>
      <c r="AN932" s="1611"/>
      <c r="AO932" s="1611"/>
      <c r="AP932" s="1611"/>
      <c r="AQ932" s="1611"/>
      <c r="AR932" s="1611"/>
      <c r="AS932" s="1611"/>
      <c r="AT932" s="1611"/>
      <c r="AU932" s="1611"/>
      <c r="AV932" s="1611"/>
    </row>
    <row r="933" ht="14.25" customHeight="1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I933" s="1611"/>
      <c r="AJ933" s="1611"/>
      <c r="AK933" s="1611"/>
      <c r="AL933" s="1611"/>
      <c r="AM933" s="1611"/>
      <c r="AN933" s="1611"/>
      <c r="AO933" s="1611"/>
      <c r="AP933" s="1611"/>
      <c r="AQ933" s="1611"/>
      <c r="AR933" s="1611"/>
      <c r="AS933" s="1611"/>
      <c r="AT933" s="1611"/>
      <c r="AU933" s="1611"/>
      <c r="AV933" s="1611"/>
    </row>
    <row r="934" ht="14.25" customHeight="1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I934" s="1611"/>
      <c r="AJ934" s="1611"/>
      <c r="AK934" s="1611"/>
      <c r="AL934" s="1611"/>
      <c r="AM934" s="1611"/>
      <c r="AN934" s="1611"/>
      <c r="AO934" s="1611"/>
      <c r="AP934" s="1611"/>
      <c r="AQ934" s="1611"/>
      <c r="AR934" s="1611"/>
      <c r="AS934" s="1611"/>
      <c r="AT934" s="1611"/>
      <c r="AU934" s="1611"/>
      <c r="AV934" s="1611"/>
    </row>
    <row r="935" ht="14.25" customHeight="1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I935" s="1611"/>
      <c r="AJ935" s="1611"/>
      <c r="AK935" s="1611"/>
      <c r="AL935" s="1611"/>
      <c r="AM935" s="1611"/>
      <c r="AN935" s="1611"/>
      <c r="AO935" s="1611"/>
      <c r="AP935" s="1611"/>
      <c r="AQ935" s="1611"/>
      <c r="AR935" s="1611"/>
      <c r="AS935" s="1611"/>
      <c r="AT935" s="1611"/>
      <c r="AU935" s="1611"/>
      <c r="AV935" s="1611"/>
    </row>
    <row r="936" ht="14.25" customHeight="1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I936" s="1611"/>
      <c r="AJ936" s="1611"/>
      <c r="AK936" s="1611"/>
      <c r="AL936" s="1611"/>
      <c r="AM936" s="1611"/>
      <c r="AN936" s="1611"/>
      <c r="AO936" s="1611"/>
      <c r="AP936" s="1611"/>
      <c r="AQ936" s="1611"/>
      <c r="AR936" s="1611"/>
      <c r="AS936" s="1611"/>
      <c r="AT936" s="1611"/>
      <c r="AU936" s="1611"/>
      <c r="AV936" s="1611"/>
    </row>
    <row r="937" ht="14.25" customHeight="1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I937" s="1611"/>
      <c r="AJ937" s="1611"/>
      <c r="AK937" s="1611"/>
      <c r="AL937" s="1611"/>
      <c r="AM937" s="1611"/>
      <c r="AN937" s="1611"/>
      <c r="AO937" s="1611"/>
      <c r="AP937" s="1611"/>
      <c r="AQ937" s="1611"/>
      <c r="AR937" s="1611"/>
      <c r="AS937" s="1611"/>
      <c r="AT937" s="1611"/>
      <c r="AU937" s="1611"/>
      <c r="AV937" s="1611"/>
    </row>
    <row r="938" ht="14.25" customHeight="1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I938" s="1611"/>
      <c r="AJ938" s="1611"/>
      <c r="AK938" s="1611"/>
      <c r="AL938" s="1611"/>
      <c r="AM938" s="1611"/>
      <c r="AN938" s="1611"/>
      <c r="AO938" s="1611"/>
      <c r="AP938" s="1611"/>
      <c r="AQ938" s="1611"/>
      <c r="AR938" s="1611"/>
      <c r="AS938" s="1611"/>
      <c r="AT938" s="1611"/>
      <c r="AU938" s="1611"/>
      <c r="AV938" s="1611"/>
    </row>
    <row r="939" ht="14.25" customHeight="1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I939" s="1611"/>
      <c r="AJ939" s="1611"/>
      <c r="AK939" s="1611"/>
      <c r="AL939" s="1611"/>
      <c r="AM939" s="1611"/>
      <c r="AN939" s="1611"/>
      <c r="AO939" s="1611"/>
      <c r="AP939" s="1611"/>
      <c r="AQ939" s="1611"/>
      <c r="AR939" s="1611"/>
      <c r="AS939" s="1611"/>
      <c r="AT939" s="1611"/>
      <c r="AU939" s="1611"/>
      <c r="AV939" s="1611"/>
    </row>
    <row r="940" ht="14.25" customHeight="1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I940" s="1611"/>
      <c r="AJ940" s="1611"/>
      <c r="AK940" s="1611"/>
      <c r="AL940" s="1611"/>
      <c r="AM940" s="1611"/>
      <c r="AN940" s="1611"/>
      <c r="AO940" s="1611"/>
      <c r="AP940" s="1611"/>
      <c r="AQ940" s="1611"/>
      <c r="AR940" s="1611"/>
      <c r="AS940" s="1611"/>
      <c r="AT940" s="1611"/>
      <c r="AU940" s="1611"/>
      <c r="AV940" s="1611"/>
    </row>
    <row r="941" ht="14.25" customHeight="1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I941" s="1611"/>
      <c r="AJ941" s="1611"/>
      <c r="AK941" s="1611"/>
      <c r="AL941" s="1611"/>
      <c r="AM941" s="1611"/>
      <c r="AN941" s="1611"/>
      <c r="AO941" s="1611"/>
      <c r="AP941" s="1611"/>
      <c r="AQ941" s="1611"/>
      <c r="AR941" s="1611"/>
      <c r="AS941" s="1611"/>
      <c r="AT941" s="1611"/>
      <c r="AU941" s="1611"/>
      <c r="AV941" s="1611"/>
    </row>
    <row r="942" ht="14.25" customHeight="1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I942" s="1611"/>
      <c r="AJ942" s="1611"/>
      <c r="AK942" s="1611"/>
      <c r="AL942" s="1611"/>
      <c r="AM942" s="1611"/>
      <c r="AN942" s="1611"/>
      <c r="AO942" s="1611"/>
      <c r="AP942" s="1611"/>
      <c r="AQ942" s="1611"/>
      <c r="AR942" s="1611"/>
      <c r="AS942" s="1611"/>
      <c r="AT942" s="1611"/>
      <c r="AU942" s="1611"/>
      <c r="AV942" s="1611"/>
    </row>
    <row r="943" ht="14.25" customHeight="1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I943" s="1611"/>
      <c r="AJ943" s="1611"/>
      <c r="AK943" s="1611"/>
      <c r="AL943" s="1611"/>
      <c r="AM943" s="1611"/>
      <c r="AN943" s="1611"/>
      <c r="AO943" s="1611"/>
      <c r="AP943" s="1611"/>
      <c r="AQ943" s="1611"/>
      <c r="AR943" s="1611"/>
      <c r="AS943" s="1611"/>
      <c r="AT943" s="1611"/>
      <c r="AU943" s="1611"/>
      <c r="AV943" s="1611"/>
    </row>
    <row r="944" ht="14.25" customHeight="1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I944" s="1611"/>
      <c r="AJ944" s="1611"/>
      <c r="AK944" s="1611"/>
      <c r="AL944" s="1611"/>
      <c r="AM944" s="1611"/>
      <c r="AN944" s="1611"/>
      <c r="AO944" s="1611"/>
      <c r="AP944" s="1611"/>
      <c r="AQ944" s="1611"/>
      <c r="AR944" s="1611"/>
      <c r="AS944" s="1611"/>
      <c r="AT944" s="1611"/>
      <c r="AU944" s="1611"/>
      <c r="AV944" s="1611"/>
    </row>
    <row r="945" ht="14.25" customHeight="1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I945" s="1611"/>
      <c r="AJ945" s="1611"/>
      <c r="AK945" s="1611"/>
      <c r="AL945" s="1611"/>
      <c r="AM945" s="1611"/>
      <c r="AN945" s="1611"/>
      <c r="AO945" s="1611"/>
      <c r="AP945" s="1611"/>
      <c r="AQ945" s="1611"/>
      <c r="AR945" s="1611"/>
      <c r="AS945" s="1611"/>
      <c r="AT945" s="1611"/>
      <c r="AU945" s="1611"/>
      <c r="AV945" s="1611"/>
    </row>
    <row r="946" ht="14.25" customHeight="1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I946" s="1611"/>
      <c r="AJ946" s="1611"/>
      <c r="AK946" s="1611"/>
      <c r="AL946" s="1611"/>
      <c r="AM946" s="1611"/>
      <c r="AN946" s="1611"/>
      <c r="AO946" s="1611"/>
      <c r="AP946" s="1611"/>
      <c r="AQ946" s="1611"/>
      <c r="AR946" s="1611"/>
      <c r="AS946" s="1611"/>
      <c r="AT946" s="1611"/>
      <c r="AU946" s="1611"/>
      <c r="AV946" s="1611"/>
    </row>
    <row r="947" ht="14.25" customHeight="1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I947" s="1611"/>
      <c r="AJ947" s="1611"/>
      <c r="AK947" s="1611"/>
      <c r="AL947" s="1611"/>
      <c r="AM947" s="1611"/>
      <c r="AN947" s="1611"/>
      <c r="AO947" s="1611"/>
      <c r="AP947" s="1611"/>
      <c r="AQ947" s="1611"/>
      <c r="AR947" s="1611"/>
      <c r="AS947" s="1611"/>
      <c r="AT947" s="1611"/>
      <c r="AU947" s="1611"/>
      <c r="AV947" s="1611"/>
    </row>
    <row r="948" ht="14.25" customHeight="1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I948" s="1611"/>
      <c r="AJ948" s="1611"/>
      <c r="AK948" s="1611"/>
      <c r="AL948" s="1611"/>
      <c r="AM948" s="1611"/>
      <c r="AN948" s="1611"/>
      <c r="AO948" s="1611"/>
      <c r="AP948" s="1611"/>
      <c r="AQ948" s="1611"/>
      <c r="AR948" s="1611"/>
      <c r="AS948" s="1611"/>
      <c r="AT948" s="1611"/>
      <c r="AU948" s="1611"/>
      <c r="AV948" s="1611"/>
    </row>
    <row r="949" ht="14.25" customHeight="1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I949" s="1611"/>
      <c r="AJ949" s="1611"/>
      <c r="AK949" s="1611"/>
      <c r="AL949" s="1611"/>
      <c r="AM949" s="1611"/>
      <c r="AN949" s="1611"/>
      <c r="AO949" s="1611"/>
      <c r="AP949" s="1611"/>
      <c r="AQ949" s="1611"/>
      <c r="AR949" s="1611"/>
      <c r="AS949" s="1611"/>
      <c r="AT949" s="1611"/>
      <c r="AU949" s="1611"/>
      <c r="AV949" s="1611"/>
    </row>
    <row r="950" ht="14.25" customHeight="1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I950" s="1611"/>
      <c r="AJ950" s="1611"/>
      <c r="AK950" s="1611"/>
      <c r="AL950" s="1611"/>
      <c r="AM950" s="1611"/>
      <c r="AN950" s="1611"/>
      <c r="AO950" s="1611"/>
      <c r="AP950" s="1611"/>
      <c r="AQ950" s="1611"/>
      <c r="AR950" s="1611"/>
      <c r="AS950" s="1611"/>
      <c r="AT950" s="1611"/>
      <c r="AU950" s="1611"/>
      <c r="AV950" s="1611"/>
    </row>
    <row r="951" ht="14.25" customHeight="1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I951" s="1611"/>
      <c r="AJ951" s="1611"/>
      <c r="AK951" s="1611"/>
      <c r="AL951" s="1611"/>
      <c r="AM951" s="1611"/>
      <c r="AN951" s="1611"/>
      <c r="AO951" s="1611"/>
      <c r="AP951" s="1611"/>
      <c r="AQ951" s="1611"/>
      <c r="AR951" s="1611"/>
      <c r="AS951" s="1611"/>
      <c r="AT951" s="1611"/>
      <c r="AU951" s="1611"/>
      <c r="AV951" s="1611"/>
    </row>
    <row r="952" ht="14.25" customHeight="1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I952" s="1611"/>
      <c r="AJ952" s="1611"/>
      <c r="AK952" s="1611"/>
      <c r="AL952" s="1611"/>
      <c r="AM952" s="1611"/>
      <c r="AN952" s="1611"/>
      <c r="AO952" s="1611"/>
      <c r="AP952" s="1611"/>
      <c r="AQ952" s="1611"/>
      <c r="AR952" s="1611"/>
      <c r="AS952" s="1611"/>
      <c r="AT952" s="1611"/>
      <c r="AU952" s="1611"/>
      <c r="AV952" s="1611"/>
    </row>
    <row r="953" ht="14.25" customHeight="1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I953" s="1611"/>
      <c r="AJ953" s="1611"/>
      <c r="AK953" s="1611"/>
      <c r="AL953" s="1611"/>
      <c r="AM953" s="1611"/>
      <c r="AN953" s="1611"/>
      <c r="AO953" s="1611"/>
      <c r="AP953" s="1611"/>
      <c r="AQ953" s="1611"/>
      <c r="AR953" s="1611"/>
      <c r="AS953" s="1611"/>
      <c r="AT953" s="1611"/>
      <c r="AU953" s="1611"/>
      <c r="AV953" s="1611"/>
    </row>
    <row r="954" ht="14.25" customHeight="1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I954" s="1611"/>
      <c r="AJ954" s="1611"/>
      <c r="AK954" s="1611"/>
      <c r="AL954" s="1611"/>
      <c r="AM954" s="1611"/>
      <c r="AN954" s="1611"/>
      <c r="AO954" s="1611"/>
      <c r="AP954" s="1611"/>
      <c r="AQ954" s="1611"/>
      <c r="AR954" s="1611"/>
      <c r="AS954" s="1611"/>
      <c r="AT954" s="1611"/>
      <c r="AU954" s="1611"/>
      <c r="AV954" s="1611"/>
    </row>
    <row r="955" ht="14.25" customHeight="1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I955" s="1611"/>
      <c r="AJ955" s="1611"/>
      <c r="AK955" s="1611"/>
      <c r="AL955" s="1611"/>
      <c r="AM955" s="1611"/>
      <c r="AN955" s="1611"/>
      <c r="AO955" s="1611"/>
      <c r="AP955" s="1611"/>
      <c r="AQ955" s="1611"/>
      <c r="AR955" s="1611"/>
      <c r="AS955" s="1611"/>
      <c r="AT955" s="1611"/>
      <c r="AU955" s="1611"/>
      <c r="AV955" s="1611"/>
    </row>
    <row r="956" ht="14.25" customHeight="1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I956" s="1611"/>
      <c r="AJ956" s="1611"/>
      <c r="AK956" s="1611"/>
      <c r="AL956" s="1611"/>
      <c r="AM956" s="1611"/>
      <c r="AN956" s="1611"/>
      <c r="AO956" s="1611"/>
      <c r="AP956" s="1611"/>
      <c r="AQ956" s="1611"/>
      <c r="AR956" s="1611"/>
      <c r="AS956" s="1611"/>
      <c r="AT956" s="1611"/>
      <c r="AU956" s="1611"/>
      <c r="AV956" s="1611"/>
    </row>
    <row r="957" ht="14.25" customHeight="1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I957" s="1611"/>
      <c r="AJ957" s="1611"/>
      <c r="AK957" s="1611"/>
      <c r="AL957" s="1611"/>
      <c r="AM957" s="1611"/>
      <c r="AN957" s="1611"/>
      <c r="AO957" s="1611"/>
      <c r="AP957" s="1611"/>
      <c r="AQ957" s="1611"/>
      <c r="AR957" s="1611"/>
      <c r="AS957" s="1611"/>
      <c r="AT957" s="1611"/>
      <c r="AU957" s="1611"/>
      <c r="AV957" s="1611"/>
    </row>
    <row r="958" ht="14.25" customHeight="1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I958" s="1611"/>
      <c r="AJ958" s="1611"/>
      <c r="AK958" s="1611"/>
      <c r="AL958" s="1611"/>
      <c r="AM958" s="1611"/>
      <c r="AN958" s="1611"/>
      <c r="AO958" s="1611"/>
      <c r="AP958" s="1611"/>
      <c r="AQ958" s="1611"/>
      <c r="AR958" s="1611"/>
      <c r="AS958" s="1611"/>
      <c r="AT958" s="1611"/>
      <c r="AU958" s="1611"/>
      <c r="AV958" s="1611"/>
    </row>
    <row r="959" ht="14.25" customHeight="1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I959" s="1611"/>
      <c r="AJ959" s="1611"/>
      <c r="AK959" s="1611"/>
      <c r="AL959" s="1611"/>
      <c r="AM959" s="1611"/>
      <c r="AN959" s="1611"/>
      <c r="AO959" s="1611"/>
      <c r="AP959" s="1611"/>
      <c r="AQ959" s="1611"/>
      <c r="AR959" s="1611"/>
      <c r="AS959" s="1611"/>
      <c r="AT959" s="1611"/>
      <c r="AU959" s="1611"/>
      <c r="AV959" s="1611"/>
    </row>
    <row r="960" ht="14.25" customHeight="1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I960" s="1611"/>
      <c r="AJ960" s="1611"/>
      <c r="AK960" s="1611"/>
      <c r="AL960" s="1611"/>
      <c r="AM960" s="1611"/>
      <c r="AN960" s="1611"/>
      <c r="AO960" s="1611"/>
      <c r="AP960" s="1611"/>
      <c r="AQ960" s="1611"/>
      <c r="AR960" s="1611"/>
      <c r="AS960" s="1611"/>
      <c r="AT960" s="1611"/>
      <c r="AU960" s="1611"/>
      <c r="AV960" s="1611"/>
    </row>
    <row r="961" ht="14.25" customHeight="1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I961" s="1611"/>
      <c r="AJ961" s="1611"/>
      <c r="AK961" s="1611"/>
      <c r="AL961" s="1611"/>
      <c r="AM961" s="1611"/>
      <c r="AN961" s="1611"/>
      <c r="AO961" s="1611"/>
      <c r="AP961" s="1611"/>
      <c r="AQ961" s="1611"/>
      <c r="AR961" s="1611"/>
      <c r="AS961" s="1611"/>
      <c r="AT961" s="1611"/>
      <c r="AU961" s="1611"/>
      <c r="AV961" s="1611"/>
    </row>
    <row r="962" ht="14.25" customHeight="1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I962" s="1611"/>
      <c r="AJ962" s="1611"/>
      <c r="AK962" s="1611"/>
      <c r="AL962" s="1611"/>
      <c r="AM962" s="1611"/>
      <c r="AN962" s="1611"/>
      <c r="AO962" s="1611"/>
      <c r="AP962" s="1611"/>
      <c r="AQ962" s="1611"/>
      <c r="AR962" s="1611"/>
      <c r="AS962" s="1611"/>
      <c r="AT962" s="1611"/>
      <c r="AU962" s="1611"/>
      <c r="AV962" s="1611"/>
    </row>
    <row r="963" ht="14.25" customHeight="1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I963" s="1611"/>
      <c r="AJ963" s="1611"/>
      <c r="AK963" s="1611"/>
      <c r="AL963" s="1611"/>
      <c r="AM963" s="1611"/>
      <c r="AN963" s="1611"/>
      <c r="AO963" s="1611"/>
      <c r="AP963" s="1611"/>
      <c r="AQ963" s="1611"/>
      <c r="AR963" s="1611"/>
      <c r="AS963" s="1611"/>
      <c r="AT963" s="1611"/>
      <c r="AU963" s="1611"/>
      <c r="AV963" s="1611"/>
    </row>
    <row r="964" ht="14.25" customHeight="1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I964" s="1611"/>
      <c r="AJ964" s="1611"/>
      <c r="AK964" s="1611"/>
      <c r="AL964" s="1611"/>
      <c r="AM964" s="1611"/>
      <c r="AN964" s="1611"/>
      <c r="AO964" s="1611"/>
      <c r="AP964" s="1611"/>
      <c r="AQ964" s="1611"/>
      <c r="AR964" s="1611"/>
      <c r="AS964" s="1611"/>
      <c r="AT964" s="1611"/>
      <c r="AU964" s="1611"/>
      <c r="AV964" s="1611"/>
    </row>
    <row r="965" ht="14.25" customHeight="1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I965" s="1611"/>
      <c r="AJ965" s="1611"/>
      <c r="AK965" s="1611"/>
      <c r="AL965" s="1611"/>
      <c r="AM965" s="1611"/>
      <c r="AN965" s="1611"/>
      <c r="AO965" s="1611"/>
      <c r="AP965" s="1611"/>
      <c r="AQ965" s="1611"/>
      <c r="AR965" s="1611"/>
      <c r="AS965" s="1611"/>
      <c r="AT965" s="1611"/>
      <c r="AU965" s="1611"/>
      <c r="AV965" s="1611"/>
    </row>
    <row r="966" ht="14.25" customHeight="1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I966" s="1611"/>
      <c r="AJ966" s="1611"/>
      <c r="AK966" s="1611"/>
      <c r="AL966" s="1611"/>
      <c r="AM966" s="1611"/>
      <c r="AN966" s="1611"/>
      <c r="AO966" s="1611"/>
      <c r="AP966" s="1611"/>
      <c r="AQ966" s="1611"/>
      <c r="AR966" s="1611"/>
      <c r="AS966" s="1611"/>
      <c r="AT966" s="1611"/>
      <c r="AU966" s="1611"/>
      <c r="AV966" s="1611"/>
    </row>
    <row r="967" ht="14.25" customHeight="1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I967" s="1611"/>
      <c r="AJ967" s="1611"/>
      <c r="AK967" s="1611"/>
      <c r="AL967" s="1611"/>
      <c r="AM967" s="1611"/>
      <c r="AN967" s="1611"/>
      <c r="AO967" s="1611"/>
      <c r="AP967" s="1611"/>
      <c r="AQ967" s="1611"/>
      <c r="AR967" s="1611"/>
      <c r="AS967" s="1611"/>
      <c r="AT967" s="1611"/>
      <c r="AU967" s="1611"/>
      <c r="AV967" s="1611"/>
    </row>
    <row r="968" ht="14.25" customHeight="1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I968" s="1611"/>
      <c r="AJ968" s="1611"/>
      <c r="AK968" s="1611"/>
      <c r="AL968" s="1611"/>
      <c r="AM968" s="1611"/>
      <c r="AN968" s="1611"/>
      <c r="AO968" s="1611"/>
      <c r="AP968" s="1611"/>
      <c r="AQ968" s="1611"/>
      <c r="AR968" s="1611"/>
      <c r="AS968" s="1611"/>
      <c r="AT968" s="1611"/>
      <c r="AU968" s="1611"/>
      <c r="AV968" s="1611"/>
    </row>
    <row r="969" ht="14.25" customHeight="1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I969" s="1611"/>
      <c r="AJ969" s="1611"/>
      <c r="AK969" s="1611"/>
      <c r="AL969" s="1611"/>
      <c r="AM969" s="1611"/>
      <c r="AN969" s="1611"/>
      <c r="AO969" s="1611"/>
      <c r="AP969" s="1611"/>
      <c r="AQ969" s="1611"/>
      <c r="AR969" s="1611"/>
      <c r="AS969" s="1611"/>
      <c r="AT969" s="1611"/>
      <c r="AU969" s="1611"/>
      <c r="AV969" s="1611"/>
    </row>
    <row r="970" ht="14.25" customHeight="1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I970" s="1611"/>
      <c r="AJ970" s="1611"/>
      <c r="AK970" s="1611"/>
      <c r="AL970" s="1611"/>
      <c r="AM970" s="1611"/>
      <c r="AN970" s="1611"/>
      <c r="AO970" s="1611"/>
      <c r="AP970" s="1611"/>
      <c r="AQ970" s="1611"/>
      <c r="AR970" s="1611"/>
      <c r="AS970" s="1611"/>
      <c r="AT970" s="1611"/>
      <c r="AU970" s="1611"/>
      <c r="AV970" s="1611"/>
    </row>
    <row r="971" ht="14.25" customHeight="1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I971" s="1611"/>
      <c r="AJ971" s="1611"/>
      <c r="AK971" s="1611"/>
      <c r="AL971" s="1611"/>
      <c r="AM971" s="1611"/>
      <c r="AN971" s="1611"/>
      <c r="AO971" s="1611"/>
      <c r="AP971" s="1611"/>
      <c r="AQ971" s="1611"/>
      <c r="AR971" s="1611"/>
      <c r="AS971" s="1611"/>
      <c r="AT971" s="1611"/>
      <c r="AU971" s="1611"/>
      <c r="AV971" s="1611"/>
    </row>
    <row r="972" ht="14.25" customHeight="1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I972" s="1611"/>
      <c r="AJ972" s="1611"/>
      <c r="AK972" s="1611"/>
      <c r="AL972" s="1611"/>
      <c r="AM972" s="1611"/>
      <c r="AN972" s="1611"/>
      <c r="AO972" s="1611"/>
      <c r="AP972" s="1611"/>
      <c r="AQ972" s="1611"/>
      <c r="AR972" s="1611"/>
      <c r="AS972" s="1611"/>
      <c r="AT972" s="1611"/>
      <c r="AU972" s="1611"/>
      <c r="AV972" s="1611"/>
    </row>
    <row r="973" ht="14.25" customHeight="1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I973" s="1611"/>
      <c r="AJ973" s="1611"/>
      <c r="AK973" s="1611"/>
      <c r="AL973" s="1611"/>
      <c r="AM973" s="1611"/>
      <c r="AN973" s="1611"/>
      <c r="AO973" s="1611"/>
      <c r="AP973" s="1611"/>
      <c r="AQ973" s="1611"/>
      <c r="AR973" s="1611"/>
      <c r="AS973" s="1611"/>
      <c r="AT973" s="1611"/>
      <c r="AU973" s="1611"/>
      <c r="AV973" s="1611"/>
    </row>
    <row r="974" ht="14.25" customHeight="1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I974" s="1611"/>
      <c r="AJ974" s="1611"/>
      <c r="AK974" s="1611"/>
      <c r="AL974" s="1611"/>
      <c r="AM974" s="1611"/>
      <c r="AN974" s="1611"/>
      <c r="AO974" s="1611"/>
      <c r="AP974" s="1611"/>
      <c r="AQ974" s="1611"/>
      <c r="AR974" s="1611"/>
      <c r="AS974" s="1611"/>
      <c r="AT974" s="1611"/>
      <c r="AU974" s="1611"/>
      <c r="AV974" s="1611"/>
    </row>
    <row r="975" ht="14.25" customHeight="1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I975" s="1611"/>
      <c r="AJ975" s="1611"/>
      <c r="AK975" s="1611"/>
      <c r="AL975" s="1611"/>
      <c r="AM975" s="1611"/>
      <c r="AN975" s="1611"/>
      <c r="AO975" s="1611"/>
      <c r="AP975" s="1611"/>
      <c r="AQ975" s="1611"/>
      <c r="AR975" s="1611"/>
      <c r="AS975" s="1611"/>
      <c r="AT975" s="1611"/>
      <c r="AU975" s="1611"/>
      <c r="AV975" s="1611"/>
    </row>
    <row r="976" ht="14.25" customHeight="1"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I976" s="1611"/>
      <c r="AJ976" s="1611"/>
      <c r="AK976" s="1611"/>
      <c r="AL976" s="1611"/>
      <c r="AM976" s="1611"/>
      <c r="AN976" s="1611"/>
      <c r="AO976" s="1611"/>
      <c r="AP976" s="1611"/>
      <c r="AQ976" s="1611"/>
      <c r="AR976" s="1611"/>
      <c r="AS976" s="1611"/>
      <c r="AT976" s="1611"/>
      <c r="AU976" s="1611"/>
      <c r="AV976" s="1611"/>
    </row>
    <row r="977" ht="14.25" customHeight="1"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I977" s="1611"/>
      <c r="AJ977" s="1611"/>
      <c r="AK977" s="1611"/>
      <c r="AL977" s="1611"/>
      <c r="AM977" s="1611"/>
      <c r="AN977" s="1611"/>
      <c r="AO977" s="1611"/>
      <c r="AP977" s="1611"/>
      <c r="AQ977" s="1611"/>
      <c r="AR977" s="1611"/>
      <c r="AS977" s="1611"/>
      <c r="AT977" s="1611"/>
      <c r="AU977" s="1611"/>
      <c r="AV977" s="1611"/>
    </row>
    <row r="978" ht="14.25" customHeight="1"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I978" s="1611"/>
      <c r="AJ978" s="1611"/>
      <c r="AK978" s="1611"/>
      <c r="AL978" s="1611"/>
      <c r="AM978" s="1611"/>
      <c r="AN978" s="1611"/>
      <c r="AO978" s="1611"/>
      <c r="AP978" s="1611"/>
      <c r="AQ978" s="1611"/>
      <c r="AR978" s="1611"/>
      <c r="AS978" s="1611"/>
      <c r="AT978" s="1611"/>
      <c r="AU978" s="1611"/>
      <c r="AV978" s="1611"/>
    </row>
    <row r="979" ht="14.25" customHeight="1"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I979" s="1611"/>
      <c r="AJ979" s="1611"/>
      <c r="AK979" s="1611"/>
      <c r="AL979" s="1611"/>
      <c r="AM979" s="1611"/>
      <c r="AN979" s="1611"/>
      <c r="AO979" s="1611"/>
      <c r="AP979" s="1611"/>
      <c r="AQ979" s="1611"/>
      <c r="AR979" s="1611"/>
      <c r="AS979" s="1611"/>
      <c r="AT979" s="1611"/>
      <c r="AU979" s="1611"/>
      <c r="AV979" s="1611"/>
    </row>
    <row r="980" ht="14.25" customHeight="1"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I980" s="1611"/>
      <c r="AJ980" s="1611"/>
      <c r="AK980" s="1611"/>
      <c r="AL980" s="1611"/>
      <c r="AM980" s="1611"/>
      <c r="AN980" s="1611"/>
      <c r="AO980" s="1611"/>
      <c r="AP980" s="1611"/>
      <c r="AQ980" s="1611"/>
      <c r="AR980" s="1611"/>
      <c r="AS980" s="1611"/>
      <c r="AT980" s="1611"/>
      <c r="AU980" s="1611"/>
      <c r="AV980" s="1611"/>
    </row>
    <row r="981" ht="14.25" customHeight="1"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I981" s="1611"/>
      <c r="AJ981" s="1611"/>
      <c r="AK981" s="1611"/>
      <c r="AL981" s="1611"/>
      <c r="AM981" s="1611"/>
      <c r="AN981" s="1611"/>
      <c r="AO981" s="1611"/>
      <c r="AP981" s="1611"/>
      <c r="AQ981" s="1611"/>
      <c r="AR981" s="1611"/>
      <c r="AS981" s="1611"/>
      <c r="AT981" s="1611"/>
      <c r="AU981" s="1611"/>
      <c r="AV981" s="1611"/>
    </row>
    <row r="982" ht="14.25" customHeight="1"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I982" s="1611"/>
      <c r="AJ982" s="1611"/>
      <c r="AK982" s="1611"/>
      <c r="AL982" s="1611"/>
      <c r="AM982" s="1611"/>
      <c r="AN982" s="1611"/>
      <c r="AO982" s="1611"/>
      <c r="AP982" s="1611"/>
      <c r="AQ982" s="1611"/>
      <c r="AR982" s="1611"/>
      <c r="AS982" s="1611"/>
      <c r="AT982" s="1611"/>
      <c r="AU982" s="1611"/>
      <c r="AV982" s="1611"/>
    </row>
    <row r="983" ht="14.25" customHeight="1"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I983" s="1611"/>
      <c r="AJ983" s="1611"/>
      <c r="AK983" s="1611"/>
      <c r="AL983" s="1611"/>
      <c r="AM983" s="1611"/>
      <c r="AN983" s="1611"/>
      <c r="AO983" s="1611"/>
      <c r="AP983" s="1611"/>
      <c r="AQ983" s="1611"/>
      <c r="AR983" s="1611"/>
      <c r="AS983" s="1611"/>
      <c r="AT983" s="1611"/>
      <c r="AU983" s="1611"/>
      <c r="AV983" s="1611"/>
    </row>
    <row r="984" ht="14.25" customHeight="1"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I984" s="1611"/>
      <c r="AJ984" s="1611"/>
      <c r="AK984" s="1611"/>
      <c r="AL984" s="1611"/>
      <c r="AM984" s="1611"/>
      <c r="AN984" s="1611"/>
      <c r="AO984" s="1611"/>
      <c r="AP984" s="1611"/>
      <c r="AQ984" s="1611"/>
      <c r="AR984" s="1611"/>
      <c r="AS984" s="1611"/>
      <c r="AT984" s="1611"/>
      <c r="AU984" s="1611"/>
      <c r="AV984" s="1611"/>
    </row>
    <row r="985" ht="14.25" customHeight="1"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I985" s="1611"/>
      <c r="AJ985" s="1611"/>
      <c r="AK985" s="1611"/>
      <c r="AL985" s="1611"/>
      <c r="AM985" s="1611"/>
      <c r="AN985" s="1611"/>
      <c r="AO985" s="1611"/>
      <c r="AP985" s="1611"/>
      <c r="AQ985" s="1611"/>
      <c r="AR985" s="1611"/>
      <c r="AS985" s="1611"/>
      <c r="AT985" s="1611"/>
      <c r="AU985" s="1611"/>
      <c r="AV985" s="1611"/>
    </row>
    <row r="986" ht="14.25" customHeight="1"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I986" s="1611"/>
      <c r="AJ986" s="1611"/>
      <c r="AK986" s="1611"/>
      <c r="AL986" s="1611"/>
      <c r="AM986" s="1611"/>
      <c r="AN986" s="1611"/>
      <c r="AO986" s="1611"/>
      <c r="AP986" s="1611"/>
      <c r="AQ986" s="1611"/>
      <c r="AR986" s="1611"/>
      <c r="AS986" s="1611"/>
      <c r="AT986" s="1611"/>
      <c r="AU986" s="1611"/>
      <c r="AV986" s="1611"/>
    </row>
    <row r="987" ht="14.25" customHeight="1"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I987" s="1611"/>
      <c r="AJ987" s="1611"/>
      <c r="AK987" s="1611"/>
      <c r="AL987" s="1611"/>
      <c r="AM987" s="1611"/>
      <c r="AN987" s="1611"/>
      <c r="AO987" s="1611"/>
      <c r="AP987" s="1611"/>
      <c r="AQ987" s="1611"/>
      <c r="AR987" s="1611"/>
      <c r="AS987" s="1611"/>
      <c r="AT987" s="1611"/>
      <c r="AU987" s="1611"/>
      <c r="AV987" s="1611"/>
    </row>
    <row r="988" ht="14.25" customHeight="1"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I988" s="1611"/>
      <c r="AJ988" s="1611"/>
      <c r="AK988" s="1611"/>
      <c r="AL988" s="1611"/>
      <c r="AM988" s="1611"/>
      <c r="AN988" s="1611"/>
      <c r="AO988" s="1611"/>
      <c r="AP988" s="1611"/>
      <c r="AQ988" s="1611"/>
      <c r="AR988" s="1611"/>
      <c r="AS988" s="1611"/>
      <c r="AT988" s="1611"/>
      <c r="AU988" s="1611"/>
      <c r="AV988" s="1611"/>
    </row>
    <row r="989" ht="14.25" customHeight="1"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I989" s="1611"/>
      <c r="AJ989" s="1611"/>
      <c r="AK989" s="1611"/>
      <c r="AL989" s="1611"/>
      <c r="AM989" s="1611"/>
      <c r="AN989" s="1611"/>
      <c r="AO989" s="1611"/>
      <c r="AP989" s="1611"/>
      <c r="AQ989" s="1611"/>
      <c r="AR989" s="1611"/>
      <c r="AS989" s="1611"/>
      <c r="AT989" s="1611"/>
      <c r="AU989" s="1611"/>
      <c r="AV989" s="1611"/>
    </row>
    <row r="990" ht="14.25" customHeight="1"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I990" s="1611"/>
      <c r="AJ990" s="1611"/>
      <c r="AK990" s="1611"/>
      <c r="AL990" s="1611"/>
      <c r="AM990" s="1611"/>
      <c r="AN990" s="1611"/>
      <c r="AO990" s="1611"/>
      <c r="AP990" s="1611"/>
      <c r="AQ990" s="1611"/>
      <c r="AR990" s="1611"/>
      <c r="AS990" s="1611"/>
      <c r="AT990" s="1611"/>
      <c r="AU990" s="1611"/>
      <c r="AV990" s="1611"/>
    </row>
    <row r="991" ht="14.25" customHeight="1"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I991" s="1611"/>
      <c r="AJ991" s="1611"/>
      <c r="AK991" s="1611"/>
      <c r="AL991" s="1611"/>
      <c r="AM991" s="1611"/>
      <c r="AN991" s="1611"/>
      <c r="AO991" s="1611"/>
      <c r="AP991" s="1611"/>
      <c r="AQ991" s="1611"/>
      <c r="AR991" s="1611"/>
      <c r="AS991" s="1611"/>
      <c r="AT991" s="1611"/>
      <c r="AU991" s="1611"/>
      <c r="AV991" s="1611"/>
    </row>
    <row r="992" ht="14.25" customHeight="1"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I992" s="1611"/>
      <c r="AJ992" s="1611"/>
      <c r="AK992" s="1611"/>
      <c r="AL992" s="1611"/>
      <c r="AM992" s="1611"/>
      <c r="AN992" s="1611"/>
      <c r="AO992" s="1611"/>
      <c r="AP992" s="1611"/>
      <c r="AQ992" s="1611"/>
      <c r="AR992" s="1611"/>
      <c r="AS992" s="1611"/>
      <c r="AT992" s="1611"/>
      <c r="AU992" s="1611"/>
      <c r="AV992" s="1611"/>
    </row>
    <row r="993" ht="14.25" customHeight="1"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I993" s="1611"/>
      <c r="AJ993" s="1611"/>
      <c r="AK993" s="1611"/>
      <c r="AL993" s="1611"/>
      <c r="AM993" s="1611"/>
      <c r="AN993" s="1611"/>
      <c r="AO993" s="1611"/>
      <c r="AP993" s="1611"/>
      <c r="AQ993" s="1611"/>
      <c r="AR993" s="1611"/>
      <c r="AS993" s="1611"/>
      <c r="AT993" s="1611"/>
      <c r="AU993" s="1611"/>
      <c r="AV993" s="1611"/>
    </row>
    <row r="994" ht="14.25" customHeight="1"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I994" s="1611"/>
      <c r="AJ994" s="1611"/>
      <c r="AK994" s="1611"/>
      <c r="AL994" s="1611"/>
      <c r="AM994" s="1611"/>
      <c r="AN994" s="1611"/>
      <c r="AO994" s="1611"/>
      <c r="AP994" s="1611"/>
      <c r="AQ994" s="1611"/>
      <c r="AR994" s="1611"/>
      <c r="AS994" s="1611"/>
      <c r="AT994" s="1611"/>
      <c r="AU994" s="1611"/>
      <c r="AV994" s="1611"/>
    </row>
    <row r="995" ht="14.25" customHeight="1"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I995" s="1611"/>
      <c r="AJ995" s="1611"/>
      <c r="AK995" s="1611"/>
      <c r="AL995" s="1611"/>
      <c r="AM995" s="1611"/>
      <c r="AN995" s="1611"/>
      <c r="AO995" s="1611"/>
      <c r="AP995" s="1611"/>
      <c r="AQ995" s="1611"/>
      <c r="AR995" s="1611"/>
      <c r="AS995" s="1611"/>
      <c r="AT995" s="1611"/>
      <c r="AU995" s="1611"/>
      <c r="AV995" s="1611"/>
    </row>
    <row r="996" ht="14.25" customHeight="1"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I996" s="1611"/>
      <c r="AJ996" s="1611"/>
      <c r="AK996" s="1611"/>
      <c r="AL996" s="1611"/>
      <c r="AM996" s="1611"/>
      <c r="AN996" s="1611"/>
      <c r="AO996" s="1611"/>
      <c r="AP996" s="1611"/>
      <c r="AQ996" s="1611"/>
      <c r="AR996" s="1611"/>
      <c r="AS996" s="1611"/>
      <c r="AT996" s="1611"/>
      <c r="AU996" s="1611"/>
      <c r="AV996" s="1611"/>
    </row>
    <row r="997" ht="14.25" customHeight="1"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I997" s="1611"/>
      <c r="AJ997" s="1611"/>
      <c r="AK997" s="1611"/>
      <c r="AL997" s="1611"/>
      <c r="AM997" s="1611"/>
      <c r="AN997" s="1611"/>
      <c r="AO997" s="1611"/>
      <c r="AP997" s="1611"/>
      <c r="AQ997" s="1611"/>
      <c r="AR997" s="1611"/>
      <c r="AS997" s="1611"/>
      <c r="AT997" s="1611"/>
      <c r="AU997" s="1611"/>
      <c r="AV997" s="1611"/>
    </row>
    <row r="998" ht="14.25" customHeight="1"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I998" s="1611"/>
      <c r="AJ998" s="1611"/>
      <c r="AK998" s="1611"/>
      <c r="AL998" s="1611"/>
      <c r="AM998" s="1611"/>
      <c r="AN998" s="1611"/>
      <c r="AO998" s="1611"/>
      <c r="AP998" s="1611"/>
      <c r="AQ998" s="1611"/>
      <c r="AR998" s="1611"/>
      <c r="AS998" s="1611"/>
      <c r="AT998" s="1611"/>
      <c r="AU998" s="1611"/>
      <c r="AV998" s="1611"/>
    </row>
    <row r="999" ht="14.25" customHeight="1"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I999" s="1611"/>
      <c r="AJ999" s="1611"/>
      <c r="AK999" s="1611"/>
      <c r="AL999" s="1611"/>
      <c r="AM999" s="1611"/>
      <c r="AN999" s="1611"/>
      <c r="AO999" s="1611"/>
      <c r="AP999" s="1611"/>
      <c r="AQ999" s="1611"/>
      <c r="AR999" s="1611"/>
      <c r="AS999" s="1611"/>
      <c r="AT999" s="1611"/>
      <c r="AU999" s="1611"/>
      <c r="AV999" s="1611"/>
    </row>
    <row r="1000" ht="14.25" customHeight="1"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I1000" s="1611"/>
      <c r="AJ1000" s="1611"/>
      <c r="AK1000" s="1611"/>
      <c r="AL1000" s="1611"/>
      <c r="AM1000" s="1611"/>
      <c r="AN1000" s="1611"/>
      <c r="AO1000" s="1611"/>
      <c r="AP1000" s="1611"/>
      <c r="AQ1000" s="1611"/>
      <c r="AR1000" s="1611"/>
      <c r="AS1000" s="1611"/>
      <c r="AT1000" s="1611"/>
      <c r="AU1000" s="1611"/>
      <c r="AV1000" s="1611"/>
    </row>
  </sheetData>
  <mergeCells count="116">
    <mergeCell ref="Q5:S5"/>
    <mergeCell ref="W5:Y5"/>
    <mergeCell ref="Q7:S7"/>
    <mergeCell ref="W7:Y7"/>
    <mergeCell ref="Q9:S9"/>
    <mergeCell ref="W9:Y9"/>
    <mergeCell ref="I2:M3"/>
    <mergeCell ref="N2:N3"/>
    <mergeCell ref="AI2:AJ3"/>
    <mergeCell ref="AL2:AM3"/>
    <mergeCell ref="AQ2:AR3"/>
    <mergeCell ref="AV2:AW3"/>
    <mergeCell ref="B4:C5"/>
    <mergeCell ref="E11:F11"/>
    <mergeCell ref="G11:I11"/>
    <mergeCell ref="K11:M11"/>
    <mergeCell ref="Q11:S11"/>
    <mergeCell ref="W11:Y11"/>
    <mergeCell ref="G5:I5"/>
    <mergeCell ref="K5:M5"/>
    <mergeCell ref="G7:I7"/>
    <mergeCell ref="K7:M7"/>
    <mergeCell ref="E9:F10"/>
    <mergeCell ref="G9:I9"/>
    <mergeCell ref="K9:M9"/>
    <mergeCell ref="G13:I13"/>
    <mergeCell ref="K13:M13"/>
    <mergeCell ref="Q13:S13"/>
    <mergeCell ref="W13:Y13"/>
    <mergeCell ref="K15:M15"/>
    <mergeCell ref="Q15:S15"/>
    <mergeCell ref="W15:Y15"/>
    <mergeCell ref="Q19:S19"/>
    <mergeCell ref="W19:Y19"/>
    <mergeCell ref="G15:I15"/>
    <mergeCell ref="G17:I17"/>
    <mergeCell ref="K17:M17"/>
    <mergeCell ref="Q17:S17"/>
    <mergeCell ref="W17:Y17"/>
    <mergeCell ref="G19:I19"/>
    <mergeCell ref="K19:M19"/>
    <mergeCell ref="G46:H46"/>
    <mergeCell ref="K46:M46"/>
    <mergeCell ref="Q46:S46"/>
    <mergeCell ref="W46:Y46"/>
    <mergeCell ref="K48:M48"/>
    <mergeCell ref="Q48:S48"/>
    <mergeCell ref="W48:Y48"/>
    <mergeCell ref="AI67:AJ67"/>
    <mergeCell ref="AL67:AM67"/>
    <mergeCell ref="AQ67:AR67"/>
    <mergeCell ref="AV67:AW67"/>
    <mergeCell ref="AI111:AJ111"/>
    <mergeCell ref="AL111:AM111"/>
    <mergeCell ref="AQ111:AR111"/>
    <mergeCell ref="AV111:AW111"/>
    <mergeCell ref="F48:H48"/>
    <mergeCell ref="F50:H50"/>
    <mergeCell ref="K50:M50"/>
    <mergeCell ref="Q50:S50"/>
    <mergeCell ref="W50:Y50"/>
    <mergeCell ref="F52:H52"/>
    <mergeCell ref="K52:M52"/>
    <mergeCell ref="E21:F22"/>
    <mergeCell ref="G21:I21"/>
    <mergeCell ref="K21:M21"/>
    <mergeCell ref="Q21:S21"/>
    <mergeCell ref="W21:Y21"/>
    <mergeCell ref="E23:F23"/>
    <mergeCell ref="G23:I23"/>
    <mergeCell ref="W23:Y23"/>
    <mergeCell ref="K23:M23"/>
    <mergeCell ref="Q23:S23"/>
    <mergeCell ref="G25:I25"/>
    <mergeCell ref="K25:M25"/>
    <mergeCell ref="Q25:S25"/>
    <mergeCell ref="W25:Y25"/>
    <mergeCell ref="G27:I27"/>
    <mergeCell ref="W27:Y27"/>
    <mergeCell ref="K27:M27"/>
    <mergeCell ref="Q27:S27"/>
    <mergeCell ref="G29:I29"/>
    <mergeCell ref="K29:M29"/>
    <mergeCell ref="Q29:S29"/>
    <mergeCell ref="W29:Y29"/>
    <mergeCell ref="G31:I31"/>
    <mergeCell ref="W31:Y31"/>
    <mergeCell ref="K31:M31"/>
    <mergeCell ref="Q31:S31"/>
    <mergeCell ref="G33:I33"/>
    <mergeCell ref="K33:M33"/>
    <mergeCell ref="Q33:S33"/>
    <mergeCell ref="W33:Y33"/>
    <mergeCell ref="G35:I35"/>
    <mergeCell ref="W35:Y35"/>
    <mergeCell ref="K35:M35"/>
    <mergeCell ref="Q35:S35"/>
    <mergeCell ref="G39:I39"/>
    <mergeCell ref="K39:M39"/>
    <mergeCell ref="Q39:S39"/>
    <mergeCell ref="W39:Y39"/>
    <mergeCell ref="B43:C44"/>
    <mergeCell ref="Q52:S52"/>
    <mergeCell ref="W52:Y52"/>
    <mergeCell ref="F56:H56"/>
    <mergeCell ref="F58:H58"/>
    <mergeCell ref="L58:M58"/>
    <mergeCell ref="R58:S58"/>
    <mergeCell ref="X58:Y58"/>
    <mergeCell ref="F54:H54"/>
    <mergeCell ref="K54:M54"/>
    <mergeCell ref="Q54:S54"/>
    <mergeCell ref="W54:Y54"/>
    <mergeCell ref="K56:M56"/>
    <mergeCell ref="Q56:S56"/>
    <mergeCell ref="W56:Y56"/>
  </mergeCells>
  <printOptions horizontalCentered="1"/>
  <pageMargins bottom="0.75" footer="0.0" header="0.0" left="0.25" right="0.25" top="0.75"/>
  <pageSetup scale="70" orientation="landscape"/>
  <headerFooter>
    <oddFooter/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Sheet16">
    <pageSetUpPr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0" outlineLevelCol="1"/>
  <cols>
    <col customWidth="1" min="1" max="1" width="4.75"/>
    <col customWidth="1" min="2" max="2" width="40.75"/>
    <col customWidth="1" min="3" max="3" width="5.75"/>
    <col customWidth="1" min="4" max="4" width="1.75"/>
    <col customWidth="1" min="5" max="5" width="11.75"/>
    <col customWidth="1" min="6" max="6" width="5.13"/>
    <col customWidth="1" min="7" max="7" width="11.13"/>
    <col customWidth="1" min="8" max="8" width="5.13"/>
    <col customWidth="1" min="9" max="9" width="11.13"/>
    <col customWidth="1" min="10" max="10" width="5.13"/>
    <col customWidth="1" min="11" max="11" width="11.5"/>
    <col customWidth="1" min="12" max="12" width="6.25"/>
    <col customWidth="1" min="13" max="13" width="12.25"/>
    <col customWidth="1" min="14" max="14" width="6.25"/>
    <col customWidth="1" min="15" max="15" width="12.5"/>
    <col customWidth="1" min="16" max="16" width="6.25"/>
    <col customWidth="1" min="17" max="17" width="12.5"/>
    <col customWidth="1" min="18" max="18" width="6.25"/>
    <col customWidth="1" min="19" max="19" width="10.75"/>
    <col customWidth="1" min="20" max="24" width="8.38"/>
    <col customWidth="1" min="25" max="25" width="10.13"/>
    <col customWidth="1" min="26" max="26" width="9.0"/>
  </cols>
  <sheetData>
    <row r="1" ht="91.5" customHeight="1">
      <c r="A1" s="1"/>
      <c r="B1" s="8" t="str">
        <f>'A Cover'!G$8</f>
        <v>Example University</v>
      </c>
      <c r="C1" s="8"/>
      <c r="D1" s="8"/>
      <c r="E1" s="8"/>
      <c r="F1" s="8"/>
      <c r="G1" s="8"/>
      <c r="H1" s="436"/>
      <c r="I1" s="436"/>
      <c r="J1" s="436"/>
      <c r="K1" s="436"/>
      <c r="L1" s="436"/>
      <c r="M1" s="436"/>
      <c r="N1" s="436"/>
      <c r="O1" s="438"/>
      <c r="P1" s="436"/>
      <c r="Q1" s="436"/>
      <c r="R1" s="436"/>
      <c r="S1" s="1"/>
      <c r="T1" s="1"/>
      <c r="U1" s="1"/>
      <c r="V1" s="1"/>
      <c r="W1" s="1"/>
      <c r="X1" s="1"/>
      <c r="Y1" s="1"/>
      <c r="Z1" s="1"/>
    </row>
    <row r="2" ht="18.75" customHeight="1">
      <c r="A2" s="1"/>
      <c r="B2" s="364" t="s">
        <v>957</v>
      </c>
      <c r="C2" s="1"/>
      <c r="D2" s="1"/>
      <c r="E2" s="1"/>
      <c r="F2" s="1"/>
      <c r="G2" s="29" t="s">
        <v>0</v>
      </c>
      <c r="H2" s="34" t="s">
        <v>9</v>
      </c>
      <c r="I2" s="436"/>
      <c r="J2" s="437"/>
      <c r="K2" s="49"/>
      <c r="L2" s="437"/>
      <c r="M2" s="1"/>
      <c r="N2" s="1"/>
      <c r="O2" s="438"/>
      <c r="P2" s="1018">
        <f>'A Cover'!G$12</f>
        <v>46307</v>
      </c>
      <c r="Q2" s="21"/>
      <c r="R2" s="5"/>
      <c r="S2" s="1"/>
      <c r="T2" s="1"/>
      <c r="U2" s="1"/>
      <c r="V2" s="1"/>
      <c r="W2" s="1"/>
      <c r="X2" s="1"/>
      <c r="Y2" s="1"/>
      <c r="Z2" s="1"/>
    </row>
    <row r="3" ht="3.75" customHeight="1">
      <c r="A3" s="1"/>
      <c r="B3" s="364"/>
      <c r="C3" s="1"/>
      <c r="D3" s="1"/>
      <c r="E3" s="1"/>
      <c r="F3" s="1"/>
      <c r="G3" s="1"/>
      <c r="H3" s="49"/>
      <c r="I3" s="436"/>
      <c r="J3" s="437"/>
      <c r="K3" s="49"/>
      <c r="L3" s="437"/>
      <c r="M3" s="1"/>
      <c r="N3" s="1"/>
      <c r="O3" s="438"/>
      <c r="P3" s="968"/>
      <c r="Q3" s="968"/>
      <c r="R3" s="5"/>
      <c r="S3" s="1"/>
      <c r="T3" s="1"/>
      <c r="U3" s="1"/>
      <c r="V3" s="1"/>
      <c r="W3" s="1"/>
      <c r="X3" s="1"/>
      <c r="Y3" s="1"/>
      <c r="Z3" s="1"/>
    </row>
    <row r="4" ht="15.0" customHeight="1">
      <c r="A4" s="1"/>
      <c r="B4" s="1"/>
      <c r="C4" s="1"/>
      <c r="D4" s="199"/>
      <c r="E4" s="1"/>
      <c r="F4" s="1"/>
      <c r="G4" s="1"/>
      <c r="H4" s="1"/>
      <c r="I4" s="1077" t="str">
        <f>'F Population'!U$6</f>
        <v>2027 - 28</v>
      </c>
      <c r="J4" s="437"/>
      <c r="K4" s="1077" t="str">
        <f>'F Population'!W$6</f>
        <v>2028 - 29</v>
      </c>
      <c r="L4" s="437"/>
      <c r="M4" s="1077" t="str">
        <f>'F Population'!Y$6</f>
        <v>2029 - 30</v>
      </c>
      <c r="N4" s="437"/>
      <c r="O4" s="1077" t="str">
        <f>'F Population'!AA$6</f>
        <v>2030 - 31</v>
      </c>
      <c r="P4" s="437"/>
      <c r="Q4" s="1077" t="str">
        <f>'F Population'!AC$6</f>
        <v>2031 - 32</v>
      </c>
      <c r="R4" s="437"/>
      <c r="S4" s="1"/>
      <c r="T4" s="1"/>
      <c r="U4" s="1"/>
      <c r="V4" s="1"/>
      <c r="W4" s="1"/>
      <c r="X4" s="1"/>
      <c r="Y4" s="1"/>
      <c r="Z4" s="1"/>
    </row>
    <row r="5" ht="3.75" customHeight="1">
      <c r="A5" s="1"/>
      <c r="B5" s="1"/>
      <c r="C5" s="1"/>
      <c r="D5" s="1"/>
      <c r="E5" s="1"/>
      <c r="F5" s="1"/>
      <c r="G5" s="1"/>
      <c r="H5" s="1"/>
      <c r="I5" s="436"/>
      <c r="J5" s="437"/>
      <c r="K5" s="1"/>
      <c r="L5" s="1"/>
      <c r="M5" s="1"/>
      <c r="N5" s="1"/>
      <c r="O5" s="1"/>
      <c r="P5" s="1"/>
      <c r="Q5" s="1"/>
      <c r="R5" s="437"/>
      <c r="S5" s="1"/>
      <c r="T5" s="1"/>
      <c r="U5" s="1"/>
      <c r="V5" s="1"/>
      <c r="W5" s="1"/>
      <c r="X5" s="1"/>
      <c r="Y5" s="1"/>
      <c r="Z5" s="1"/>
    </row>
    <row r="6" ht="15.0" customHeight="1">
      <c r="A6" s="1"/>
      <c r="B6" s="1"/>
      <c r="C6" s="554"/>
      <c r="D6" s="554"/>
      <c r="E6" s="1"/>
      <c r="F6" s="554"/>
      <c r="G6" s="554"/>
      <c r="H6" s="441" t="s">
        <v>960</v>
      </c>
      <c r="I6" s="1622"/>
      <c r="J6" s="554"/>
      <c r="K6" s="1622"/>
      <c r="L6" s="1623"/>
      <c r="M6" s="1622"/>
      <c r="N6" s="1623"/>
      <c r="O6" s="1622"/>
      <c r="P6" s="1623"/>
      <c r="Q6" s="1622"/>
      <c r="R6" s="437"/>
      <c r="S6" s="1"/>
      <c r="T6" s="1"/>
      <c r="U6" s="1"/>
      <c r="V6" s="1"/>
      <c r="W6" s="1"/>
      <c r="X6" s="1"/>
      <c r="Y6" s="1"/>
      <c r="Z6" s="1"/>
    </row>
    <row r="7" ht="3.75" customHeight="1">
      <c r="A7" s="1"/>
      <c r="B7" s="1"/>
      <c r="C7" s="554"/>
      <c r="D7" s="554"/>
      <c r="E7" s="554"/>
      <c r="F7" s="554"/>
      <c r="G7" s="554"/>
      <c r="H7" s="554"/>
      <c r="I7" s="441"/>
      <c r="J7" s="554"/>
      <c r="K7" s="1624"/>
      <c r="L7" s="1625"/>
      <c r="M7" s="1624"/>
      <c r="N7" s="1625"/>
      <c r="O7" s="1624"/>
      <c r="P7" s="1625"/>
      <c r="Q7" s="1624"/>
      <c r="R7" s="437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1"/>
      <c r="C8" s="554"/>
      <c r="D8" s="554"/>
      <c r="E8" s="554"/>
      <c r="F8" s="554"/>
      <c r="G8" s="441" t="s">
        <v>961</v>
      </c>
      <c r="H8" s="1257">
        <v>0.75</v>
      </c>
      <c r="I8" s="441" t="s">
        <v>962</v>
      </c>
      <c r="J8" s="1626" t="s">
        <v>963</v>
      </c>
      <c r="K8" s="1627"/>
      <c r="L8" s="1625"/>
      <c r="M8" s="1627"/>
      <c r="N8" s="1625"/>
      <c r="O8" s="1627"/>
      <c r="P8" s="1625"/>
      <c r="Q8" s="1627"/>
      <c r="R8" s="437"/>
      <c r="S8" s="1"/>
      <c r="T8" s="1"/>
      <c r="U8" s="1"/>
      <c r="V8" s="1"/>
      <c r="W8" s="1"/>
      <c r="X8" s="1"/>
      <c r="Y8" s="1"/>
      <c r="Z8" s="1"/>
    </row>
    <row r="9" ht="3.0" customHeight="1">
      <c r="A9" s="1"/>
      <c r="B9" s="1"/>
      <c r="C9" s="554"/>
      <c r="D9" s="554"/>
      <c r="E9" s="554"/>
      <c r="F9" s="554"/>
      <c r="G9" s="441"/>
      <c r="H9" s="441"/>
      <c r="I9" s="441"/>
      <c r="J9" s="554"/>
      <c r="K9" s="1630"/>
      <c r="L9" s="1625"/>
      <c r="M9" s="1630"/>
      <c r="N9" s="1625"/>
      <c r="O9" s="1630"/>
      <c r="P9" s="1625"/>
      <c r="Q9" s="1630"/>
      <c r="R9" s="437"/>
      <c r="S9" s="1"/>
      <c r="T9" s="1"/>
      <c r="U9" s="1"/>
      <c r="V9" s="1"/>
      <c r="W9" s="1"/>
      <c r="X9" s="1"/>
      <c r="Y9" s="1"/>
      <c r="Z9" s="1"/>
    </row>
    <row r="10" ht="13.5" customHeight="1">
      <c r="A10" s="1"/>
      <c r="B10" s="1"/>
      <c r="C10" s="554"/>
      <c r="D10" s="554"/>
      <c r="E10" s="554"/>
      <c r="F10" s="554"/>
      <c r="G10" s="554"/>
      <c r="H10" s="554"/>
      <c r="I10" s="441" t="s">
        <v>964</v>
      </c>
      <c r="J10" s="554"/>
      <c r="K10" s="1627"/>
      <c r="L10" s="1625"/>
      <c r="M10" s="1627"/>
      <c r="N10" s="1625"/>
      <c r="O10" s="1627"/>
      <c r="P10" s="1625"/>
      <c r="Q10" s="1627"/>
      <c r="R10" s="437"/>
      <c r="S10" s="1"/>
      <c r="T10" s="1"/>
      <c r="U10" s="1"/>
      <c r="V10" s="1"/>
      <c r="W10" s="1"/>
      <c r="X10" s="1"/>
      <c r="Y10" s="1"/>
      <c r="Z10" s="1"/>
    </row>
    <row r="11" ht="3.75" customHeight="1">
      <c r="A11" s="1"/>
      <c r="B11" s="1"/>
      <c r="C11" s="554"/>
      <c r="D11" s="554"/>
      <c r="E11" s="554"/>
      <c r="F11" s="554"/>
      <c r="G11" s="554"/>
      <c r="H11" s="554"/>
      <c r="I11" s="441"/>
      <c r="J11" s="554"/>
      <c r="K11" s="450"/>
      <c r="L11" s="451"/>
      <c r="M11" s="450"/>
      <c r="N11" s="451"/>
      <c r="O11" s="450"/>
      <c r="P11" s="451"/>
      <c r="Q11" s="450"/>
      <c r="R11" s="437"/>
      <c r="S11" s="1"/>
      <c r="T11" s="1"/>
      <c r="U11" s="1"/>
      <c r="V11" s="1"/>
      <c r="W11" s="1"/>
      <c r="X11" s="1"/>
      <c r="Y11" s="1"/>
      <c r="Z11" s="1"/>
    </row>
    <row r="12" ht="14.25" customHeight="1">
      <c r="A12" s="1"/>
      <c r="B12" s="1"/>
      <c r="C12" s="554"/>
      <c r="D12" s="554"/>
      <c r="E12" s="554"/>
      <c r="F12" s="554"/>
      <c r="G12" s="554"/>
      <c r="H12" s="554"/>
      <c r="I12" s="441" t="s">
        <v>965</v>
      </c>
      <c r="J12" s="554"/>
      <c r="K12" s="1631"/>
      <c r="L12" s="1633"/>
      <c r="M12" s="1631"/>
      <c r="N12" s="1633"/>
      <c r="O12" s="1631"/>
      <c r="P12" s="1633"/>
      <c r="Q12" s="1631"/>
      <c r="R12" s="437"/>
      <c r="S12" s="1"/>
      <c r="T12" s="1"/>
      <c r="U12" s="1"/>
      <c r="V12" s="1"/>
      <c r="W12" s="1"/>
      <c r="X12" s="1"/>
      <c r="Y12" s="1"/>
      <c r="Z12" s="1"/>
    </row>
    <row r="13" ht="3.75" customHeight="1">
      <c r="A13" s="1"/>
      <c r="B13" s="1"/>
      <c r="C13" s="554"/>
      <c r="D13" s="554"/>
      <c r="E13" s="554"/>
      <c r="F13" s="554"/>
      <c r="G13" s="554"/>
      <c r="H13" s="554"/>
      <c r="I13" s="441"/>
      <c r="J13" s="554"/>
      <c r="K13" s="1634"/>
      <c r="L13" s="1633"/>
      <c r="M13" s="1634"/>
      <c r="N13" s="1633"/>
      <c r="O13" s="1634"/>
      <c r="P13" s="1633"/>
      <c r="Q13" s="1634"/>
      <c r="R13" s="437"/>
      <c r="S13" s="1"/>
      <c r="T13" s="1"/>
      <c r="U13" s="1"/>
      <c r="V13" s="1"/>
      <c r="W13" s="1"/>
      <c r="X13" s="1"/>
      <c r="Y13" s="1"/>
      <c r="Z13" s="1"/>
    </row>
    <row r="14" ht="14.25" customHeight="1">
      <c r="A14" s="1"/>
      <c r="B14" s="1"/>
      <c r="C14" s="554"/>
      <c r="D14" s="554"/>
      <c r="E14" s="554"/>
      <c r="F14" s="554"/>
      <c r="G14" s="554"/>
      <c r="H14" s="554"/>
      <c r="I14" s="1635" t="s">
        <v>967</v>
      </c>
      <c r="J14" s="1636"/>
      <c r="K14" s="508">
        <f>'F Population'!W9</f>
        <v>580</v>
      </c>
      <c r="L14" s="494"/>
      <c r="M14" s="508">
        <f>'F Population'!Y9</f>
        <v>580</v>
      </c>
      <c r="N14" s="494"/>
      <c r="O14" s="508">
        <f>'F Population'!AA9</f>
        <v>580</v>
      </c>
      <c r="P14" s="494"/>
      <c r="Q14" s="508">
        <f>'F Population'!AC9</f>
        <v>580</v>
      </c>
      <c r="R14" s="437"/>
      <c r="S14" s="1"/>
      <c r="T14" s="1"/>
      <c r="U14" s="1"/>
      <c r="V14" s="1"/>
      <c r="W14" s="1"/>
      <c r="X14" s="1"/>
      <c r="Y14" s="1"/>
      <c r="Z14" s="1"/>
    </row>
    <row r="15" ht="3.75" customHeight="1">
      <c r="A15" s="1"/>
      <c r="B15" s="1"/>
      <c r="C15" s="554"/>
      <c r="D15" s="554"/>
      <c r="E15" s="554"/>
      <c r="F15" s="554"/>
      <c r="G15" s="554"/>
      <c r="H15" s="554"/>
      <c r="I15" s="441"/>
      <c r="J15" s="554"/>
      <c r="K15" s="1634"/>
      <c r="L15" s="1633"/>
      <c r="M15" s="1634"/>
      <c r="N15" s="1633"/>
      <c r="O15" s="1634"/>
      <c r="P15" s="1633"/>
      <c r="Q15" s="1634"/>
      <c r="R15" s="437"/>
      <c r="S15" s="1"/>
      <c r="T15" s="1"/>
      <c r="U15" s="1"/>
      <c r="V15" s="1"/>
      <c r="W15" s="1"/>
      <c r="X15" s="1"/>
      <c r="Y15" s="1"/>
      <c r="Z15" s="1"/>
    </row>
    <row r="16" ht="13.5" customHeight="1">
      <c r="A16" s="1"/>
      <c r="B16" s="1"/>
      <c r="C16" s="554"/>
      <c r="D16" s="554"/>
      <c r="E16" s="554"/>
      <c r="F16" s="554"/>
      <c r="G16" s="1"/>
      <c r="H16" s="1"/>
      <c r="I16" s="441" t="s">
        <v>968</v>
      </c>
      <c r="J16" s="49"/>
      <c r="K16" s="1238">
        <f>K14+K12</f>
        <v>580</v>
      </c>
      <c r="L16" s="1"/>
      <c r="M16" s="1238">
        <f>M14+M12</f>
        <v>580</v>
      </c>
      <c r="N16" s="1"/>
      <c r="O16" s="1238">
        <f>O14+O12</f>
        <v>580</v>
      </c>
      <c r="P16" s="1"/>
      <c r="Q16" s="1238">
        <f>Q14+Q12</f>
        <v>580</v>
      </c>
      <c r="R16" s="437"/>
      <c r="S16" s="1"/>
      <c r="T16" s="1"/>
      <c r="U16" s="1"/>
      <c r="V16" s="1"/>
      <c r="W16" s="1"/>
      <c r="X16" s="1"/>
      <c r="Y16" s="1"/>
      <c r="Z16" s="1"/>
    </row>
    <row r="17" ht="3.75" customHeight="1">
      <c r="A17" s="1"/>
      <c r="B17" s="1"/>
      <c r="C17" s="554"/>
      <c r="D17" s="554"/>
      <c r="E17" s="554"/>
      <c r="F17" s="554"/>
      <c r="G17" s="554"/>
      <c r="H17" s="554"/>
      <c r="I17" s="441"/>
      <c r="J17" s="554"/>
      <c r="K17" s="1634"/>
      <c r="L17" s="1633"/>
      <c r="M17" s="1634"/>
      <c r="N17" s="1633"/>
      <c r="O17" s="1634"/>
      <c r="P17" s="1633"/>
      <c r="Q17" s="1634"/>
      <c r="R17" s="437"/>
      <c r="S17" s="1"/>
      <c r="T17" s="1"/>
      <c r="U17" s="1"/>
      <c r="V17" s="1"/>
      <c r="W17" s="1"/>
      <c r="X17" s="1"/>
      <c r="Y17" s="1"/>
      <c r="Z17" s="1"/>
    </row>
    <row r="18" ht="14.25" customHeight="1">
      <c r="A18" s="1"/>
      <c r="B18" s="1"/>
      <c r="C18" s="554"/>
      <c r="D18" s="554"/>
      <c r="E18" s="554"/>
      <c r="F18" s="554"/>
      <c r="G18" s="1"/>
      <c r="H18" s="1"/>
      <c r="I18" s="441" t="s">
        <v>970</v>
      </c>
      <c r="J18" s="49"/>
      <c r="K18" s="1638" t="str">
        <f>K12</f>
        <v/>
      </c>
      <c r="L18" s="1638"/>
      <c r="M18" s="1638">
        <f>K18*$H$8+M12</f>
        <v>0</v>
      </c>
      <c r="N18" s="1638"/>
      <c r="O18" s="1638">
        <f>M18*$H$8+O12</f>
        <v>0</v>
      </c>
      <c r="P18" s="1638"/>
      <c r="Q18" s="1638">
        <f>O18*$H$8+Q12</f>
        <v>0</v>
      </c>
      <c r="R18" s="437"/>
      <c r="S18" s="1"/>
      <c r="T18" s="1"/>
      <c r="U18" s="1"/>
      <c r="V18" s="1"/>
      <c r="W18" s="1"/>
      <c r="X18" s="1"/>
      <c r="Y18" s="1"/>
      <c r="Z18" s="1"/>
    </row>
    <row r="19" ht="3.75" customHeight="1">
      <c r="A19" s="1"/>
      <c r="B19" s="1"/>
      <c r="C19" s="554"/>
      <c r="D19" s="554"/>
      <c r="E19" s="554"/>
      <c r="F19" s="554"/>
      <c r="G19" s="554"/>
      <c r="H19" s="554"/>
      <c r="I19" s="441"/>
      <c r="J19" s="554"/>
      <c r="K19" s="450"/>
      <c r="L19" s="451"/>
      <c r="M19" s="450"/>
      <c r="N19" s="451"/>
      <c r="O19" s="450"/>
      <c r="P19" s="451"/>
      <c r="Q19" s="450"/>
      <c r="R19" s="437"/>
      <c r="S19" s="1"/>
      <c r="T19" s="1"/>
      <c r="U19" s="1"/>
      <c r="V19" s="1"/>
      <c r="W19" s="1"/>
      <c r="X19" s="1"/>
      <c r="Y19" s="1"/>
      <c r="Z19" s="1"/>
    </row>
    <row r="20" ht="14.25" customHeight="1">
      <c r="A20" s="1"/>
      <c r="B20" s="1"/>
      <c r="C20" s="554"/>
      <c r="D20" s="554"/>
      <c r="E20" s="554"/>
      <c r="F20" s="554"/>
      <c r="G20" s="554"/>
      <c r="H20" s="554"/>
      <c r="I20" s="441" t="s">
        <v>971</v>
      </c>
      <c r="J20" s="49"/>
      <c r="K20" s="1638">
        <f>AVERAGE('F Population'!W20,'F Population'!W41)+'U Pricing Options'!K18</f>
        <v>2140.5</v>
      </c>
      <c r="L20" s="1638"/>
      <c r="M20" s="1638">
        <f>AVERAGE('F Population'!Y20,'F Population'!Y41)+'U Pricing Options'!M18</f>
        <v>2221.5</v>
      </c>
      <c r="N20" s="1638"/>
      <c r="O20" s="1638">
        <f>AVERAGE('F Population'!AA20,'F Population'!AA41)+'U Pricing Options'!O18</f>
        <v>2242</v>
      </c>
      <c r="P20" s="1638"/>
      <c r="Q20" s="1638">
        <f>AVERAGE('F Population'!AC20,'F Population'!AC41)+'U Pricing Options'!Q18</f>
        <v>2244</v>
      </c>
      <c r="R20" s="437"/>
      <c r="S20" s="1"/>
      <c r="T20" s="1"/>
      <c r="U20" s="1"/>
      <c r="V20" s="1"/>
      <c r="W20" s="1"/>
      <c r="X20" s="1"/>
      <c r="Y20" s="1"/>
      <c r="Z20" s="1"/>
    </row>
    <row r="21" ht="3.75" customHeight="1">
      <c r="A21" s="1"/>
      <c r="B21" s="1"/>
      <c r="C21" s="554"/>
      <c r="D21" s="554"/>
      <c r="E21" s="554"/>
      <c r="F21" s="554"/>
      <c r="G21" s="554"/>
      <c r="H21" s="554"/>
      <c r="I21" s="441"/>
      <c r="J21" s="554"/>
      <c r="K21" s="450"/>
      <c r="L21" s="451"/>
      <c r="M21" s="450"/>
      <c r="N21" s="451"/>
      <c r="O21" s="450"/>
      <c r="P21" s="451"/>
      <c r="Q21" s="450"/>
      <c r="R21" s="437"/>
      <c r="S21" s="1"/>
      <c r="T21" s="1"/>
      <c r="U21" s="1"/>
      <c r="V21" s="1"/>
      <c r="W21" s="1"/>
      <c r="X21" s="1"/>
      <c r="Y21" s="1"/>
      <c r="Z21" s="1"/>
    </row>
    <row r="22" ht="14.25" customHeight="1">
      <c r="A22" s="1"/>
      <c r="B22" s="1"/>
      <c r="C22" s="554"/>
      <c r="D22" s="554"/>
      <c r="E22" s="554"/>
      <c r="F22" s="554"/>
      <c r="G22" s="554"/>
      <c r="H22" s="554"/>
      <c r="I22" s="441" t="s">
        <v>973</v>
      </c>
      <c r="J22" s="554"/>
      <c r="K22" s="1638">
        <f>'P Fcast 5yr'!K7/AVERAGE('F Population'!W20,'F Population'!W41)</f>
        <v>29837.09802</v>
      </c>
      <c r="L22" s="1638"/>
      <c r="M22" s="1638">
        <f>'P Fcast 5yr'!M7/AVERAGE('F Population'!Y20,'F Population'!Y41)</f>
        <v>30412.79797</v>
      </c>
      <c r="N22" s="1641"/>
      <c r="O22" s="1638">
        <f>'P Fcast 5yr'!O7/AVERAGE('F Population'!AA20,'F Population'!AA41)</f>
        <v>31022.91748</v>
      </c>
      <c r="P22" s="1641"/>
      <c r="Q22" s="1638">
        <f>'P Fcast 5yr'!Q7/AVERAGE('F Population'!AC20,'F Population'!AC41)</f>
        <v>31643.55941</v>
      </c>
      <c r="R22" s="1641"/>
      <c r="S22" s="1"/>
      <c r="T22" s="1"/>
      <c r="U22" s="1"/>
      <c r="V22" s="1"/>
      <c r="W22" s="1"/>
      <c r="X22" s="1"/>
      <c r="Y22" s="1"/>
      <c r="Z22" s="1"/>
    </row>
    <row r="23" ht="3.75" customHeight="1">
      <c r="A23" s="1"/>
      <c r="B23" s="1"/>
      <c r="C23" s="554"/>
      <c r="D23" s="554"/>
      <c r="E23" s="554"/>
      <c r="F23" s="554"/>
      <c r="G23" s="554"/>
      <c r="H23" s="554"/>
      <c r="I23" s="441"/>
      <c r="J23" s="554"/>
      <c r="K23" s="1638"/>
      <c r="L23" s="1638"/>
      <c r="M23" s="1638"/>
      <c r="N23" s="1638"/>
      <c r="O23" s="1638"/>
      <c r="P23" s="1638"/>
      <c r="Q23" s="1638"/>
      <c r="R23" s="437"/>
      <c r="S23" s="1"/>
      <c r="T23" s="1"/>
      <c r="U23" s="1"/>
      <c r="V23" s="1"/>
      <c r="W23" s="1"/>
      <c r="X23" s="1"/>
      <c r="Y23" s="1"/>
      <c r="Z23" s="1"/>
    </row>
    <row r="24" ht="13.5" customHeight="1">
      <c r="A24" s="1"/>
      <c r="B24" s="1"/>
      <c r="C24" s="554"/>
      <c r="D24" s="554"/>
      <c r="E24" s="554"/>
      <c r="F24" s="554"/>
      <c r="G24" s="554"/>
      <c r="H24" s="554"/>
      <c r="I24" s="441" t="s">
        <v>975</v>
      </c>
      <c r="J24" s="554"/>
      <c r="K24" s="1638">
        <f>K22*(1+K10)</f>
        <v>29837.09802</v>
      </c>
      <c r="L24" s="1642">
        <f>(K24/K22-1)*100</f>
        <v>0</v>
      </c>
      <c r="M24" s="1638">
        <f>K24*(1+M10)</f>
        <v>29837.09802</v>
      </c>
      <c r="N24" s="1643"/>
      <c r="O24" s="1638">
        <f>M24*(1+O10)</f>
        <v>29837.09802</v>
      </c>
      <c r="P24" s="1643"/>
      <c r="Q24" s="1638">
        <f>O24*(1+Q10)</f>
        <v>29837.09802</v>
      </c>
      <c r="R24" s="1643"/>
      <c r="S24" s="1"/>
      <c r="T24" s="1"/>
      <c r="U24" s="1"/>
      <c r="V24" s="1"/>
      <c r="W24" s="1"/>
      <c r="X24" s="1"/>
      <c r="Y24" s="1"/>
      <c r="Z24" s="1"/>
    </row>
    <row r="25" ht="3.75" customHeight="1">
      <c r="A25" s="1"/>
      <c r="B25" s="1"/>
      <c r="C25" s="554"/>
      <c r="D25" s="554"/>
      <c r="E25" s="554"/>
      <c r="F25" s="554"/>
      <c r="G25" s="554"/>
      <c r="H25" s="554"/>
      <c r="I25" s="441"/>
      <c r="J25" s="554"/>
      <c r="K25" s="1638"/>
      <c r="L25" s="1638"/>
      <c r="M25" s="1638"/>
      <c r="N25" s="1638"/>
      <c r="O25" s="1638"/>
      <c r="P25" s="1638"/>
      <c r="Q25" s="1638"/>
      <c r="R25" s="437"/>
      <c r="S25" s="1"/>
      <c r="T25" s="1"/>
      <c r="U25" s="1"/>
      <c r="V25" s="1"/>
      <c r="W25" s="1"/>
      <c r="X25" s="1"/>
      <c r="Y25" s="1"/>
      <c r="Z25" s="1"/>
    </row>
    <row r="26" ht="13.5" customHeight="1">
      <c r="A26" s="1"/>
      <c r="B26" s="1"/>
      <c r="C26" s="554"/>
      <c r="D26" s="554"/>
      <c r="E26" s="554"/>
      <c r="F26" s="554"/>
      <c r="G26" s="554"/>
      <c r="H26" s="554"/>
      <c r="I26" s="441" t="s">
        <v>977</v>
      </c>
      <c r="J26" s="554"/>
      <c r="K26" s="1644">
        <f>K24*-K8</f>
        <v>0</v>
      </c>
      <c r="L26" s="1638"/>
      <c r="M26" s="1644">
        <f>M24*-M8</f>
        <v>0</v>
      </c>
      <c r="N26" s="1638"/>
      <c r="O26" s="1644">
        <f>O24*-O8</f>
        <v>0</v>
      </c>
      <c r="P26" s="1638"/>
      <c r="Q26" s="1644">
        <f>Q24*-Q8</f>
        <v>0</v>
      </c>
      <c r="R26" s="437"/>
      <c r="S26" s="1"/>
      <c r="T26" s="1"/>
      <c r="U26" s="1"/>
      <c r="V26" s="1"/>
      <c r="W26" s="1"/>
      <c r="X26" s="1"/>
      <c r="Y26" s="1"/>
      <c r="Z26" s="1"/>
    </row>
    <row r="27" ht="3.75" customHeight="1">
      <c r="A27" s="1"/>
      <c r="B27" s="1"/>
      <c r="C27" s="554"/>
      <c r="D27" s="554"/>
      <c r="E27" s="554"/>
      <c r="F27" s="554"/>
      <c r="G27" s="554"/>
      <c r="H27" s="554"/>
      <c r="I27" s="441"/>
      <c r="J27" s="554"/>
      <c r="K27" s="554"/>
      <c r="L27" s="554"/>
      <c r="M27" s="554"/>
      <c r="N27" s="554"/>
      <c r="O27" s="554"/>
      <c r="P27" s="554"/>
      <c r="Q27" s="554"/>
      <c r="R27" s="437"/>
      <c r="S27" s="1"/>
      <c r="T27" s="1"/>
      <c r="U27" s="1"/>
      <c r="V27" s="1"/>
      <c r="W27" s="1"/>
      <c r="X27" s="1"/>
      <c r="Y27" s="1"/>
      <c r="Z27" s="1"/>
    </row>
    <row r="28" ht="13.5" customHeight="1">
      <c r="A28" s="1"/>
      <c r="B28" s="1"/>
      <c r="C28" s="554"/>
      <c r="D28" s="554"/>
      <c r="E28" s="554"/>
      <c r="F28" s="554"/>
      <c r="G28" s="554"/>
      <c r="H28" s="554"/>
      <c r="I28" s="441" t="s">
        <v>978</v>
      </c>
      <c r="J28" s="554"/>
      <c r="K28" s="1638">
        <f>K24+K26</f>
        <v>29837.09802</v>
      </c>
      <c r="L28" s="1645">
        <f>K28-'G Price-Aid'!P65</f>
        <v>15688.80971</v>
      </c>
      <c r="M28" s="1638">
        <f>M24+M26</f>
        <v>29837.09802</v>
      </c>
      <c r="N28" s="1645">
        <f>M28-K28</f>
        <v>0</v>
      </c>
      <c r="O28" s="1638">
        <f>O24+O26</f>
        <v>29837.09802</v>
      </c>
      <c r="P28" s="1645">
        <f>O28-M28</f>
        <v>0</v>
      </c>
      <c r="Q28" s="1638">
        <f>Q24+Q26</f>
        <v>29837.09802</v>
      </c>
      <c r="R28" s="1645">
        <f>Q28-O28</f>
        <v>0</v>
      </c>
      <c r="S28" s="1"/>
      <c r="T28" s="1"/>
      <c r="U28" s="1"/>
      <c r="V28" s="1"/>
      <c r="W28" s="1"/>
      <c r="X28" s="1"/>
      <c r="Y28" s="1"/>
      <c r="Z28" s="1"/>
    </row>
    <row r="29" ht="3.75" customHeight="1">
      <c r="A29" s="1"/>
      <c r="B29" s="1"/>
      <c r="C29" s="554"/>
      <c r="D29" s="554"/>
      <c r="E29" s="554"/>
      <c r="F29" s="554"/>
      <c r="G29" s="554"/>
      <c r="H29" s="554"/>
      <c r="I29" s="441"/>
      <c r="J29" s="554"/>
      <c r="K29" s="554"/>
      <c r="L29" s="554"/>
      <c r="M29" s="554"/>
      <c r="N29" s="554"/>
      <c r="O29" s="554"/>
      <c r="P29" s="554"/>
      <c r="Q29" s="554"/>
      <c r="R29" s="437"/>
      <c r="S29" s="1"/>
      <c r="T29" s="1"/>
      <c r="U29" s="1"/>
      <c r="V29" s="1"/>
      <c r="W29" s="1"/>
      <c r="X29" s="1"/>
      <c r="Y29" s="1"/>
      <c r="Z29" s="1"/>
    </row>
    <row r="30" ht="13.5" customHeight="1">
      <c r="A30" s="1"/>
      <c r="B30" s="1"/>
      <c r="C30" s="554"/>
      <c r="D30" s="554"/>
      <c r="E30" s="554"/>
      <c r="F30" s="554"/>
      <c r="G30" s="554"/>
      <c r="H30" s="554"/>
      <c r="I30" s="441" t="s">
        <v>979</v>
      </c>
      <c r="J30" s="554"/>
      <c r="K30" s="1638">
        <f>'P Fcast 5yr'!K9/(AVERAGE('F Population'!W20,'F Population'!W41))</f>
        <v>14004.57414</v>
      </c>
      <c r="L30" s="1646">
        <f>K30-K28</f>
        <v>-15832.52388</v>
      </c>
      <c r="M30" s="1638">
        <f>'P Fcast 5yr'!M9/(AVERAGE('F Population'!Y20,'F Population'!Y41))</f>
        <v>14153.64563</v>
      </c>
      <c r="N30" s="1646">
        <f>M30-M28</f>
        <v>-15683.4524</v>
      </c>
      <c r="O30" s="1638">
        <f>'P Fcast 5yr'!O9/(AVERAGE('F Population'!AA20,'F Population'!AA41))</f>
        <v>14152.19349</v>
      </c>
      <c r="P30" s="1646">
        <f>O30-O28</f>
        <v>-15684.90453</v>
      </c>
      <c r="Q30" s="1638">
        <f>'P Fcast 5yr'!Q9/(AVERAGE('F Population'!AC20,'F Population'!AC41))</f>
        <v>14269.64309</v>
      </c>
      <c r="R30" s="1646">
        <f>Q30-Q28</f>
        <v>-15567.45494</v>
      </c>
      <c r="S30" s="1"/>
      <c r="T30" s="1"/>
      <c r="U30" s="1"/>
      <c r="V30" s="1"/>
      <c r="W30" s="1"/>
      <c r="X30" s="1"/>
      <c r="Y30" s="1"/>
      <c r="Z30" s="1"/>
    </row>
    <row r="31" ht="3.0" customHeight="1">
      <c r="A31" s="1"/>
      <c r="B31" s="1"/>
      <c r="C31" s="554"/>
      <c r="D31" s="554"/>
      <c r="E31" s="554"/>
      <c r="F31" s="554"/>
      <c r="G31" s="554"/>
      <c r="H31" s="554"/>
      <c r="I31" s="441"/>
      <c r="J31" s="554"/>
      <c r="K31" s="554"/>
      <c r="L31" s="554"/>
      <c r="M31" s="554"/>
      <c r="N31" s="554"/>
      <c r="O31" s="554"/>
      <c r="P31" s="554"/>
      <c r="Q31" s="554"/>
      <c r="R31" s="437"/>
      <c r="S31" s="1"/>
      <c r="T31" s="1"/>
      <c r="U31" s="1"/>
      <c r="V31" s="1"/>
      <c r="W31" s="1"/>
      <c r="X31" s="1"/>
      <c r="Y31" s="1"/>
      <c r="Z31" s="1"/>
    </row>
    <row r="32" ht="13.5" customHeight="1">
      <c r="A32" s="1"/>
      <c r="B32" s="1"/>
      <c r="C32" s="554"/>
      <c r="D32" s="554"/>
      <c r="E32" s="554"/>
      <c r="F32" s="554"/>
      <c r="G32" s="554"/>
      <c r="H32" s="554"/>
      <c r="I32" s="441" t="s">
        <v>982</v>
      </c>
      <c r="J32" s="554"/>
      <c r="K32" s="1638">
        <f>K50-'P Fcast 5yr'!K9</f>
        <v>33889517.37</v>
      </c>
      <c r="L32" s="1638"/>
      <c r="M32" s="1638">
        <f>M50-'P Fcast 5yr'!M9</f>
        <v>34840789.5</v>
      </c>
      <c r="N32" s="1638"/>
      <c r="O32" s="1638">
        <f>O50-'P Fcast 5yr'!O9</f>
        <v>35165555.96</v>
      </c>
      <c r="P32" s="1638"/>
      <c r="Q32" s="1638">
        <f>Q50-'P Fcast 5yr'!Q9</f>
        <v>34933368.88</v>
      </c>
      <c r="R32" s="437"/>
      <c r="S32" s="1"/>
      <c r="T32" s="1"/>
      <c r="U32" s="1"/>
      <c r="V32" s="1"/>
      <c r="W32" s="1"/>
      <c r="X32" s="1"/>
      <c r="Y32" s="1"/>
      <c r="Z32" s="1"/>
    </row>
    <row r="33" ht="3.75" customHeight="1">
      <c r="A33" s="1"/>
      <c r="B33" s="1"/>
      <c r="C33" s="554"/>
      <c r="D33" s="554"/>
      <c r="E33" s="554"/>
      <c r="F33" s="554"/>
      <c r="G33" s="554"/>
      <c r="H33" s="554"/>
      <c r="I33" s="441"/>
      <c r="J33" s="554"/>
      <c r="K33" s="554"/>
      <c r="L33" s="554"/>
      <c r="M33" s="554"/>
      <c r="N33" s="554"/>
      <c r="O33" s="554"/>
      <c r="P33" s="554"/>
      <c r="Q33" s="554"/>
      <c r="R33" s="437"/>
      <c r="S33" s="1"/>
      <c r="T33" s="1"/>
      <c r="U33" s="1"/>
      <c r="V33" s="1"/>
      <c r="W33" s="1"/>
      <c r="X33" s="1"/>
      <c r="Y33" s="1"/>
      <c r="Z33" s="1"/>
    </row>
    <row r="34" ht="13.5" customHeight="1">
      <c r="A34" s="1"/>
      <c r="B34" s="1"/>
      <c r="C34" s="554"/>
      <c r="D34" s="554"/>
      <c r="E34" s="554"/>
      <c r="F34" s="554"/>
      <c r="G34" s="554"/>
      <c r="H34" s="554"/>
      <c r="I34" s="441" t="s">
        <v>984</v>
      </c>
      <c r="J34" s="554"/>
      <c r="K34" s="1647">
        <f>K57-'P Fcast 5yr'!K16-(K67-'P Fcast 5yr'!K27)</f>
        <v>0</v>
      </c>
      <c r="L34" s="1638"/>
      <c r="M34" s="1647">
        <f>M57-'P Fcast 5yr'!M16-(M67-'P Fcast 5yr'!M27)</f>
        <v>0</v>
      </c>
      <c r="N34" s="1638"/>
      <c r="O34" s="1647">
        <f>O57-'P Fcast 5yr'!O16-(O67-'P Fcast 5yr'!O27)</f>
        <v>0</v>
      </c>
      <c r="P34" s="1638"/>
      <c r="Q34" s="1647">
        <f>Q57-'P Fcast 5yr'!Q16-(Q67-'P Fcast 5yr'!Q27)</f>
        <v>0</v>
      </c>
      <c r="R34" s="437"/>
      <c r="S34" s="1"/>
      <c r="T34" s="1"/>
      <c r="U34" s="1"/>
      <c r="V34" s="1"/>
      <c r="W34" s="1"/>
      <c r="X34" s="1"/>
      <c r="Y34" s="1"/>
      <c r="Z34" s="1"/>
    </row>
    <row r="35" ht="3.75" customHeight="1">
      <c r="A35" s="1"/>
      <c r="B35" s="1"/>
      <c r="C35" s="554"/>
      <c r="D35" s="554"/>
      <c r="E35" s="554"/>
      <c r="F35" s="554"/>
      <c r="G35" s="554"/>
      <c r="H35" s="554"/>
      <c r="I35" s="441"/>
      <c r="J35" s="554"/>
      <c r="K35" s="554"/>
      <c r="L35" s="554"/>
      <c r="M35" s="554"/>
      <c r="N35" s="554"/>
      <c r="O35" s="554"/>
      <c r="P35" s="554"/>
      <c r="Q35" s="554"/>
      <c r="R35" s="437"/>
      <c r="S35" s="1"/>
      <c r="T35" s="1"/>
      <c r="U35" s="1"/>
      <c r="V35" s="1"/>
      <c r="W35" s="1"/>
      <c r="X35" s="1"/>
      <c r="Y35" s="1"/>
      <c r="Z35" s="1"/>
    </row>
    <row r="36" ht="13.5" customHeight="1">
      <c r="A36" s="1"/>
      <c r="B36" s="1"/>
      <c r="C36" s="554"/>
      <c r="D36" s="554"/>
      <c r="E36" s="554"/>
      <c r="F36" s="554"/>
      <c r="G36" s="554"/>
      <c r="H36" s="554"/>
      <c r="I36" s="441" t="s">
        <v>985</v>
      </c>
      <c r="J36" s="554"/>
      <c r="K36" s="1638">
        <f>K32+K34</f>
        <v>33889517.37</v>
      </c>
      <c r="L36" s="1638"/>
      <c r="M36" s="1638">
        <f>M32+M34</f>
        <v>34840789.5</v>
      </c>
      <c r="N36" s="1638"/>
      <c r="O36" s="1638">
        <f>O32+O34</f>
        <v>35165555.96</v>
      </c>
      <c r="P36" s="1638"/>
      <c r="Q36" s="1638">
        <f>Q32+Q34</f>
        <v>34933368.88</v>
      </c>
      <c r="R36" s="437"/>
      <c r="S36" s="1"/>
      <c r="T36" s="1"/>
      <c r="U36" s="1"/>
      <c r="V36" s="1"/>
      <c r="W36" s="1"/>
      <c r="X36" s="1"/>
      <c r="Y36" s="1"/>
      <c r="Z36" s="1"/>
    </row>
    <row r="37" ht="3.75" customHeight="1">
      <c r="A37" s="1"/>
      <c r="B37" s="1"/>
      <c r="C37" s="554"/>
      <c r="D37" s="554"/>
      <c r="E37" s="554"/>
      <c r="F37" s="554"/>
      <c r="G37" s="554"/>
      <c r="H37" s="554"/>
      <c r="I37" s="441"/>
      <c r="J37" s="554"/>
      <c r="K37" s="1647"/>
      <c r="L37" s="1638"/>
      <c r="M37" s="1647"/>
      <c r="N37" s="1638"/>
      <c r="O37" s="1647"/>
      <c r="P37" s="1638"/>
      <c r="Q37" s="1647"/>
      <c r="R37" s="437"/>
      <c r="S37" s="1"/>
      <c r="T37" s="1"/>
      <c r="U37" s="1"/>
      <c r="V37" s="1"/>
      <c r="W37" s="1"/>
      <c r="X37" s="1"/>
      <c r="Y37" s="1"/>
      <c r="Z37" s="1"/>
    </row>
    <row r="38" ht="13.5" customHeight="1">
      <c r="A38" s="1"/>
      <c r="B38" s="1"/>
      <c r="C38" s="554"/>
      <c r="D38" s="554"/>
      <c r="E38" s="554"/>
      <c r="F38" s="554"/>
      <c r="G38" s="554"/>
      <c r="H38" s="554"/>
      <c r="I38" s="441" t="s">
        <v>986</v>
      </c>
      <c r="J38" s="554"/>
      <c r="K38" s="1647">
        <f>'P Fcast 5yr'!K35-K75</f>
        <v>0</v>
      </c>
      <c r="L38" s="1638"/>
      <c r="M38" s="1647">
        <f>'P Fcast 5yr'!M35-M75</f>
        <v>0</v>
      </c>
      <c r="N38" s="1638"/>
      <c r="O38" s="1647">
        <f>'P Fcast 5yr'!O35-O75</f>
        <v>0</v>
      </c>
      <c r="P38" s="1638"/>
      <c r="Q38" s="1647">
        <f>'P Fcast 5yr'!Q35-Q75</f>
        <v>0</v>
      </c>
      <c r="R38" s="437"/>
      <c r="S38" s="1"/>
      <c r="T38" s="1"/>
      <c r="U38" s="1"/>
      <c r="V38" s="1"/>
      <c r="W38" s="1"/>
      <c r="X38" s="1"/>
      <c r="Y38" s="1"/>
      <c r="Z38" s="1"/>
    </row>
    <row r="39" ht="4.5" customHeight="1">
      <c r="A39" s="1"/>
      <c r="B39" s="1"/>
      <c r="C39" s="554"/>
      <c r="D39" s="554"/>
      <c r="E39" s="554"/>
      <c r="F39" s="554"/>
      <c r="G39" s="554"/>
      <c r="H39" s="554"/>
      <c r="I39" s="441"/>
      <c r="J39" s="554"/>
      <c r="K39" s="1647"/>
      <c r="L39" s="1638"/>
      <c r="M39" s="1647"/>
      <c r="N39" s="1638"/>
      <c r="O39" s="1647"/>
      <c r="P39" s="1638"/>
      <c r="Q39" s="1647"/>
      <c r="R39" s="437"/>
      <c r="S39" s="1"/>
      <c r="T39" s="1"/>
      <c r="U39" s="1"/>
      <c r="V39" s="1"/>
      <c r="W39" s="1"/>
      <c r="X39" s="1"/>
      <c r="Y39" s="1"/>
      <c r="Z39" s="1"/>
    </row>
    <row r="40" ht="13.5" customHeight="1">
      <c r="A40" s="1"/>
      <c r="B40" s="1"/>
      <c r="C40" s="554"/>
      <c r="D40" s="554"/>
      <c r="E40" s="554"/>
      <c r="F40" s="554"/>
      <c r="G40" s="554"/>
      <c r="H40" s="554"/>
      <c r="I40" s="441" t="s">
        <v>987</v>
      </c>
      <c r="J40" s="554"/>
      <c r="K40" s="1647">
        <f>K36+K38</f>
        <v>33889517.37</v>
      </c>
      <c r="L40" s="1638"/>
      <c r="M40" s="1647">
        <f>M36+M38</f>
        <v>34840789.5</v>
      </c>
      <c r="N40" s="1638"/>
      <c r="O40" s="1647">
        <f>O36+O38</f>
        <v>35165555.96</v>
      </c>
      <c r="P40" s="1638"/>
      <c r="Q40" s="1647">
        <f>Q36+Q38</f>
        <v>34933368.88</v>
      </c>
      <c r="R40" s="437"/>
      <c r="S40" s="1"/>
      <c r="T40" s="1"/>
      <c r="U40" s="1"/>
      <c r="V40" s="1"/>
      <c r="W40" s="1"/>
      <c r="X40" s="1"/>
      <c r="Y40" s="1"/>
      <c r="Z40" s="1"/>
    </row>
    <row r="41" ht="3.75" customHeight="1">
      <c r="A41" s="1"/>
      <c r="B41" s="1"/>
      <c r="C41" s="554"/>
      <c r="D41" s="554"/>
      <c r="E41" s="554"/>
      <c r="F41" s="554"/>
      <c r="G41" s="554"/>
      <c r="H41" s="554"/>
      <c r="I41" s="441"/>
      <c r="J41" s="554"/>
      <c r="K41" s="554"/>
      <c r="L41" s="554"/>
      <c r="M41" s="554"/>
      <c r="N41" s="554"/>
      <c r="O41" s="554"/>
      <c r="P41" s="554"/>
      <c r="Q41" s="554"/>
      <c r="R41" s="437"/>
      <c r="S41" s="1"/>
      <c r="T41" s="1"/>
      <c r="U41" s="1"/>
      <c r="V41" s="1"/>
      <c r="W41" s="1"/>
      <c r="X41" s="1"/>
      <c r="Y41" s="1"/>
      <c r="Z41" s="1"/>
    </row>
    <row r="42" ht="13.5" customHeight="1">
      <c r="A42" s="1"/>
      <c r="B42" s="1"/>
      <c r="C42" s="554"/>
      <c r="D42" s="554"/>
      <c r="E42" s="554"/>
      <c r="F42" s="554"/>
      <c r="G42" s="554"/>
      <c r="H42" s="554"/>
      <c r="I42" s="441" t="s">
        <v>989</v>
      </c>
      <c r="J42" s="554"/>
      <c r="K42" s="1647">
        <f>K40</f>
        <v>33889517.37</v>
      </c>
      <c r="L42" s="1638"/>
      <c r="M42" s="1647">
        <f>K42+M40</f>
        <v>68730306.87</v>
      </c>
      <c r="N42" s="1638"/>
      <c r="O42" s="1647">
        <f>M42+O40</f>
        <v>103895862.8</v>
      </c>
      <c r="P42" s="1638"/>
      <c r="Q42" s="1647">
        <f>O42+Q40</f>
        <v>138829231.7</v>
      </c>
      <c r="R42" s="437"/>
      <c r="S42" s="1"/>
      <c r="T42" s="1"/>
      <c r="U42" s="1"/>
      <c r="V42" s="1"/>
      <c r="W42" s="1"/>
      <c r="X42" s="1"/>
      <c r="Y42" s="1"/>
      <c r="Z42" s="1"/>
    </row>
    <row r="43" ht="4.5" customHeight="1">
      <c r="A43" s="1"/>
      <c r="B43" s="441"/>
      <c r="C43" s="554"/>
      <c r="D43" s="554"/>
      <c r="E43" s="554"/>
      <c r="F43" s="554"/>
      <c r="G43" s="554"/>
      <c r="H43" s="554"/>
      <c r="I43" s="554"/>
      <c r="J43" s="554"/>
      <c r="K43" s="554"/>
      <c r="L43" s="554"/>
      <c r="M43" s="554"/>
      <c r="N43" s="554"/>
      <c r="O43" s="554"/>
      <c r="P43" s="554"/>
      <c r="Q43" s="554"/>
      <c r="R43" s="437"/>
      <c r="S43" s="1"/>
      <c r="T43" s="1"/>
      <c r="U43" s="1"/>
      <c r="V43" s="1"/>
      <c r="W43" s="1"/>
      <c r="X43" s="1"/>
      <c r="Y43" s="1"/>
      <c r="Z43" s="1"/>
    </row>
    <row r="44" ht="4.5" customHeight="1">
      <c r="A44" s="1"/>
      <c r="B44" s="441"/>
      <c r="C44" s="554"/>
      <c r="D44" s="554"/>
      <c r="E44" s="554"/>
      <c r="F44" s="554"/>
      <c r="G44" s="554"/>
      <c r="H44" s="554"/>
      <c r="I44" s="554"/>
      <c r="J44" s="554"/>
      <c r="K44" s="554"/>
      <c r="L44" s="554"/>
      <c r="M44" s="554"/>
      <c r="N44" s="554"/>
      <c r="O44" s="554"/>
      <c r="P44" s="554"/>
      <c r="Q44" s="554"/>
      <c r="R44" s="437"/>
      <c r="S44" s="1"/>
      <c r="T44" s="1"/>
      <c r="U44" s="1"/>
      <c r="V44" s="1"/>
      <c r="W44" s="1"/>
      <c r="X44" s="1"/>
      <c r="Y44" s="1"/>
      <c r="Z44" s="1"/>
    </row>
    <row r="45" ht="18.0" customHeight="1">
      <c r="A45" s="446" t="s">
        <v>752</v>
      </c>
      <c r="B45" s="1256"/>
      <c r="C45" s="909" t="s">
        <v>753</v>
      </c>
      <c r="D45" s="1"/>
      <c r="E45" s="1125" t="s">
        <v>6</v>
      </c>
      <c r="F45" s="228"/>
      <c r="G45" s="1126" t="str">
        <f>IF('J Proj CY'!F$151&gt;0,"Projected","Budgeted")</f>
        <v>Projected</v>
      </c>
      <c r="H45" s="1"/>
      <c r="I45" s="1275" t="s">
        <v>991</v>
      </c>
      <c r="J45" s="35"/>
      <c r="K45" s="35"/>
      <c r="L45" s="35"/>
      <c r="M45" s="35"/>
      <c r="N45" s="35"/>
      <c r="O45" s="35"/>
      <c r="P45" s="35"/>
      <c r="Q45" s="21"/>
      <c r="R45" s="437"/>
      <c r="S45" s="1"/>
      <c r="T45" s="1"/>
      <c r="U45" s="1"/>
      <c r="V45" s="1"/>
      <c r="W45" s="1"/>
      <c r="X45" s="1"/>
      <c r="Y45" s="1"/>
      <c r="Z45" s="1"/>
    </row>
    <row r="46" ht="14.25" customHeight="1">
      <c r="A46" s="1257">
        <v>0.25</v>
      </c>
      <c r="B46" s="1258" t="s">
        <v>755</v>
      </c>
      <c r="C46" s="1257">
        <v>0.25</v>
      </c>
      <c r="D46" s="1"/>
      <c r="E46" s="1077" t="str">
        <f>'F Population'!N$6</f>
        <v>2025 - 26</v>
      </c>
      <c r="F46" s="39"/>
      <c r="G46" s="1077" t="str">
        <f>'F Population'!P$6</f>
        <v>2026 - 27</v>
      </c>
      <c r="H46" s="39"/>
      <c r="I46" s="1077" t="str">
        <f>'F Population'!U$6</f>
        <v>2027 - 28</v>
      </c>
      <c r="J46" s="39"/>
      <c r="K46" s="1077" t="str">
        <f>'F Population'!W$6</f>
        <v>2028 - 29</v>
      </c>
      <c r="L46" s="39"/>
      <c r="M46" s="1077" t="str">
        <f>'F Population'!Y$6</f>
        <v>2029 - 30</v>
      </c>
      <c r="N46" s="39"/>
      <c r="O46" s="1077" t="str">
        <f>'F Population'!AA$6</f>
        <v>2030 - 31</v>
      </c>
      <c r="P46" s="554"/>
      <c r="Q46" s="1077" t="str">
        <f>'F Population'!AC$6</f>
        <v>2031 - 32</v>
      </c>
      <c r="R46" s="437"/>
      <c r="S46" s="1"/>
      <c r="T46" s="1"/>
      <c r="U46" s="1"/>
      <c r="V46" s="1"/>
      <c r="W46" s="1"/>
      <c r="X46" s="1"/>
      <c r="Y46" s="1"/>
      <c r="Z46" s="1"/>
    </row>
    <row r="47" ht="14.25" customHeight="1">
      <c r="A47" s="1"/>
      <c r="B47" s="158" t="s">
        <v>175</v>
      </c>
      <c r="C47" s="158"/>
      <c r="D47" s="158"/>
      <c r="E47" s="158"/>
      <c r="F47" s="158"/>
      <c r="G47" s="158"/>
      <c r="H47" s="1"/>
      <c r="I47" s="438"/>
      <c r="J47" s="437"/>
      <c r="K47" s="438"/>
      <c r="L47" s="437"/>
      <c r="M47" s="438"/>
      <c r="N47" s="437"/>
      <c r="O47" s="438"/>
      <c r="P47" s="437"/>
      <c r="Q47" s="438"/>
      <c r="R47" s="437"/>
      <c r="S47" s="1"/>
      <c r="T47" s="1"/>
      <c r="U47" s="1"/>
      <c r="V47" s="1"/>
      <c r="W47" s="1"/>
      <c r="X47" s="1"/>
      <c r="Y47" s="1"/>
      <c r="Z47" s="1"/>
    </row>
    <row r="48" ht="14.25" customHeight="1">
      <c r="A48" s="1"/>
      <c r="B48" s="89" t="s">
        <v>28</v>
      </c>
      <c r="C48" s="89"/>
      <c r="D48" s="89"/>
      <c r="E48" s="438">
        <f>'P Fcast 5yr'!E7</f>
        <v>51387224</v>
      </c>
      <c r="F48" s="82"/>
      <c r="G48" s="438">
        <f>'P Fcast 5yr'!G7</f>
        <v>55818841.09</v>
      </c>
      <c r="H48" s="1259"/>
      <c r="I48" s="438">
        <f>'P Fcast 5yr'!I7</f>
        <v>61804870.92</v>
      </c>
      <c r="J48" s="1259"/>
      <c r="K48" s="438">
        <f>'P Fcast 5yr'!K7*(1+'U Pricing Options'!K10)*(AVERAGE('F Population'!W20,'F Population'!W41)+'U Pricing Options'!K18)/AVERAGE('F Population'!W20,'F Population'!W41)</f>
        <v>63866308.32</v>
      </c>
      <c r="L48" s="1259"/>
      <c r="M48" s="438">
        <f>M20/K20*K48*(1+M10)</f>
        <v>66283113.26</v>
      </c>
      <c r="N48" s="1259"/>
      <c r="O48" s="438">
        <f>O20/M20*M48*(1+O10)</f>
        <v>66894773.77</v>
      </c>
      <c r="P48" s="1259"/>
      <c r="Q48" s="438">
        <f>Q20/O20*O48*(1+Q10)</f>
        <v>66954447.97</v>
      </c>
      <c r="R48" s="1259"/>
      <c r="S48" s="1"/>
      <c r="T48" s="1"/>
      <c r="U48" s="1"/>
      <c r="V48" s="1"/>
      <c r="W48" s="1"/>
      <c r="X48" s="1"/>
      <c r="Y48" s="1"/>
      <c r="Z48" s="1"/>
    </row>
    <row r="49" ht="14.25" customHeight="1">
      <c r="A49" s="1"/>
      <c r="B49" s="89" t="s">
        <v>992</v>
      </c>
      <c r="C49" s="89"/>
      <c r="D49" s="89"/>
      <c r="E49" s="438">
        <f>'P Fcast 5yr'!E8</f>
        <v>-25847774</v>
      </c>
      <c r="F49" s="1650">
        <f>-E49/E48</f>
        <v>0.5030000064</v>
      </c>
      <c r="G49" s="438">
        <f>'P Fcast 5yr'!G8</f>
        <v>-25928048.02</v>
      </c>
      <c r="H49" s="1650">
        <f>-G49/G48</f>
        <v>0.4645035173</v>
      </c>
      <c r="I49" s="438">
        <f>'P Fcast 5yr'!I8</f>
        <v>-31826889.56</v>
      </c>
      <c r="J49" s="1650">
        <f>-I49/I48</f>
        <v>0.5149576254</v>
      </c>
      <c r="K49" s="1178">
        <f>K48*-K8</f>
        <v>0</v>
      </c>
      <c r="L49" s="1650">
        <f>-K49/K48</f>
        <v>0</v>
      </c>
      <c r="M49" s="1178">
        <f>M48*-M8</f>
        <v>0</v>
      </c>
      <c r="N49" s="1650">
        <f>-M49/M48</f>
        <v>0</v>
      </c>
      <c r="O49" s="1178">
        <f>O48*-O8</f>
        <v>0</v>
      </c>
      <c r="P49" s="1650">
        <f>-O49/O48</f>
        <v>0</v>
      </c>
      <c r="Q49" s="1178">
        <f>Q48*-Q8</f>
        <v>0</v>
      </c>
      <c r="R49" s="1650">
        <f>-Q49/Q48</f>
        <v>0</v>
      </c>
      <c r="S49" s="1"/>
      <c r="T49" s="1"/>
      <c r="U49" s="1"/>
      <c r="V49" s="1"/>
      <c r="W49" s="1"/>
      <c r="X49" s="1"/>
      <c r="Y49" s="1"/>
      <c r="Z49" s="1"/>
    </row>
    <row r="50" ht="14.25" customHeight="1">
      <c r="A50" s="1"/>
      <c r="B50" s="89" t="s">
        <v>38</v>
      </c>
      <c r="C50" s="89"/>
      <c r="D50" s="89"/>
      <c r="E50" s="1260">
        <f>E48+E49</f>
        <v>25539450</v>
      </c>
      <c r="F50" s="82"/>
      <c r="G50" s="1260">
        <f>G48+G49</f>
        <v>29890793.07</v>
      </c>
      <c r="H50" s="1259"/>
      <c r="I50" s="1260">
        <f>I48+I49</f>
        <v>29977981.36</v>
      </c>
      <c r="J50" s="1259"/>
      <c r="K50" s="1260">
        <f>K48+K49</f>
        <v>63866308.32</v>
      </c>
      <c r="L50" s="1259"/>
      <c r="M50" s="1260">
        <f>M48+M49</f>
        <v>66283113.26</v>
      </c>
      <c r="N50" s="1259"/>
      <c r="O50" s="1260">
        <f>O48+O49</f>
        <v>66894773.77</v>
      </c>
      <c r="P50" s="1259"/>
      <c r="Q50" s="1260">
        <f>Q48+Q49</f>
        <v>66954447.97</v>
      </c>
      <c r="R50" s="1259"/>
      <c r="S50" s="1"/>
      <c r="T50" s="1"/>
      <c r="U50" s="1"/>
      <c r="V50" s="1"/>
      <c r="W50" s="1"/>
      <c r="X50" s="1"/>
      <c r="Y50" s="1261">
        <f>I50-G50</f>
        <v>87188.28301</v>
      </c>
      <c r="Z50" s="1"/>
    </row>
    <row r="51" ht="7.5" customHeight="1">
      <c r="A51" s="1"/>
      <c r="B51" s="89"/>
      <c r="C51" s="89"/>
      <c r="D51" s="89"/>
      <c r="E51" s="438"/>
      <c r="F51" s="82"/>
      <c r="G51" s="438"/>
      <c r="H51" s="1259"/>
      <c r="I51" s="438"/>
      <c r="J51" s="1259"/>
      <c r="K51" s="438"/>
      <c r="L51" s="1259"/>
      <c r="M51" s="438"/>
      <c r="N51" s="1259"/>
      <c r="O51" s="438"/>
      <c r="P51" s="1259"/>
      <c r="Q51" s="438"/>
      <c r="R51" s="1259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"/>
      <c r="B52" s="89" t="s">
        <v>637</v>
      </c>
      <c r="C52" s="89"/>
      <c r="D52" s="89"/>
      <c r="E52" s="438">
        <f>'P Fcast 5yr'!E11</f>
        <v>16271443</v>
      </c>
      <c r="F52" s="82"/>
      <c r="G52" s="438">
        <f>'P Fcast 5yr'!G11</f>
        <v>18897239</v>
      </c>
      <c r="H52" s="1259"/>
      <c r="I52" s="438">
        <f>'P Fcast 5yr'!I11</f>
        <v>19165822</v>
      </c>
      <c r="J52" s="1259"/>
      <c r="K52" s="438">
        <f>'P Fcast 5yr'!K11</f>
        <v>19475000</v>
      </c>
      <c r="L52" s="1259"/>
      <c r="M52" s="438">
        <f>'P Fcast 5yr'!M11</f>
        <v>19800000</v>
      </c>
      <c r="N52" s="1259"/>
      <c r="O52" s="438">
        <f>'P Fcast 5yr'!O11</f>
        <v>20210000</v>
      </c>
      <c r="P52" s="1259"/>
      <c r="Q52" s="438">
        <f>'P Fcast 5yr'!Q11</f>
        <v>20607000</v>
      </c>
      <c r="R52" s="1259"/>
      <c r="S52" s="1"/>
      <c r="T52" s="1"/>
      <c r="U52" s="1"/>
      <c r="V52" s="1"/>
      <c r="W52" s="1"/>
      <c r="X52" s="1"/>
      <c r="Y52" s="1"/>
      <c r="Z52" s="1"/>
    </row>
    <row r="53" ht="14.25" customHeight="1">
      <c r="A53" s="1"/>
      <c r="B53" s="89" t="s">
        <v>640</v>
      </c>
      <c r="C53" s="89"/>
      <c r="D53" s="89"/>
      <c r="E53" s="438">
        <f>'P Fcast 5yr'!E12</f>
        <v>-893562</v>
      </c>
      <c r="F53" s="82"/>
      <c r="G53" s="438">
        <f>'P Fcast 5yr'!G12</f>
        <v>-1088743</v>
      </c>
      <c r="H53" s="1259"/>
      <c r="I53" s="438">
        <f>'P Fcast 5yr'!I12</f>
        <v>-1134000</v>
      </c>
      <c r="J53" s="1259"/>
      <c r="K53" s="1155">
        <f>'H Non trad'!J23</f>
        <v>-1167000</v>
      </c>
      <c r="L53" s="1259"/>
      <c r="M53" s="1155">
        <f>'H Non trad'!L23</f>
        <v>-1178000</v>
      </c>
      <c r="N53" s="1259"/>
      <c r="O53" s="1155">
        <f>'H Non trad'!N23</f>
        <v>-1185000</v>
      </c>
      <c r="P53" s="1259"/>
      <c r="Q53" s="1155">
        <f>'H Non trad'!P23</f>
        <v>-1200000</v>
      </c>
      <c r="R53" s="1259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"/>
      <c r="B54" s="89" t="s">
        <v>642</v>
      </c>
      <c r="C54" s="89"/>
      <c r="D54" s="89"/>
      <c r="E54" s="1260">
        <f>E52+E53</f>
        <v>15377881</v>
      </c>
      <c r="F54" s="82"/>
      <c r="G54" s="1260">
        <f>G52+G53</f>
        <v>17808496</v>
      </c>
      <c r="H54" s="1259"/>
      <c r="I54" s="1260">
        <f>I52+I53</f>
        <v>18031822</v>
      </c>
      <c r="J54" s="1259"/>
      <c r="K54" s="1260">
        <f>K52+K53</f>
        <v>18308000</v>
      </c>
      <c r="L54" s="1259"/>
      <c r="M54" s="1260">
        <f>M52+M53</f>
        <v>18622000</v>
      </c>
      <c r="N54" s="1259"/>
      <c r="O54" s="1260">
        <f>O52+O53</f>
        <v>19025000</v>
      </c>
      <c r="P54" s="1259"/>
      <c r="Q54" s="1260">
        <f>Q52+Q53</f>
        <v>19407000</v>
      </c>
      <c r="R54" s="1259"/>
      <c r="S54" s="1"/>
      <c r="T54" s="1"/>
      <c r="U54" s="1"/>
      <c r="V54" s="1"/>
      <c r="W54" s="1"/>
      <c r="X54" s="1"/>
      <c r="Y54" s="1"/>
      <c r="Z54" s="1"/>
    </row>
    <row r="55" ht="8.25" customHeight="1">
      <c r="A55" s="1"/>
      <c r="B55" s="89"/>
      <c r="C55" s="89"/>
      <c r="D55" s="89"/>
      <c r="E55" s="438"/>
      <c r="F55" s="82"/>
      <c r="G55" s="438"/>
      <c r="H55" s="437"/>
      <c r="I55" s="438"/>
      <c r="J55" s="437"/>
      <c r="K55" s="438"/>
      <c r="L55" s="437"/>
      <c r="M55" s="438"/>
      <c r="N55" s="437"/>
      <c r="O55" s="438"/>
      <c r="P55" s="437"/>
      <c r="Q55" s="438"/>
      <c r="R55" s="437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"/>
      <c r="B56" s="132" t="s">
        <v>996</v>
      </c>
      <c r="C56" s="132"/>
      <c r="D56" s="132"/>
      <c r="E56" s="438">
        <f>'P Fcast 5yr'!E15</f>
        <v>40917331</v>
      </c>
      <c r="F56" s="1651"/>
      <c r="G56" s="438">
        <f>'P Fcast 5yr'!G15</f>
        <v>47699289.07</v>
      </c>
      <c r="H56" s="1259">
        <f>G56/E56-1</f>
        <v>0.1657478117</v>
      </c>
      <c r="I56" s="438">
        <f>'P Fcast 5yr'!I15</f>
        <v>48009803.36</v>
      </c>
      <c r="J56" s="1259">
        <f>I56/G56-1</f>
        <v>0.00650983042</v>
      </c>
      <c r="K56" s="438">
        <f>K50+K54</f>
        <v>82174308.32</v>
      </c>
      <c r="L56" s="1259">
        <f>K56/I56-1</f>
        <v>0.7116151822</v>
      </c>
      <c r="M56" s="438">
        <f>M50+M54</f>
        <v>84905113.26</v>
      </c>
      <c r="N56" s="1259">
        <f>M56/K56-1</f>
        <v>0.03323185793</v>
      </c>
      <c r="O56" s="438">
        <f>O50+O54</f>
        <v>85919773.77</v>
      </c>
      <c r="P56" s="1259">
        <f>O56/M56-1</f>
        <v>0.01195052301</v>
      </c>
      <c r="Q56" s="438">
        <f>Q50+Q54</f>
        <v>86361447.97</v>
      </c>
      <c r="R56" s="1259">
        <f>Q56/O56-1</f>
        <v>0.005140541888</v>
      </c>
      <c r="S56" s="1"/>
      <c r="T56" s="1"/>
      <c r="U56" s="1"/>
      <c r="V56" s="1"/>
      <c r="W56" s="1"/>
      <c r="X56" s="1"/>
      <c r="Y56" s="1"/>
      <c r="Z56" s="1"/>
    </row>
    <row r="57" ht="14.25" customHeight="1">
      <c r="A57" s="1"/>
      <c r="B57" s="132" t="s">
        <v>646</v>
      </c>
      <c r="C57" s="132"/>
      <c r="D57" s="132"/>
      <c r="E57" s="438">
        <f>'P Fcast 5yr'!E16</f>
        <v>9417500</v>
      </c>
      <c r="F57" s="1651"/>
      <c r="G57" s="438">
        <f>'P Fcast 5yr'!G16</f>
        <v>10044010.32</v>
      </c>
      <c r="H57" s="437"/>
      <c r="I57" s="438">
        <f>'P Fcast 5yr'!I16</f>
        <v>10980135.38</v>
      </c>
      <c r="J57" s="437"/>
      <c r="K57" s="438">
        <f>'P Fcast 5yr'!K16+K18*('P Fcast 5yr'!K16/AVERAGE('F Population'!W20,'F Population'!W41))</f>
        <v>11360832.42</v>
      </c>
      <c r="L57" s="437"/>
      <c r="M57" s="438">
        <f>'P Fcast 5yr'!M16+M18*('P Fcast 5yr'!M16/AVERAGE('F Population'!Y20,'F Population'!Y41))</f>
        <v>11960663.86</v>
      </c>
      <c r="N57" s="437"/>
      <c r="O57" s="438">
        <f>'P Fcast 5yr'!O16+O18*('P Fcast 5yr'!O16/AVERAGE('F Population'!AA20,'F Population'!AA41))</f>
        <v>12285314.75</v>
      </c>
      <c r="P57" s="437"/>
      <c r="Q57" s="438">
        <f>'P Fcast 5yr'!Q16+Q18*('P Fcast 5yr'!Q16/AVERAGE('F Population'!AC20,'F Population'!AC41))</f>
        <v>12529434.13</v>
      </c>
      <c r="R57" s="437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"/>
      <c r="B58" s="132" t="s">
        <v>761</v>
      </c>
      <c r="C58" s="132"/>
      <c r="D58" s="132"/>
      <c r="E58" s="438">
        <f>'P Fcast 5yr'!E17</f>
        <v>6623000</v>
      </c>
      <c r="F58" s="1651"/>
      <c r="G58" s="438">
        <f>'P Fcast 5yr'!G17</f>
        <v>5542000</v>
      </c>
      <c r="H58" s="437"/>
      <c r="I58" s="438">
        <f>'P Fcast 5yr'!I17</f>
        <v>5677741.48</v>
      </c>
      <c r="J58" s="437"/>
      <c r="K58" s="438">
        <f>'P Fcast 5yr'!K17</f>
        <v>5777741.48</v>
      </c>
      <c r="L58" s="437"/>
      <c r="M58" s="438">
        <f>'P Fcast 5yr'!M17</f>
        <v>5877741.48</v>
      </c>
      <c r="N58" s="437"/>
      <c r="O58" s="438">
        <f>'P Fcast 5yr'!O17</f>
        <v>5977741.48</v>
      </c>
      <c r="P58" s="437"/>
      <c r="Q58" s="438">
        <f>'P Fcast 5yr'!Q17</f>
        <v>6077741.48</v>
      </c>
      <c r="R58" s="437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132" t="s">
        <v>951</v>
      </c>
      <c r="C59" s="132"/>
      <c r="D59" s="132"/>
      <c r="E59" s="1652">
        <f>'P Fcast 5yr'!E19</f>
        <v>5774308</v>
      </c>
      <c r="F59" s="1651"/>
      <c r="G59" s="1652">
        <f>'P Fcast 5yr'!G19</f>
        <v>5439130.817</v>
      </c>
      <c r="H59" s="446"/>
      <c r="I59" s="1652">
        <f>'P Fcast 5yr'!I19</f>
        <v>4738920.106</v>
      </c>
      <c r="J59" s="446"/>
      <c r="K59" s="1178">
        <f>'P Fcast 5yr'!K19</f>
        <v>4587287.965</v>
      </c>
      <c r="L59" s="446"/>
      <c r="M59" s="1178">
        <f>'P Fcast 5yr'!M19</f>
        <v>3824423.94</v>
      </c>
      <c r="N59" s="446"/>
      <c r="O59" s="1178">
        <f>'P Fcast 5yr'!O19</f>
        <v>3662763.569</v>
      </c>
      <c r="P59" s="446"/>
      <c r="Q59" s="1178">
        <f>'P Fcast 5yr'!Q19</f>
        <v>3509638.854</v>
      </c>
      <c r="R59" s="446"/>
      <c r="S59" s="295"/>
      <c r="T59" s="1"/>
      <c r="U59" s="1"/>
      <c r="V59" s="1"/>
      <c r="W59" s="1"/>
      <c r="X59" s="1"/>
      <c r="Y59" s="1"/>
      <c r="Z59" s="1"/>
    </row>
    <row r="60" ht="7.5" customHeight="1">
      <c r="A60" s="1"/>
      <c r="B60" s="89"/>
      <c r="C60" s="89"/>
      <c r="D60" s="89"/>
      <c r="E60" s="438"/>
      <c r="F60" s="82"/>
      <c r="G60" s="438"/>
      <c r="H60" s="437"/>
      <c r="I60" s="438"/>
      <c r="J60" s="437"/>
      <c r="K60" s="438"/>
      <c r="L60" s="437"/>
      <c r="M60" s="438"/>
      <c r="N60" s="437"/>
      <c r="O60" s="438"/>
      <c r="P60" s="437"/>
      <c r="Q60" s="438"/>
      <c r="R60" s="437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"/>
      <c r="B61" s="158" t="s">
        <v>1002</v>
      </c>
      <c r="C61" s="158"/>
      <c r="D61" s="158"/>
      <c r="E61" s="438">
        <f>SUM(E56:E59)</f>
        <v>62732139</v>
      </c>
      <c r="F61" s="1651"/>
      <c r="G61" s="438">
        <f>SUM(G56:G59)</f>
        <v>68724430.21</v>
      </c>
      <c r="H61" s="1259">
        <f>G61/'E Budg CY'!N46-1</f>
        <v>0.09552186975</v>
      </c>
      <c r="I61" s="438">
        <f>SUM(I56:I59)</f>
        <v>69406600.32</v>
      </c>
      <c r="J61" s="1259">
        <f>I61/G61-1</f>
        <v>0.009926166122</v>
      </c>
      <c r="K61" s="438">
        <f>SUM(K56:K59)</f>
        <v>103900170.2</v>
      </c>
      <c r="L61" s="1259">
        <f>K61/I61-1</f>
        <v>0.496978237</v>
      </c>
      <c r="M61" s="438">
        <f>SUM(M56:M59)</f>
        <v>106567942.5</v>
      </c>
      <c r="N61" s="1259">
        <f>M61/K61-1</f>
        <v>0.02567630397</v>
      </c>
      <c r="O61" s="438">
        <f>SUM(O56:O59)</f>
        <v>107845593.6</v>
      </c>
      <c r="P61" s="1259">
        <f>O61/M61-1</f>
        <v>0.01198907472</v>
      </c>
      <c r="Q61" s="438">
        <f>SUM(Q56:Q59)</f>
        <v>108478262.4</v>
      </c>
      <c r="R61" s="1259">
        <f>Q61/O61-1</f>
        <v>0.005866432237</v>
      </c>
      <c r="S61" s="1"/>
      <c r="T61" s="1"/>
      <c r="U61" s="1"/>
      <c r="V61" s="1"/>
      <c r="W61" s="1"/>
      <c r="X61" s="1"/>
      <c r="Y61" s="1"/>
      <c r="Z61" s="1"/>
    </row>
    <row r="62" ht="7.5" customHeight="1">
      <c r="A62" s="1"/>
      <c r="B62" s="89"/>
      <c r="C62" s="89"/>
      <c r="D62" s="89"/>
      <c r="E62" s="1178"/>
      <c r="F62" s="82"/>
      <c r="G62" s="1178"/>
      <c r="H62" s="437"/>
      <c r="I62" s="1178"/>
      <c r="J62" s="437"/>
      <c r="K62" s="1178"/>
      <c r="L62" s="437"/>
      <c r="M62" s="1178"/>
      <c r="N62" s="437"/>
      <c r="O62" s="1178"/>
      <c r="P62" s="437"/>
      <c r="Q62" s="1178"/>
      <c r="R62" s="437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158" t="s">
        <v>199</v>
      </c>
      <c r="C63" s="158"/>
      <c r="D63" s="158"/>
      <c r="E63" s="438"/>
      <c r="F63" s="1651"/>
      <c r="G63" s="438"/>
      <c r="H63" s="437"/>
      <c r="I63" s="438"/>
      <c r="J63" s="437"/>
      <c r="K63" s="438"/>
      <c r="L63" s="437"/>
      <c r="M63" s="438"/>
      <c r="N63" s="437"/>
      <c r="O63" s="438"/>
      <c r="P63" s="437"/>
      <c r="Q63" s="438"/>
      <c r="R63" s="437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"/>
      <c r="B64" s="89" t="s">
        <v>662</v>
      </c>
      <c r="C64" s="89"/>
      <c r="D64" s="89"/>
      <c r="E64" s="438">
        <f>'P Fcast 5yr'!E24+E6</f>
        <v>36462423.71</v>
      </c>
      <c r="F64" s="82"/>
      <c r="G64" s="438">
        <f>'P Fcast 5yr'!G24+G6</f>
        <v>37482130.83</v>
      </c>
      <c r="H64" s="438"/>
      <c r="I64" s="438">
        <f>'P Fcast 5yr'!I24+I6</f>
        <v>40579292</v>
      </c>
      <c r="J64" s="437"/>
      <c r="K64" s="438">
        <f>K6+IF(K18&gt;0,'P Fcast 5yr'!K24*(1+(K18/'F Population'!W20*$C46)),'P Fcast 5yr'!K24*(1+(K18/'F Population'!W20*$A46)))</f>
        <v>41786825.57</v>
      </c>
      <c r="L64" s="437"/>
      <c r="M64" s="438">
        <f>M6+IF(M18&gt;0,'P Fcast 5yr'!M24*(1+(M18/'F Population'!Y20*$C46)),'P Fcast 5yr'!M24*(1+(M18/'F Population'!Y20*$A46)))</f>
        <v>43258624.71</v>
      </c>
      <c r="N64" s="438"/>
      <c r="O64" s="438">
        <f>O6+IF(O18&gt;0,'P Fcast 5yr'!O24*(1+(O18/'F Population'!AA20*$C46)),'P Fcast 5yr'!O24*(1+(O18/'F Population'!AA20*$A46)))</f>
        <v>44447077.14</v>
      </c>
      <c r="P64" s="438"/>
      <c r="Q64" s="438">
        <f>Q6+IF(Q18&gt;0,'P Fcast 5yr'!Q24*(1+(Q18/'F Population'!AC20*$C46)),'P Fcast 5yr'!Q24*(1+(Q18/'F Population'!AC20*$A46)))</f>
        <v>45570370.62</v>
      </c>
      <c r="R64" s="438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"/>
      <c r="B65" s="89" t="s">
        <v>663</v>
      </c>
      <c r="C65" s="89"/>
      <c r="D65" s="89"/>
      <c r="E65" s="1142">
        <f>'P Fcast 5yr'!E25</f>
        <v>2834988</v>
      </c>
      <c r="F65" s="82"/>
      <c r="G65" s="1142">
        <f>'P Fcast 5yr'!G25</f>
        <v>3032700</v>
      </c>
      <c r="H65" s="438"/>
      <c r="I65" s="1142">
        <f>'P Fcast 5yr'!I25</f>
        <v>3750000</v>
      </c>
      <c r="J65" s="437"/>
      <c r="K65" s="1142">
        <f>'P Fcast 5yr'!K25</f>
        <v>3975000</v>
      </c>
      <c r="L65" s="438"/>
      <c r="M65" s="1142">
        <f>'P Fcast 5yr'!M25</f>
        <v>4173750</v>
      </c>
      <c r="N65" s="438"/>
      <c r="O65" s="1142">
        <f>'P Fcast 5yr'!O25</f>
        <v>4382437.5</v>
      </c>
      <c r="P65" s="438"/>
      <c r="Q65" s="1142">
        <f>'P Fcast 5yr'!Q25</f>
        <v>4601559.375</v>
      </c>
      <c r="R65" s="438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89" t="s">
        <v>129</v>
      </c>
      <c r="C66" s="89"/>
      <c r="D66" s="89"/>
      <c r="E66" s="291">
        <f>'P Fcast 5yr'!E26</f>
        <v>8377045</v>
      </c>
      <c r="F66" s="82"/>
      <c r="G66" s="291">
        <f>'P Fcast 5yr'!G26</f>
        <v>8415372</v>
      </c>
      <c r="H66" s="437"/>
      <c r="I66" s="291">
        <f>'P Fcast 5yr'!I26</f>
        <v>8556000</v>
      </c>
      <c r="J66" s="437"/>
      <c r="K66" s="291">
        <f>'P Fcast 5yr'!K26</f>
        <v>8448000</v>
      </c>
      <c r="L66" s="437"/>
      <c r="M66" s="291">
        <f>'P Fcast 5yr'!M26</f>
        <v>8330000</v>
      </c>
      <c r="N66" s="437"/>
      <c r="O66" s="291">
        <f>'P Fcast 5yr'!O26</f>
        <v>8360000</v>
      </c>
      <c r="P66" s="437"/>
      <c r="Q66" s="291">
        <f>'P Fcast 5yr'!Q26</f>
        <v>8580000</v>
      </c>
      <c r="R66" s="437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89" t="s">
        <v>207</v>
      </c>
      <c r="C67" s="89"/>
      <c r="D67" s="89"/>
      <c r="E67" s="291">
        <f>'P Fcast 5yr'!E27</f>
        <v>6339780</v>
      </c>
      <c r="F67" s="82"/>
      <c r="G67" s="291">
        <f>'P Fcast 5yr'!G27</f>
        <v>6801342</v>
      </c>
      <c r="H67" s="437"/>
      <c r="I67" s="291">
        <f>'P Fcast 5yr'!I27</f>
        <v>6750000</v>
      </c>
      <c r="J67" s="437"/>
      <c r="K67" s="438">
        <f>'P Fcast 5yr'!K27*(K20/AVERAGE('F Population'!W20,'F Population'!W41))</f>
        <v>6950862.342</v>
      </c>
      <c r="L67" s="437"/>
      <c r="M67" s="438">
        <f>'P Fcast 5yr'!M27*(M20/AVERAGE('F Population'!Y20,'F Population'!Y41))</f>
        <v>7195682.881</v>
      </c>
      <c r="N67" s="437"/>
      <c r="O67" s="438">
        <f>'P Fcast 5yr'!O27*(O20/AVERAGE('F Population'!AA20,'F Population'!AA41))</f>
        <v>7393371.247</v>
      </c>
      <c r="P67" s="437"/>
      <c r="Q67" s="438">
        <f>'P Fcast 5yr'!Q27*(Q20/AVERAGE('F Population'!AC20,'F Population'!AC41))</f>
        <v>7580221.008</v>
      </c>
      <c r="R67" s="437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"/>
      <c r="B68" s="89" t="s">
        <v>1010</v>
      </c>
      <c r="C68" s="89"/>
      <c r="D68" s="89"/>
      <c r="E68" s="438">
        <f>'P Fcast 5yr'!E28</f>
        <v>0</v>
      </c>
      <c r="F68" s="82"/>
      <c r="G68" s="438">
        <f>'P Fcast 5yr'!G28</f>
        <v>105000</v>
      </c>
      <c r="H68" s="1"/>
      <c r="I68" s="438">
        <f>'P Fcast 5yr'!I28</f>
        <v>105000</v>
      </c>
      <c r="J68" s="437"/>
      <c r="K68" s="438">
        <f>'P Fcast 5yr'!K28</f>
        <v>357625</v>
      </c>
      <c r="L68" s="437"/>
      <c r="M68" s="438">
        <f>'P Fcast 5yr'!M28</f>
        <v>766565.625</v>
      </c>
      <c r="N68" s="437"/>
      <c r="O68" s="438">
        <f>'P Fcast 5yr'!O28</f>
        <v>1035729.766</v>
      </c>
      <c r="P68" s="437"/>
      <c r="Q68" s="438">
        <f>'P Fcast 5yr'!Q28</f>
        <v>1311623.01</v>
      </c>
      <c r="R68" s="437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"/>
      <c r="B69" s="89" t="s">
        <v>118</v>
      </c>
      <c r="C69" s="89"/>
      <c r="D69" s="89"/>
      <c r="E69" s="1142">
        <f>'P Fcast 5yr'!E29</f>
        <v>1392731.288</v>
      </c>
      <c r="F69" s="82"/>
      <c r="G69" s="1142">
        <f>'P Fcast 5yr'!G29</f>
        <v>1497652.397</v>
      </c>
      <c r="H69" s="1"/>
      <c r="I69" s="1142">
        <f>'P Fcast 5yr'!I29</f>
        <v>1606389.943</v>
      </c>
      <c r="J69" s="437"/>
      <c r="K69" s="1142">
        <f>'P Fcast 5yr'!K29</f>
        <v>1564977.256</v>
      </c>
      <c r="L69" s="437"/>
      <c r="M69" s="1142">
        <f>'P Fcast 5yr'!M29</f>
        <v>1521831.018</v>
      </c>
      <c r="N69" s="437"/>
      <c r="O69" s="1142">
        <f>'P Fcast 5yr'!O29</f>
        <v>1476895.026</v>
      </c>
      <c r="P69" s="437"/>
      <c r="Q69" s="1142">
        <f>'P Fcast 5yr'!Q29</f>
        <v>1416318.381</v>
      </c>
      <c r="R69" s="437"/>
      <c r="S69" s="1"/>
      <c r="T69" s="1"/>
      <c r="U69" s="1"/>
      <c r="V69" s="1"/>
      <c r="W69" s="1"/>
      <c r="X69" s="1"/>
      <c r="Y69" s="1"/>
      <c r="Z69" s="1"/>
    </row>
    <row r="70" ht="13.5" customHeight="1">
      <c r="A70" s="1"/>
      <c r="B70" s="89" t="s">
        <v>1012</v>
      </c>
      <c r="C70" s="89"/>
      <c r="D70" s="89"/>
      <c r="E70" s="1142" t="str">
        <f>'P Fcast 5yr'!E30</f>
        <v/>
      </c>
      <c r="F70" s="82"/>
      <c r="G70" s="1142">
        <f>'P Fcast 5yr'!G30</f>
        <v>231140</v>
      </c>
      <c r="H70" s="1"/>
      <c r="I70" s="1142">
        <f>'P Fcast 5yr'!I30</f>
        <v>0</v>
      </c>
      <c r="J70" s="437"/>
      <c r="K70" s="1142">
        <f>'P Fcast 5yr'!K30</f>
        <v>0</v>
      </c>
      <c r="L70" s="437"/>
      <c r="M70" s="1142">
        <f>'P Fcast 5yr'!M30</f>
        <v>0</v>
      </c>
      <c r="N70" s="437"/>
      <c r="O70" s="1142">
        <f>'P Fcast 5yr'!O30</f>
        <v>0</v>
      </c>
      <c r="P70" s="437"/>
      <c r="Q70" s="1142">
        <f>'P Fcast 5yr'!Q30</f>
        <v>0</v>
      </c>
      <c r="R70" s="437"/>
      <c r="S70" s="1"/>
      <c r="T70" s="1"/>
      <c r="U70" s="1"/>
      <c r="V70" s="1"/>
      <c r="W70" s="1"/>
      <c r="X70" s="1"/>
      <c r="Y70" s="1"/>
      <c r="Z70" s="1"/>
    </row>
    <row r="71" ht="13.5" customHeight="1">
      <c r="A71" s="1"/>
      <c r="B71" s="89" t="s">
        <v>671</v>
      </c>
      <c r="C71" s="89"/>
      <c r="D71" s="89"/>
      <c r="E71" s="1146" t="str">
        <f>'P Fcast 5yr'!E31</f>
        <v/>
      </c>
      <c r="F71" s="1663"/>
      <c r="G71" s="1146" t="str">
        <f>'P Fcast 5yr'!G31</f>
        <v/>
      </c>
      <c r="H71" s="811"/>
      <c r="I71" s="1146" t="str">
        <f>'P Fcast 5yr'!I31</f>
        <v/>
      </c>
      <c r="J71" s="972"/>
      <c r="K71" s="1146" t="str">
        <f>'P Fcast 5yr'!K31</f>
        <v/>
      </c>
      <c r="L71" s="972"/>
      <c r="M71" s="1146" t="str">
        <f>'P Fcast 5yr'!M31</f>
        <v/>
      </c>
      <c r="N71" s="972"/>
      <c r="O71" s="1146" t="str">
        <f>'P Fcast 5yr'!O31</f>
        <v/>
      </c>
      <c r="P71" s="972"/>
      <c r="Q71" s="1146" t="str">
        <f>'P Fcast 5yr'!Q31</f>
        <v/>
      </c>
      <c r="R71" s="437"/>
      <c r="S71" s="1"/>
      <c r="T71" s="1"/>
      <c r="U71" s="1"/>
      <c r="V71" s="1"/>
      <c r="W71" s="1"/>
      <c r="X71" s="1"/>
      <c r="Y71" s="1"/>
      <c r="Z71" s="1"/>
    </row>
    <row r="72" ht="14.25" customHeight="1">
      <c r="A72" s="1"/>
      <c r="B72" s="132" t="s">
        <v>131</v>
      </c>
      <c r="C72" s="132"/>
      <c r="D72" s="132"/>
      <c r="E72" s="438">
        <f>SUM(E64:E70)</f>
        <v>55406968</v>
      </c>
      <c r="F72" s="1651"/>
      <c r="G72" s="438">
        <f>SUM(G64:G71)</f>
        <v>57565337.22</v>
      </c>
      <c r="H72" s="1"/>
      <c r="I72" s="438">
        <f>SUM(I64:I71)</f>
        <v>61346681.94</v>
      </c>
      <c r="J72" s="437"/>
      <c r="K72" s="438">
        <f>SUM(K64:K71)</f>
        <v>63083290.17</v>
      </c>
      <c r="L72" s="437"/>
      <c r="M72" s="438">
        <f>SUM(M64:M71)</f>
        <v>65246454.23</v>
      </c>
      <c r="N72" s="437"/>
      <c r="O72" s="438">
        <f>SUM(O64:O71)</f>
        <v>67095510.68</v>
      </c>
      <c r="P72" s="437"/>
      <c r="Q72" s="438">
        <f>SUM(Q64:Q71)</f>
        <v>69060092.4</v>
      </c>
      <c r="R72" s="437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32" t="s">
        <v>133</v>
      </c>
      <c r="C73" s="132"/>
      <c r="D73" s="132"/>
      <c r="E73" s="1135">
        <f>'P Fcast 5yr'!E33</f>
        <v>6937000</v>
      </c>
      <c r="F73" s="1651"/>
      <c r="G73" s="1135">
        <f>'P Fcast 5yr'!G33</f>
        <v>7039635.775</v>
      </c>
      <c r="H73" s="1"/>
      <c r="I73" s="1135">
        <f>'P Fcast 5yr'!I33</f>
        <v>6977450.781</v>
      </c>
      <c r="J73" s="437"/>
      <c r="K73" s="1178">
        <f>'L Capital'!T192</f>
        <v>7015315.996</v>
      </c>
      <c r="L73" s="437"/>
      <c r="M73" s="1178">
        <f>'L Capital'!X192</f>
        <v>6989512.796</v>
      </c>
      <c r="N73" s="437"/>
      <c r="O73" s="1178">
        <f>'L Capital'!AB192</f>
        <v>6961543.437</v>
      </c>
      <c r="P73" s="437"/>
      <c r="Q73" s="1178">
        <f>'L Capital'!AF192</f>
        <v>6936133.466</v>
      </c>
      <c r="R73" s="437"/>
      <c r="S73" s="1"/>
      <c r="T73" s="1"/>
      <c r="U73" s="1"/>
      <c r="V73" s="1"/>
      <c r="W73" s="1"/>
      <c r="X73" s="1"/>
      <c r="Y73" s="1"/>
      <c r="Z73" s="1"/>
    </row>
    <row r="74" ht="7.5" customHeight="1">
      <c r="A74" s="1"/>
      <c r="B74" s="1303" t="s">
        <v>475</v>
      </c>
      <c r="C74" s="89"/>
      <c r="D74" s="89"/>
      <c r="E74" s="438"/>
      <c r="F74" s="82"/>
      <c r="G74" s="438"/>
      <c r="H74" s="1"/>
      <c r="I74" s="438"/>
      <c r="J74" s="437"/>
      <c r="K74" s="438"/>
      <c r="L74" s="437"/>
      <c r="M74" s="438"/>
      <c r="N74" s="437"/>
      <c r="O74" s="438"/>
      <c r="P74" s="437"/>
      <c r="Q74" s="438"/>
      <c r="R74" s="437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132" t="s">
        <v>1016</v>
      </c>
      <c r="C75" s="158"/>
      <c r="D75" s="158"/>
      <c r="E75" s="1178">
        <f>E72+E73</f>
        <v>62343968</v>
      </c>
      <c r="F75" s="1651"/>
      <c r="G75" s="1178">
        <f>G72+G73</f>
        <v>64604973</v>
      </c>
      <c r="H75" s="437">
        <f>G75/'E Budg CY'!N83-1</f>
        <v>0.03626662005</v>
      </c>
      <c r="I75" s="1178">
        <f>I72+I73</f>
        <v>68324132.72</v>
      </c>
      <c r="J75" s="1259">
        <f>I75/G75-1</f>
        <v>0.0575677003</v>
      </c>
      <c r="K75" s="1178">
        <f>K72+K73</f>
        <v>70098606.17</v>
      </c>
      <c r="L75" s="1259">
        <f>K75/I75-1</f>
        <v>0.02597140091</v>
      </c>
      <c r="M75" s="1178">
        <f>M72+M73</f>
        <v>72235967.03</v>
      </c>
      <c r="N75" s="1259">
        <f>M75/K75-1</f>
        <v>0.03049077545</v>
      </c>
      <c r="O75" s="1178">
        <f>O72+O73</f>
        <v>74057054.11</v>
      </c>
      <c r="P75" s="1259">
        <f>O75/M75-1</f>
        <v>0.02521025413</v>
      </c>
      <c r="Q75" s="1178">
        <f>Q72+Q73</f>
        <v>75996225.86</v>
      </c>
      <c r="R75" s="1259">
        <f>Q75/O75-1</f>
        <v>0.0261848351</v>
      </c>
      <c r="S75" s="1"/>
      <c r="T75" s="1"/>
      <c r="U75" s="1"/>
      <c r="V75" s="1"/>
      <c r="W75" s="1"/>
      <c r="X75" s="1"/>
      <c r="Y75" s="1"/>
      <c r="Z75" s="1"/>
    </row>
    <row r="76" ht="7.5" customHeight="1">
      <c r="A76" s="1"/>
      <c r="B76" s="1303"/>
      <c r="C76" s="89"/>
      <c r="D76" s="89"/>
      <c r="E76" s="438"/>
      <c r="F76" s="82"/>
      <c r="G76" s="438"/>
      <c r="H76" s="1"/>
      <c r="I76" s="438"/>
      <c r="J76" s="437"/>
      <c r="K76" s="438"/>
      <c r="L76" s="437"/>
      <c r="M76" s="438"/>
      <c r="N76" s="437"/>
      <c r="O76" s="438"/>
      <c r="P76" s="437"/>
      <c r="Q76" s="438"/>
      <c r="R76" s="437"/>
      <c r="S76" s="1"/>
      <c r="T76" s="1"/>
      <c r="U76" s="1"/>
      <c r="V76" s="1"/>
      <c r="W76" s="1"/>
      <c r="X76" s="1"/>
      <c r="Y76" s="1"/>
      <c r="Z76" s="1"/>
    </row>
    <row r="77" ht="13.5" customHeight="1">
      <c r="A77" s="1"/>
      <c r="B77" s="132" t="s">
        <v>789</v>
      </c>
      <c r="C77" s="158"/>
      <c r="D77" s="158"/>
      <c r="E77" s="438">
        <f>E61-E75</f>
        <v>388171</v>
      </c>
      <c r="F77" s="1651"/>
      <c r="G77" s="438">
        <f>G61-G75</f>
        <v>4119457.211</v>
      </c>
      <c r="H77" s="1671"/>
      <c r="I77" s="438">
        <f>I61-I75</f>
        <v>1082467.598</v>
      </c>
      <c r="J77" s="1143"/>
      <c r="K77" s="438">
        <f>K61-K75</f>
        <v>33801564.02</v>
      </c>
      <c r="L77" s="1143"/>
      <c r="M77" s="438">
        <f>M61-M75</f>
        <v>34331975.51</v>
      </c>
      <c r="N77" s="1143"/>
      <c r="O77" s="438">
        <f>O61-O75</f>
        <v>33788539.45</v>
      </c>
      <c r="P77" s="1143"/>
      <c r="Q77" s="438">
        <f>Q61-Q75</f>
        <v>32482036.57</v>
      </c>
      <c r="R77" s="1143"/>
      <c r="S77" s="1"/>
      <c r="T77" s="1"/>
      <c r="U77" s="1"/>
      <c r="V77" s="1"/>
      <c r="W77" s="1"/>
      <c r="X77" s="1"/>
      <c r="Y77" s="1"/>
      <c r="Z77" s="1"/>
    </row>
    <row r="78" ht="13.5" customHeight="1">
      <c r="A78" s="1"/>
      <c r="B78" s="132" t="s">
        <v>791</v>
      </c>
      <c r="C78" s="158"/>
      <c r="D78" s="158"/>
      <c r="E78" s="438">
        <f>'P Fcast 5yr'!E38</f>
        <v>1657229</v>
      </c>
      <c r="F78" s="1651"/>
      <c r="G78" s="438">
        <f>'P Fcast 5yr'!G38</f>
        <v>2934772</v>
      </c>
      <c r="H78" s="1671"/>
      <c r="I78" s="438">
        <f>'P Fcast 5yr'!I38</f>
        <v>3200000</v>
      </c>
      <c r="J78" s="1143"/>
      <c r="K78" s="438">
        <f>'P Fcast 5yr'!K38</f>
        <v>1300000</v>
      </c>
      <c r="L78" s="1143"/>
      <c r="M78" s="438">
        <f>'P Fcast 5yr'!M38</f>
        <v>0</v>
      </c>
      <c r="N78" s="1143"/>
      <c r="O78" s="438">
        <f>'P Fcast 5yr'!O38</f>
        <v>0</v>
      </c>
      <c r="P78" s="1143"/>
      <c r="Q78" s="438">
        <f>'P Fcast 5yr'!Q38</f>
        <v>0</v>
      </c>
      <c r="R78" s="1143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315" t="s">
        <v>969</v>
      </c>
      <c r="C79" s="1"/>
      <c r="D79" s="1"/>
      <c r="E79" s="1135">
        <f>'P Fcast 5yr'!E39</f>
        <v>-1030000</v>
      </c>
      <c r="F79" s="1"/>
      <c r="G79" s="1135">
        <f>'P Fcast 5yr'!G39</f>
        <v>-370070</v>
      </c>
      <c r="H79" s="1"/>
      <c r="I79" s="1135">
        <f>'P Fcast 5yr'!I39</f>
        <v>1260000</v>
      </c>
      <c r="J79" s="1"/>
      <c r="K79" s="1262">
        <f>'M Non student'!J38</f>
        <v>500000</v>
      </c>
      <c r="L79" s="1"/>
      <c r="M79" s="1262">
        <f>'M Non student'!L38</f>
        <v>500000</v>
      </c>
      <c r="N79" s="1"/>
      <c r="O79" s="1262">
        <f>'M Non student'!N38</f>
        <v>500000</v>
      </c>
      <c r="P79" s="1"/>
      <c r="Q79" s="1262">
        <f>'M Non student'!P38</f>
        <v>500000</v>
      </c>
      <c r="R79" s="1"/>
      <c r="S79" s="1"/>
      <c r="T79" s="1"/>
      <c r="U79" s="1"/>
      <c r="V79" s="1"/>
      <c r="W79" s="1"/>
      <c r="X79" s="1"/>
      <c r="Y79" s="1"/>
      <c r="Z79" s="1"/>
    </row>
    <row r="80" ht="6.75" customHeight="1">
      <c r="A80" s="1"/>
      <c r="B80" s="1315"/>
      <c r="C80" s="1"/>
      <c r="D80" s="1"/>
      <c r="E80" s="1155"/>
      <c r="F80" s="1"/>
      <c r="G80" s="1155"/>
      <c r="H80" s="1"/>
      <c r="I80" s="1155"/>
      <c r="J80" s="1"/>
      <c r="K80" s="1155"/>
      <c r="L80" s="1"/>
      <c r="M80" s="1155"/>
      <c r="N80" s="1"/>
      <c r="O80" s="1155"/>
      <c r="P80" s="1"/>
      <c r="Q80" s="1155"/>
      <c r="R80" s="1"/>
      <c r="S80" s="1"/>
      <c r="T80" s="1"/>
      <c r="U80" s="1"/>
      <c r="V80" s="1"/>
      <c r="W80" s="1"/>
      <c r="X80" s="1"/>
      <c r="Y80" s="1"/>
      <c r="Z80" s="1"/>
    </row>
    <row r="81" ht="13.5" customHeight="1">
      <c r="A81" s="1"/>
      <c r="B81" s="132" t="s">
        <v>796</v>
      </c>
      <c r="C81" s="89"/>
      <c r="D81" s="89"/>
      <c r="E81" s="1142">
        <f>SUM(E77:E79)</f>
        <v>1015400</v>
      </c>
      <c r="F81" s="89"/>
      <c r="G81" s="1142">
        <f>SUM(G77:G79)</f>
        <v>6684159.211</v>
      </c>
      <c r="H81" s="1"/>
      <c r="I81" s="1142">
        <f>SUM(I77:I79)</f>
        <v>5542467.598</v>
      </c>
      <c r="J81" s="437"/>
      <c r="K81" s="1142">
        <f>SUM(K77:K79)</f>
        <v>35601564.02</v>
      </c>
      <c r="L81" s="437"/>
      <c r="M81" s="1142">
        <f>SUM(M77:M79)</f>
        <v>34831975.51</v>
      </c>
      <c r="N81" s="437"/>
      <c r="O81" s="1142">
        <f>SUM(O77:O79)</f>
        <v>34288539.45</v>
      </c>
      <c r="P81" s="1"/>
      <c r="Q81" s="1142">
        <f>SUM(Q77:Q79)</f>
        <v>32982036.57</v>
      </c>
      <c r="R81" s="437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32" t="s">
        <v>801</v>
      </c>
      <c r="C82" s="89"/>
      <c r="D82" s="89"/>
      <c r="E82" s="291">
        <f>'P Fcast 5yr'!E42</f>
        <v>5974337</v>
      </c>
      <c r="F82" s="291"/>
      <c r="G82" s="291">
        <f>'P Fcast 5yr'!G42</f>
        <v>4949337.403</v>
      </c>
      <c r="H82" s="1155"/>
      <c r="I82" s="291">
        <f>'P Fcast 5yr'!I42</f>
        <v>3896774.598</v>
      </c>
      <c r="J82" s="1323"/>
      <c r="K82" s="1155">
        <f>'M Non student'!J139</f>
        <v>5473209.415</v>
      </c>
      <c r="L82" s="1323"/>
      <c r="M82" s="1155">
        <f>'M Non student'!L139</f>
        <v>5246692.256</v>
      </c>
      <c r="N82" s="1323"/>
      <c r="O82" s="1155">
        <f>'M Non student'!N139</f>
        <v>5591533.972</v>
      </c>
      <c r="P82" s="1323"/>
      <c r="Q82" s="1155">
        <f>'M Non student'!P139</f>
        <v>3413326.577</v>
      </c>
      <c r="R82" s="437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32" t="s">
        <v>804</v>
      </c>
      <c r="C83" s="89"/>
      <c r="D83" s="89"/>
      <c r="E83" s="1135">
        <f>'P Fcast 5yr'!E43</f>
        <v>3071226</v>
      </c>
      <c r="F83" s="291"/>
      <c r="G83" s="1135">
        <f>'P Fcast 5yr'!G43</f>
        <v>8000000</v>
      </c>
      <c r="H83" s="1155"/>
      <c r="I83" s="1135">
        <f>'P Fcast 5yr'!I43</f>
        <v>8000000</v>
      </c>
      <c r="J83" s="1323"/>
      <c r="K83" s="1295">
        <f>'R Bal sheets'!L38-'R Bal sheets'!J38</f>
        <v>7000000</v>
      </c>
      <c r="L83" s="1323"/>
      <c r="M83" s="1295">
        <f>'R Bal sheets'!N38-'R Bal sheets'!L38</f>
        <v>7200000</v>
      </c>
      <c r="N83" s="1323"/>
      <c r="O83" s="1295">
        <f>'R Bal sheets'!P38-'R Bal sheets'!N38</f>
        <v>7063000</v>
      </c>
      <c r="P83" s="1323"/>
      <c r="Q83" s="1295">
        <f>'R Bal sheets'!R38-'R Bal sheets'!P38</f>
        <v>3000000</v>
      </c>
      <c r="R83" s="437"/>
      <c r="S83" s="1"/>
      <c r="T83" s="1"/>
      <c r="U83" s="1"/>
      <c r="V83" s="1"/>
      <c r="W83" s="1"/>
      <c r="X83" s="1"/>
      <c r="Y83" s="1"/>
      <c r="Z83" s="1"/>
    </row>
    <row r="84" ht="6.0" customHeight="1">
      <c r="A84" s="1"/>
      <c r="B84" s="132"/>
      <c r="C84" s="89"/>
      <c r="D84" s="89"/>
      <c r="E84" s="1329"/>
      <c r="F84" s="89"/>
      <c r="G84" s="89"/>
      <c r="H84" s="1"/>
      <c r="I84" s="89"/>
      <c r="J84" s="437"/>
      <c r="K84" s="89"/>
      <c r="L84" s="437"/>
      <c r="M84" s="89"/>
      <c r="N84" s="437"/>
      <c r="O84" s="89"/>
      <c r="P84" s="437"/>
      <c r="Q84" s="89"/>
      <c r="R84" s="437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58" t="s">
        <v>157</v>
      </c>
      <c r="C85" s="89"/>
      <c r="D85" s="89"/>
      <c r="E85" s="303">
        <f>SUM(E81:E83)</f>
        <v>10060963</v>
      </c>
      <c r="F85" s="89"/>
      <c r="G85" s="303">
        <f>SUM(G81:G83)</f>
        <v>19633496.61</v>
      </c>
      <c r="H85" s="1"/>
      <c r="I85" s="303">
        <f>SUM(I81:I83)</f>
        <v>17439242.2</v>
      </c>
      <c r="J85" s="437"/>
      <c r="K85" s="303">
        <f>SUM(K81:K83)</f>
        <v>48074773.44</v>
      </c>
      <c r="L85" s="437"/>
      <c r="M85" s="303">
        <f>SUM(M81:M83)</f>
        <v>47278667.77</v>
      </c>
      <c r="N85" s="437"/>
      <c r="O85" s="303">
        <f>SUM(O81:O83)</f>
        <v>46943073.43</v>
      </c>
      <c r="P85" s="437"/>
      <c r="Q85" s="303">
        <f>SUM(Q81:Q83)</f>
        <v>39395363.15</v>
      </c>
      <c r="R85" s="437"/>
      <c r="S85" s="1"/>
      <c r="T85" s="1"/>
      <c r="U85" s="1"/>
      <c r="V85" s="1"/>
      <c r="W85" s="1"/>
      <c r="X85" s="1"/>
      <c r="Y85" s="1"/>
      <c r="Z85" s="1"/>
    </row>
    <row r="86" ht="6.0" customHeight="1">
      <c r="A86" s="1"/>
      <c r="B86" s="158"/>
      <c r="C86" s="89"/>
      <c r="D86" s="89"/>
      <c r="E86" s="1331"/>
      <c r="F86" s="89"/>
      <c r="G86" s="1331"/>
      <c r="H86" s="1"/>
      <c r="I86" s="1331"/>
      <c r="J86" s="437"/>
      <c r="K86" s="1331"/>
      <c r="L86" s="437"/>
      <c r="M86" s="1331"/>
      <c r="N86" s="437"/>
      <c r="O86" s="1331"/>
      <c r="P86" s="437"/>
      <c r="Q86" s="1331"/>
      <c r="R86" s="437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58"/>
      <c r="C87" s="89"/>
      <c r="D87" s="89"/>
      <c r="E87" s="1329"/>
      <c r="F87" s="89"/>
      <c r="G87" s="89"/>
      <c r="H87" s="1"/>
      <c r="I87" s="438"/>
      <c r="J87" s="437"/>
      <c r="K87" s="438"/>
      <c r="L87" s="437"/>
      <c r="M87" s="438"/>
      <c r="N87" s="437"/>
      <c r="O87" s="438"/>
      <c r="P87" s="437"/>
      <c r="Q87" s="438"/>
      <c r="R87" s="437"/>
      <c r="S87" s="1"/>
      <c r="T87" s="1"/>
      <c r="U87" s="1"/>
      <c r="V87" s="1"/>
      <c r="W87" s="1"/>
      <c r="X87" s="1"/>
      <c r="Y87" s="1"/>
      <c r="Z87" s="1"/>
    </row>
    <row r="88" ht="15.0" customHeight="1">
      <c r="A88" s="1"/>
      <c r="B88" s="1"/>
      <c r="C88" s="89"/>
      <c r="D88" s="89"/>
      <c r="E88" s="89"/>
      <c r="F88" s="89"/>
      <c r="G88" s="189"/>
      <c r="H88" s="1"/>
      <c r="I88" s="438"/>
      <c r="J88" s="437"/>
      <c r="K88" s="438"/>
      <c r="L88" s="437"/>
      <c r="M88" s="438"/>
      <c r="N88" s="437"/>
      <c r="O88" s="438"/>
      <c r="P88" s="437"/>
      <c r="Q88" s="438"/>
      <c r="R88" s="437"/>
      <c r="S88" s="1"/>
      <c r="T88" s="1"/>
      <c r="U88" s="1"/>
      <c r="V88" s="1"/>
      <c r="W88" s="1"/>
      <c r="X88" s="1"/>
      <c r="Y88" s="1"/>
      <c r="Z88" s="1"/>
    </row>
    <row r="89" ht="24.0" customHeight="1">
      <c r="A89" s="1"/>
      <c r="B89" s="8" t="str">
        <f>'A Cover'!G$8</f>
        <v>Example University</v>
      </c>
      <c r="C89" s="89"/>
      <c r="D89" s="89"/>
      <c r="E89" s="89"/>
      <c r="F89" s="89"/>
      <c r="G89" s="89"/>
      <c r="H89" s="1"/>
      <c r="I89" s="438"/>
      <c r="J89" s="437"/>
      <c r="K89" s="438"/>
      <c r="L89" s="437"/>
      <c r="M89" s="438"/>
      <c r="N89" s="437"/>
      <c r="O89" s="438"/>
      <c r="P89" s="437"/>
      <c r="Q89" s="438"/>
      <c r="R89" s="437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8"/>
      <c r="C90" s="89"/>
      <c r="D90" s="89"/>
      <c r="E90" s="89"/>
      <c r="F90" s="89"/>
      <c r="G90" s="89"/>
      <c r="H90" s="1"/>
      <c r="I90" s="438"/>
      <c r="J90" s="437"/>
      <c r="K90" s="438"/>
      <c r="L90" s="437"/>
      <c r="M90" s="438"/>
      <c r="N90" s="437"/>
      <c r="O90" s="19">
        <f>'A Cover'!G$12</f>
        <v>46307</v>
      </c>
      <c r="P90" s="35"/>
      <c r="Q90" s="21"/>
      <c r="R90" s="5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8"/>
      <c r="C91" s="89"/>
      <c r="D91" s="89"/>
      <c r="E91" s="89"/>
      <c r="F91" s="89"/>
      <c r="G91" s="89"/>
      <c r="H91" s="1"/>
      <c r="I91" s="438"/>
      <c r="J91" s="437"/>
      <c r="K91" s="438"/>
      <c r="L91" s="437"/>
      <c r="M91" s="438"/>
      <c r="N91" s="437"/>
      <c r="O91" s="438"/>
      <c r="P91" s="1338"/>
      <c r="Q91" s="1338"/>
      <c r="R91" s="1338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89"/>
      <c r="C92" s="89"/>
      <c r="D92" s="89"/>
      <c r="E92" s="1339" t="s">
        <v>6</v>
      </c>
      <c r="F92" s="89"/>
      <c r="G92" s="1126" t="str">
        <f>IF('J Proj CY'!F$151&gt;0,"Projected","Budgeted")</f>
        <v>Projected</v>
      </c>
      <c r="H92" s="25"/>
      <c r="I92" s="1275" t="s">
        <v>812</v>
      </c>
      <c r="J92" s="35"/>
      <c r="K92" s="35"/>
      <c r="L92" s="35"/>
      <c r="M92" s="35"/>
      <c r="N92" s="35"/>
      <c r="O92" s="35"/>
      <c r="P92" s="35"/>
      <c r="Q92" s="21"/>
      <c r="R92" s="437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52" t="s">
        <v>216</v>
      </c>
      <c r="C93" s="152"/>
      <c r="D93" s="152"/>
      <c r="E93" s="1077" t="str">
        <f>'F Population'!N$6</f>
        <v>2025 - 26</v>
      </c>
      <c r="F93" s="39"/>
      <c r="G93" s="1077" t="str">
        <f>'F Population'!P$6</f>
        <v>2026 - 27</v>
      </c>
      <c r="H93" s="39"/>
      <c r="I93" s="1077" t="str">
        <f>'F Population'!U$6</f>
        <v>2027 - 28</v>
      </c>
      <c r="J93" s="437"/>
      <c r="K93" s="1077" t="str">
        <f>'F Population'!W$6</f>
        <v>2028 - 29</v>
      </c>
      <c r="L93" s="437"/>
      <c r="M93" s="1077" t="str">
        <f>'F Population'!Y$6</f>
        <v>2029 - 30</v>
      </c>
      <c r="N93" s="437"/>
      <c r="O93" s="1077" t="str">
        <f>'F Population'!AA$6</f>
        <v>2030 - 31</v>
      </c>
      <c r="P93" s="437"/>
      <c r="Q93" s="1077" t="str">
        <f>'F Population'!AC$6</f>
        <v>2031 - 32</v>
      </c>
      <c r="R93" s="437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341"/>
      <c r="C94" s="1341"/>
      <c r="D94" s="1341"/>
      <c r="E94" s="1341"/>
      <c r="F94" s="1341"/>
      <c r="G94" s="1341"/>
      <c r="H94" s="1"/>
      <c r="I94" s="438"/>
      <c r="J94" s="437"/>
      <c r="K94" s="438"/>
      <c r="L94" s="437"/>
      <c r="M94" s="438"/>
      <c r="N94" s="437"/>
      <c r="O94" s="438"/>
      <c r="P94" s="437"/>
      <c r="Q94" s="438"/>
      <c r="R94" s="437"/>
      <c r="S94" s="437"/>
      <c r="T94" s="437"/>
      <c r="U94" s="437"/>
      <c r="V94" s="437"/>
      <c r="W94" s="437"/>
      <c r="X94" s="437"/>
      <c r="Y94" s="437"/>
      <c r="Z94" s="437"/>
    </row>
    <row r="95" ht="14.25" customHeight="1">
      <c r="A95" s="1"/>
      <c r="B95" s="1185" t="s">
        <v>695</v>
      </c>
      <c r="C95" s="89"/>
      <c r="D95" s="89"/>
      <c r="E95" s="291">
        <f>E77</f>
        <v>388171</v>
      </c>
      <c r="F95" s="89"/>
      <c r="G95" s="291">
        <f>G85</f>
        <v>19633496.61</v>
      </c>
      <c r="H95" s="1"/>
      <c r="I95" s="291">
        <f>I85</f>
        <v>17439242.2</v>
      </c>
      <c r="J95" s="437"/>
      <c r="K95" s="291">
        <f>K85</f>
        <v>48074773.44</v>
      </c>
      <c r="L95" s="437"/>
      <c r="M95" s="291">
        <f>M85</f>
        <v>47278667.77</v>
      </c>
      <c r="N95" s="437"/>
      <c r="O95" s="291">
        <f>O85</f>
        <v>46943073.43</v>
      </c>
      <c r="P95" s="437"/>
      <c r="Q95" s="291">
        <f>Q85</f>
        <v>39395363.15</v>
      </c>
      <c r="R95" s="437"/>
      <c r="S95" s="437"/>
      <c r="T95" s="437"/>
      <c r="U95" s="437"/>
      <c r="V95" s="437"/>
      <c r="W95" s="437"/>
      <c r="X95" s="437"/>
      <c r="Y95" s="437"/>
      <c r="Z95" s="437"/>
    </row>
    <row r="96" ht="14.25" customHeight="1">
      <c r="A96" s="1"/>
      <c r="B96" s="1186" t="s">
        <v>696</v>
      </c>
      <c r="C96" s="1"/>
      <c r="D96" s="1"/>
      <c r="E96" s="1346"/>
      <c r="F96" s="1"/>
      <c r="G96" s="1155">
        <f>G73</f>
        <v>7039635.775</v>
      </c>
      <c r="H96" s="1"/>
      <c r="I96" s="1155">
        <f>I73</f>
        <v>6977450.781</v>
      </c>
      <c r="J96" s="437"/>
      <c r="K96" s="1155">
        <f>K73</f>
        <v>7015315.996</v>
      </c>
      <c r="L96" s="437"/>
      <c r="M96" s="1155">
        <f>M73</f>
        <v>6989512.796</v>
      </c>
      <c r="N96" s="437"/>
      <c r="O96" s="1155">
        <f>O73</f>
        <v>6961543.437</v>
      </c>
      <c r="P96" s="437"/>
      <c r="Q96" s="1155">
        <f>Q73</f>
        <v>6936133.466</v>
      </c>
      <c r="R96" s="437"/>
      <c r="S96" s="437"/>
      <c r="T96" s="437"/>
      <c r="U96" s="437"/>
      <c r="V96" s="437"/>
      <c r="W96" s="437"/>
      <c r="X96" s="437"/>
      <c r="Y96" s="437"/>
      <c r="Z96" s="437"/>
    </row>
    <row r="97" ht="14.25" customHeight="1">
      <c r="A97" s="1"/>
      <c r="B97" s="1185" t="s">
        <v>220</v>
      </c>
      <c r="C97" s="89"/>
      <c r="D97" s="89"/>
      <c r="E97" s="25" t="s">
        <v>222</v>
      </c>
      <c r="F97" s="89"/>
      <c r="G97" s="438">
        <f>'R Bal sheets'!F9+'R Bal sheets'!F11+'R Bal sheets'!F17-'R Bal sheets'!H9-'R Bal sheets'!H11-'R Bal sheets'!H17</f>
        <v>-918550.991</v>
      </c>
      <c r="H97" s="1"/>
      <c r="I97" s="438">
        <f>'R Bal sheets'!H9+'R Bal sheets'!H11+'R Bal sheets'!H17-'R Bal sheets'!J9-'R Bal sheets'!J11-'R Bal sheets'!J17</f>
        <v>-48249.72414</v>
      </c>
      <c r="J97" s="437"/>
      <c r="K97" s="438">
        <f>'R Bal sheets'!J9+'R Bal sheets'!J11+'R Bal sheets'!J17-'R Bal sheets'!L9-'R Bal sheets'!L11-'R Bal sheets'!L17</f>
        <v>1283877.924</v>
      </c>
      <c r="L97" s="437"/>
      <c r="M97" s="438">
        <f>'R Bal sheets'!L9+'R Bal sheets'!L11+'R Bal sheets'!L17-'R Bal sheets'!N9-'R Bal sheets'!N11-'R Bal sheets'!N17</f>
        <v>2210054.611</v>
      </c>
      <c r="N97" s="437"/>
      <c r="O97" s="438">
        <f>'R Bal sheets'!N9+'R Bal sheets'!N11+'R Bal sheets'!N17-'R Bal sheets'!P9-'R Bal sheets'!P11-'R Bal sheets'!P17</f>
        <v>3797688.898</v>
      </c>
      <c r="P97" s="437"/>
      <c r="Q97" s="438">
        <f>'R Bal sheets'!P9+'R Bal sheets'!P11+'R Bal sheets'!P17-'R Bal sheets'!R9-'R Bal sheets'!R11-'R Bal sheets'!R17</f>
        <v>374325.8573</v>
      </c>
      <c r="R97" s="437"/>
      <c r="S97" s="437"/>
      <c r="T97" s="437"/>
      <c r="U97" s="437"/>
      <c r="V97" s="437"/>
      <c r="W97" s="437"/>
      <c r="X97" s="437"/>
      <c r="Y97" s="437"/>
      <c r="Z97" s="437"/>
    </row>
    <row r="98" ht="14.25" customHeight="1">
      <c r="A98" s="1"/>
      <c r="B98" s="1185" t="s">
        <v>221</v>
      </c>
      <c r="C98" s="89"/>
      <c r="D98" s="89"/>
      <c r="E98" s="1"/>
      <c r="F98" s="89"/>
      <c r="G98" s="438">
        <f>'R Bal sheets'!F13-'R Bal sheets'!H13</f>
        <v>-9409109.403</v>
      </c>
      <c r="H98" s="1"/>
      <c r="I98" s="438">
        <f>'R Bal sheets'!H13-'R Bal sheets'!J13</f>
        <v>-10096774.6</v>
      </c>
      <c r="J98" s="437"/>
      <c r="K98" s="438">
        <f>'R Bal sheets'!J13-'R Bal sheets'!L13</f>
        <v>-10073209.42</v>
      </c>
      <c r="L98" s="437"/>
      <c r="M98" s="438">
        <f>'R Bal sheets'!L13-'R Bal sheets'!N13</f>
        <v>-9046692.256</v>
      </c>
      <c r="N98" s="437"/>
      <c r="O98" s="438">
        <f>'R Bal sheets'!N13-'R Bal sheets'!P13</f>
        <v>-9191533.972</v>
      </c>
      <c r="P98" s="437"/>
      <c r="Q98" s="438">
        <f>'R Bal sheets'!P13-'R Bal sheets'!R13</f>
        <v>-8976326.577</v>
      </c>
      <c r="R98" s="437"/>
      <c r="S98" s="437"/>
      <c r="T98" s="437"/>
      <c r="U98" s="437"/>
      <c r="V98" s="437"/>
      <c r="W98" s="437"/>
      <c r="X98" s="437"/>
      <c r="Y98" s="437"/>
      <c r="Z98" s="437"/>
    </row>
    <row r="99" ht="14.25" customHeight="1">
      <c r="A99" s="1"/>
      <c r="B99" s="89" t="s">
        <v>223</v>
      </c>
      <c r="C99" s="89"/>
      <c r="D99" s="89"/>
      <c r="E99" s="25" t="s">
        <v>819</v>
      </c>
      <c r="F99" s="89"/>
      <c r="G99" s="1155">
        <f>'R Bal sheets'!H24-'R Bal sheets'!F24</f>
        <v>434987.6797</v>
      </c>
      <c r="H99" s="1"/>
      <c r="I99" s="1155">
        <f>'R Bal sheets'!J24-'R Bal sheets'!H24</f>
        <v>816387.4696</v>
      </c>
      <c r="J99" s="437"/>
      <c r="K99" s="1155">
        <f>'R Bal sheets'!L24-'R Bal sheets'!J24</f>
        <v>267859.9471</v>
      </c>
      <c r="L99" s="437"/>
      <c r="M99" s="1155">
        <f>'R Bal sheets'!N24-'R Bal sheets'!L24</f>
        <v>479013.4952</v>
      </c>
      <c r="N99" s="437"/>
      <c r="O99" s="1155">
        <f>'R Bal sheets'!P24-'R Bal sheets'!N24</f>
        <v>409457.1495</v>
      </c>
      <c r="P99" s="437"/>
      <c r="Q99" s="1155">
        <f>'R Bal sheets'!R24-'R Bal sheets'!P24</f>
        <v>435039.1975</v>
      </c>
      <c r="R99" s="437"/>
      <c r="S99" s="437"/>
      <c r="T99" s="437"/>
      <c r="U99" s="437"/>
      <c r="V99" s="437"/>
      <c r="W99" s="437"/>
      <c r="X99" s="437"/>
      <c r="Y99" s="437"/>
      <c r="Z99" s="437"/>
    </row>
    <row r="100" ht="14.25" customHeight="1">
      <c r="A100" s="1"/>
      <c r="B100" s="89" t="s">
        <v>697</v>
      </c>
      <c r="C100" s="89"/>
      <c r="D100" s="89"/>
      <c r="E100" s="25"/>
      <c r="F100" s="89"/>
      <c r="G100" s="1155">
        <f>'R Bal sheets'!H30-'R Bal sheets'!F30</f>
        <v>0</v>
      </c>
      <c r="H100" s="1"/>
      <c r="I100" s="1155">
        <f>'R Bal sheets'!J30-'R Bal sheets'!H30</f>
        <v>0</v>
      </c>
      <c r="J100" s="437"/>
      <c r="K100" s="1155">
        <f>'R Bal sheets'!L30-'R Bal sheets'!J30</f>
        <v>0</v>
      </c>
      <c r="L100" s="437"/>
      <c r="M100" s="1155">
        <f>'R Bal sheets'!N30-'R Bal sheets'!L30</f>
        <v>0</v>
      </c>
      <c r="N100" s="437"/>
      <c r="O100" s="1155">
        <f>'R Bal sheets'!P30-'R Bal sheets'!N30</f>
        <v>0</v>
      </c>
      <c r="P100" s="437"/>
      <c r="Q100" s="1155">
        <f>'R Bal sheets'!R30-'R Bal sheets'!P30</f>
        <v>0</v>
      </c>
      <c r="R100" s="437"/>
      <c r="S100" s="437"/>
      <c r="T100" s="437"/>
      <c r="U100" s="437"/>
      <c r="V100" s="437"/>
      <c r="W100" s="437"/>
      <c r="X100" s="437"/>
      <c r="Y100" s="437"/>
      <c r="Z100" s="437"/>
    </row>
    <row r="101" ht="14.25" customHeight="1">
      <c r="A101" s="1"/>
      <c r="B101" s="89" t="s">
        <v>226</v>
      </c>
      <c r="C101" s="89"/>
      <c r="D101" s="89"/>
      <c r="E101" s="25"/>
      <c r="F101" s="89"/>
      <c r="G101" s="1155">
        <f>'P Fcast 5yr'!G61</f>
        <v>1000000</v>
      </c>
      <c r="H101" s="1"/>
      <c r="I101" s="1155">
        <f>'P Fcast 5yr'!I61</f>
        <v>-2000000</v>
      </c>
      <c r="J101" s="437"/>
      <c r="K101" s="1155">
        <f>'P Fcast 5yr'!K61</f>
        <v>0</v>
      </c>
      <c r="L101" s="437"/>
      <c r="M101" s="1155">
        <f>'P Fcast 5yr'!M61</f>
        <v>0</v>
      </c>
      <c r="N101" s="437"/>
      <c r="O101" s="1155">
        <f>'P Fcast 5yr'!O61</f>
        <v>0</v>
      </c>
      <c r="P101" s="437"/>
      <c r="Q101" s="1155">
        <f>'P Fcast 5yr'!Q61</f>
        <v>0</v>
      </c>
      <c r="R101" s="437"/>
      <c r="S101" s="437"/>
      <c r="T101" s="437"/>
      <c r="U101" s="437"/>
      <c r="V101" s="437"/>
      <c r="W101" s="437"/>
      <c r="X101" s="437"/>
      <c r="Y101" s="437"/>
      <c r="Z101" s="437"/>
    </row>
    <row r="102" ht="14.25" customHeight="1">
      <c r="A102" s="1"/>
      <c r="B102" s="89" t="s">
        <v>227</v>
      </c>
      <c r="C102" s="89"/>
      <c r="D102" s="89"/>
      <c r="E102" s="1357" t="s">
        <v>822</v>
      </c>
      <c r="F102" s="89"/>
      <c r="G102" s="1155">
        <f>'P Fcast 5yr'!G62</f>
        <v>6195564.816</v>
      </c>
      <c r="H102" s="1"/>
      <c r="I102" s="1155">
        <f>'P Fcast 5yr'!I62</f>
        <v>-854733.6545</v>
      </c>
      <c r="J102" s="437"/>
      <c r="K102" s="1155">
        <f>'P Fcast 5yr'!K62</f>
        <v>-884711.3421</v>
      </c>
      <c r="L102" s="437"/>
      <c r="M102" s="1155">
        <f>'P Fcast 5yr'!M62</f>
        <v>-925207.5793</v>
      </c>
      <c r="N102" s="437"/>
      <c r="O102" s="1155">
        <f>'P Fcast 5yr'!O62</f>
        <v>-957256.072</v>
      </c>
      <c r="P102" s="437"/>
      <c r="Q102" s="1155">
        <f>'P Fcast 5yr'!Q62</f>
        <v>-1612892.717</v>
      </c>
      <c r="R102" s="437"/>
      <c r="S102" s="437"/>
      <c r="T102" s="437"/>
      <c r="U102" s="437"/>
      <c r="V102" s="437"/>
      <c r="W102" s="437"/>
      <c r="X102" s="437"/>
      <c r="Y102" s="437"/>
      <c r="Z102" s="437"/>
    </row>
    <row r="103" ht="14.25" customHeight="1">
      <c r="A103" s="1"/>
      <c r="B103" s="89" t="s">
        <v>229</v>
      </c>
      <c r="C103" s="89"/>
      <c r="D103" s="89"/>
      <c r="E103" s="1357"/>
      <c r="F103" s="89"/>
      <c r="G103" s="291">
        <f>'P Fcast 5yr'!G63</f>
        <v>-10530000</v>
      </c>
      <c r="H103" s="1"/>
      <c r="I103" s="291">
        <f>'P Fcast 5yr'!I63</f>
        <v>-6260000</v>
      </c>
      <c r="J103" s="437"/>
      <c r="K103" s="291">
        <f>'P Fcast 5yr'!K63</f>
        <v>-1860000</v>
      </c>
      <c r="L103" s="437"/>
      <c r="M103" s="291">
        <f>'P Fcast 5yr'!M63</f>
        <v>-1000000</v>
      </c>
      <c r="N103" s="437"/>
      <c r="O103" s="291">
        <f>'P Fcast 5yr'!O63</f>
        <v>-1000000</v>
      </c>
      <c r="P103" s="437"/>
      <c r="Q103" s="291">
        <f>'P Fcast 5yr'!Q63</f>
        <v>-1000000</v>
      </c>
      <c r="R103" s="437"/>
      <c r="S103" s="437"/>
      <c r="T103" s="437"/>
      <c r="U103" s="437"/>
      <c r="V103" s="437"/>
      <c r="W103" s="437"/>
      <c r="X103" s="437"/>
      <c r="Y103" s="437"/>
      <c r="Z103" s="437"/>
    </row>
    <row r="104" ht="6.75" customHeight="1">
      <c r="A104" s="1"/>
      <c r="B104" s="89"/>
      <c r="C104" s="89"/>
      <c r="D104" s="89"/>
      <c r="E104" s="291"/>
      <c r="F104" s="89"/>
      <c r="G104" s="291"/>
      <c r="H104" s="1"/>
      <c r="I104" s="438"/>
      <c r="J104" s="437"/>
      <c r="K104" s="438"/>
      <c r="L104" s="437"/>
      <c r="M104" s="438"/>
      <c r="N104" s="437"/>
      <c r="O104" s="438"/>
      <c r="P104" s="437"/>
      <c r="Q104" s="438"/>
      <c r="R104" s="437"/>
      <c r="S104" s="437"/>
      <c r="T104" s="437"/>
      <c r="U104" s="437"/>
      <c r="V104" s="437"/>
      <c r="W104" s="437"/>
      <c r="X104" s="437"/>
      <c r="Y104" s="437"/>
      <c r="Z104" s="437"/>
    </row>
    <row r="105" ht="14.25" customHeight="1">
      <c r="A105" s="1"/>
      <c r="B105" s="158" t="s">
        <v>230</v>
      </c>
      <c r="C105" s="158"/>
      <c r="D105" s="158"/>
      <c r="E105" s="158"/>
      <c r="F105" s="158"/>
      <c r="G105" s="1263">
        <f>SUM(G95:G103)</f>
        <v>13446024.49</v>
      </c>
      <c r="H105" s="437"/>
      <c r="I105" s="1263">
        <f>SUM(I95:I104)</f>
        <v>5973322.47</v>
      </c>
      <c r="J105" s="437"/>
      <c r="K105" s="1263">
        <f>SUM(K95:K104)</f>
        <v>43823906.55</v>
      </c>
      <c r="L105" s="437"/>
      <c r="M105" s="1263">
        <f>SUM(M95:M104)</f>
        <v>45985348.84</v>
      </c>
      <c r="N105" s="437"/>
      <c r="O105" s="1263">
        <f>SUM(O95:O104)</f>
        <v>46962972.87</v>
      </c>
      <c r="P105" s="437"/>
      <c r="Q105" s="1263">
        <f>SUM(Q95:Q104)</f>
        <v>35551642.38</v>
      </c>
      <c r="R105" s="437"/>
      <c r="S105" s="437"/>
      <c r="T105" s="437"/>
      <c r="U105" s="437"/>
      <c r="V105" s="437"/>
      <c r="W105" s="437"/>
      <c r="X105" s="437"/>
      <c r="Y105" s="437"/>
      <c r="Z105" s="437"/>
    </row>
    <row r="106" ht="14.25" customHeight="1">
      <c r="A106" s="1"/>
      <c r="B106" s="89" t="s">
        <v>699</v>
      </c>
      <c r="C106" s="89"/>
      <c r="D106" s="89"/>
      <c r="E106" s="89"/>
      <c r="F106" s="89"/>
      <c r="G106" s="438">
        <f>'R Bal sheets'!F7</f>
        <v>6514000</v>
      </c>
      <c r="H106" s="437"/>
      <c r="I106" s="438">
        <f>'R Bal sheets'!H7</f>
        <v>22280024.49</v>
      </c>
      <c r="J106" s="437"/>
      <c r="K106" s="438">
        <f>'R Bal sheets'!J7</f>
        <v>30918180.52</v>
      </c>
      <c r="L106" s="437"/>
      <c r="M106" s="438">
        <f>'R Bal sheets'!L7</f>
        <v>43898407.05</v>
      </c>
      <c r="N106" s="437"/>
      <c r="O106" s="438">
        <f>'R Bal sheets'!N7</f>
        <v>58452577.5</v>
      </c>
      <c r="P106" s="437"/>
      <c r="Q106" s="438">
        <f>'R Bal sheets'!P7</f>
        <v>74025225.71</v>
      </c>
      <c r="R106" s="437"/>
      <c r="S106" s="437"/>
      <c r="T106" s="437"/>
      <c r="U106" s="437"/>
      <c r="V106" s="437"/>
      <c r="W106" s="437"/>
      <c r="X106" s="437"/>
      <c r="Y106" s="437"/>
      <c r="Z106" s="437"/>
    </row>
    <row r="107" ht="14.25" customHeight="1">
      <c r="A107" s="1"/>
      <c r="B107" s="89" t="s">
        <v>700</v>
      </c>
      <c r="C107" s="89"/>
      <c r="D107" s="89"/>
      <c r="E107" s="1395">
        <f>'R Bal sheets'!F7</f>
        <v>6514000</v>
      </c>
      <c r="F107" s="89"/>
      <c r="G107" s="1395">
        <f>G105+G106</f>
        <v>19960024.49</v>
      </c>
      <c r="H107" s="437"/>
      <c r="I107" s="1395">
        <f>I105+I106</f>
        <v>28253346.96</v>
      </c>
      <c r="J107" s="437"/>
      <c r="K107" s="1395">
        <f>K105+K106</f>
        <v>74742087.07</v>
      </c>
      <c r="L107" s="437"/>
      <c r="M107" s="1395">
        <f>M105+M106</f>
        <v>89883755.89</v>
      </c>
      <c r="N107" s="437"/>
      <c r="O107" s="1395">
        <f>O105+O106</f>
        <v>105415550.4</v>
      </c>
      <c r="P107" s="437"/>
      <c r="Q107" s="1395">
        <f>Q105+Q106</f>
        <v>109576868.1</v>
      </c>
      <c r="R107" s="437"/>
      <c r="S107" s="437"/>
      <c r="T107" s="437"/>
      <c r="U107" s="437"/>
      <c r="V107" s="437"/>
      <c r="W107" s="437"/>
      <c r="X107" s="437"/>
      <c r="Y107" s="437"/>
      <c r="Z107" s="437"/>
    </row>
    <row r="108" ht="12.75" customHeight="1">
      <c r="A108" s="1"/>
      <c r="B108" s="341"/>
      <c r="C108" s="341"/>
      <c r="D108" s="341"/>
      <c r="E108" s="341"/>
      <c r="F108" s="341"/>
      <c r="G108" s="438"/>
      <c r="H108" s="437"/>
      <c r="I108" s="438"/>
      <c r="J108" s="437"/>
      <c r="K108" s="438"/>
      <c r="L108" s="437"/>
      <c r="M108" s="438"/>
      <c r="N108" s="437"/>
      <c r="O108" s="438"/>
      <c r="P108" s="437"/>
      <c r="Q108" s="438"/>
      <c r="R108" s="437"/>
      <c r="S108" s="437"/>
      <c r="T108" s="437"/>
      <c r="U108" s="437"/>
      <c r="V108" s="437"/>
      <c r="W108" s="437"/>
      <c r="X108" s="437"/>
      <c r="Y108" s="437"/>
      <c r="Z108" s="437"/>
    </row>
    <row r="109" ht="14.25" customHeight="1">
      <c r="A109" s="1"/>
      <c r="B109" s="158" t="s">
        <v>233</v>
      </c>
      <c r="C109" s="158"/>
      <c r="D109" s="158"/>
      <c r="E109" s="158"/>
      <c r="F109" s="158"/>
      <c r="G109" s="438"/>
      <c r="H109" s="437"/>
      <c r="I109" s="438"/>
      <c r="J109" s="437"/>
      <c r="K109" s="438"/>
      <c r="L109" s="437"/>
      <c r="M109" s="438"/>
      <c r="N109" s="437"/>
      <c r="O109" s="438"/>
      <c r="P109" s="437"/>
      <c r="Q109" s="438"/>
      <c r="R109" s="437"/>
      <c r="S109" s="437"/>
      <c r="T109" s="437"/>
      <c r="U109" s="437"/>
      <c r="V109" s="437"/>
      <c r="W109" s="437"/>
      <c r="X109" s="437"/>
      <c r="Y109" s="437"/>
      <c r="Z109" s="437"/>
    </row>
    <row r="110" ht="14.25" customHeight="1">
      <c r="A110" s="1"/>
      <c r="B110" s="89" t="s">
        <v>234</v>
      </c>
      <c r="C110" s="89"/>
      <c r="D110" s="89"/>
      <c r="E110" s="438">
        <f>E54</f>
        <v>15377881</v>
      </c>
      <c r="F110" s="437"/>
      <c r="G110" s="438">
        <f>G54</f>
        <v>17808496</v>
      </c>
      <c r="H110" s="437"/>
      <c r="I110" s="438">
        <f>I54</f>
        <v>18031822</v>
      </c>
      <c r="J110" s="437"/>
      <c r="K110" s="438">
        <f>K54</f>
        <v>18308000</v>
      </c>
      <c r="L110" s="437"/>
      <c r="M110" s="438">
        <f>M54</f>
        <v>18622000</v>
      </c>
      <c r="N110" s="437"/>
      <c r="O110" s="438">
        <f>O54</f>
        <v>19025000</v>
      </c>
      <c r="P110" s="437"/>
      <c r="Q110" s="438">
        <f>Q54</f>
        <v>19407000</v>
      </c>
      <c r="R110" s="437"/>
      <c r="S110" s="437"/>
      <c r="T110" s="437"/>
      <c r="U110" s="437"/>
      <c r="V110" s="437"/>
      <c r="W110" s="437"/>
      <c r="X110" s="437"/>
      <c r="Y110" s="437"/>
      <c r="Z110" s="437"/>
    </row>
    <row r="111" ht="14.25" customHeight="1">
      <c r="A111" s="1"/>
      <c r="B111" s="89" t="s">
        <v>235</v>
      </c>
      <c r="C111" s="89"/>
      <c r="D111" s="89"/>
      <c r="E111" s="438">
        <f>-E66</f>
        <v>-8377045</v>
      </c>
      <c r="F111" s="437"/>
      <c r="G111" s="438">
        <f>-G66</f>
        <v>-8415372</v>
      </c>
      <c r="H111" s="437"/>
      <c r="I111" s="438">
        <f>-I66</f>
        <v>-8556000</v>
      </c>
      <c r="J111" s="437"/>
      <c r="K111" s="438">
        <f>-K66</f>
        <v>-8448000</v>
      </c>
      <c r="L111" s="437"/>
      <c r="M111" s="438">
        <f>-M66</f>
        <v>-8330000</v>
      </c>
      <c r="N111" s="437"/>
      <c r="O111" s="438">
        <f>-O66</f>
        <v>-8360000</v>
      </c>
      <c r="P111" s="437"/>
      <c r="Q111" s="438">
        <f>-Q66</f>
        <v>-8580000</v>
      </c>
      <c r="R111" s="437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58" t="s">
        <v>237</v>
      </c>
      <c r="C112" s="158"/>
      <c r="D112" s="158"/>
      <c r="E112" s="1395">
        <f>E110+E111</f>
        <v>7000836</v>
      </c>
      <c r="F112" s="692">
        <f>E112/E110</f>
        <v>0.4552536204</v>
      </c>
      <c r="G112" s="1395">
        <f>G110+G111</f>
        <v>9393124</v>
      </c>
      <c r="H112" s="692">
        <f>G112/G110</f>
        <v>0.527451841</v>
      </c>
      <c r="I112" s="1395">
        <f>I110+I111</f>
        <v>9475822</v>
      </c>
      <c r="J112" s="692">
        <f>I112/I110</f>
        <v>0.5255055202</v>
      </c>
      <c r="K112" s="1395">
        <f>K110+K111</f>
        <v>9860000</v>
      </c>
      <c r="L112" s="692">
        <f>K112/K110</f>
        <v>0.5385623771</v>
      </c>
      <c r="M112" s="1395">
        <f>M110+M111</f>
        <v>10292000</v>
      </c>
      <c r="N112" s="692">
        <f>M112/M110</f>
        <v>0.5526796262</v>
      </c>
      <c r="O112" s="1395">
        <f>O110+O111</f>
        <v>10665000</v>
      </c>
      <c r="P112" s="692">
        <f>O112/O110</f>
        <v>0.5605781866</v>
      </c>
      <c r="Q112" s="1395">
        <f>Q110+Q111</f>
        <v>10827000</v>
      </c>
      <c r="R112" s="692">
        <f>Q112/Q110</f>
        <v>0.5578914825</v>
      </c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89"/>
      <c r="C113" s="89"/>
      <c r="D113" s="89"/>
      <c r="E113" s="438"/>
      <c r="F113" s="692"/>
      <c r="G113" s="438"/>
      <c r="H113" s="692"/>
      <c r="I113" s="438"/>
      <c r="J113" s="692"/>
      <c r="K113" s="438"/>
      <c r="L113" s="692"/>
      <c r="M113" s="438"/>
      <c r="N113" s="692"/>
      <c r="O113" s="438"/>
      <c r="P113" s="692"/>
      <c r="Q113" s="438"/>
      <c r="R113" s="692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58" t="s">
        <v>238</v>
      </c>
      <c r="C114" s="158"/>
      <c r="D114" s="158"/>
      <c r="E114" s="438"/>
      <c r="F114" s="692"/>
      <c r="G114" s="438"/>
      <c r="H114" s="692"/>
      <c r="I114" s="438"/>
      <c r="J114" s="692"/>
      <c r="K114" s="438"/>
      <c r="L114" s="692"/>
      <c r="M114" s="438"/>
      <c r="N114" s="692"/>
      <c r="O114" s="438"/>
      <c r="P114" s="692"/>
      <c r="Q114" s="438"/>
      <c r="R114" s="692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 t="s">
        <v>240</v>
      </c>
      <c r="C115" s="1"/>
      <c r="D115" s="1"/>
      <c r="E115" s="438">
        <f>E57</f>
        <v>9417500</v>
      </c>
      <c r="F115" s="692"/>
      <c r="G115" s="438">
        <f>G57</f>
        <v>10044010.32</v>
      </c>
      <c r="H115" s="692"/>
      <c r="I115" s="438">
        <f>I57</f>
        <v>10980135.38</v>
      </c>
      <c r="J115" s="692"/>
      <c r="K115" s="438">
        <f>K57</f>
        <v>11360832.42</v>
      </c>
      <c r="L115" s="692"/>
      <c r="M115" s="438">
        <f>M57</f>
        <v>11960663.86</v>
      </c>
      <c r="N115" s="692"/>
      <c r="O115" s="438">
        <f>O57</f>
        <v>12285314.75</v>
      </c>
      <c r="P115" s="692"/>
      <c r="Q115" s="438">
        <f>Q57</f>
        <v>12529434.13</v>
      </c>
      <c r="R115" s="692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 t="s">
        <v>242</v>
      </c>
      <c r="C116" s="1"/>
      <c r="D116" s="1"/>
      <c r="E116" s="438">
        <f>-E67</f>
        <v>-6339780</v>
      </c>
      <c r="F116" s="692"/>
      <c r="G116" s="438">
        <f>-G67</f>
        <v>-6801342</v>
      </c>
      <c r="H116" s="692"/>
      <c r="I116" s="438">
        <f>-I67</f>
        <v>-6750000</v>
      </c>
      <c r="J116" s="692"/>
      <c r="K116" s="438">
        <f>-K67</f>
        <v>-6950862.342</v>
      </c>
      <c r="L116" s="692"/>
      <c r="M116" s="438">
        <f>-M67</f>
        <v>-7195682.881</v>
      </c>
      <c r="N116" s="692"/>
      <c r="O116" s="438">
        <f>-O67</f>
        <v>-7393371.247</v>
      </c>
      <c r="P116" s="692"/>
      <c r="Q116" s="438">
        <f>-Q67</f>
        <v>-7580221.008</v>
      </c>
      <c r="R116" s="692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97" t="s">
        <v>860</v>
      </c>
      <c r="C117" s="197"/>
      <c r="D117" s="197"/>
      <c r="E117" s="1395">
        <f>E115+E116</f>
        <v>3077720</v>
      </c>
      <c r="F117" s="692">
        <f>E117/E115</f>
        <v>0.326808601</v>
      </c>
      <c r="G117" s="1395">
        <f>G115+G116</f>
        <v>3242668.32</v>
      </c>
      <c r="H117" s="692">
        <f>G117/G115</f>
        <v>0.3228459766</v>
      </c>
      <c r="I117" s="1395">
        <f>I115+I116</f>
        <v>4230135.379</v>
      </c>
      <c r="J117" s="692">
        <f>I117/I115</f>
        <v>0.3852534812</v>
      </c>
      <c r="K117" s="1395">
        <f>K115+K116</f>
        <v>4409970.081</v>
      </c>
      <c r="L117" s="692">
        <f>K117/K115</f>
        <v>0.3881731476</v>
      </c>
      <c r="M117" s="1395">
        <f>M115+M116</f>
        <v>4764980.98</v>
      </c>
      <c r="N117" s="692">
        <f>M117/M115</f>
        <v>0.3983876677</v>
      </c>
      <c r="O117" s="1395">
        <f>O115+O116</f>
        <v>4891943.502</v>
      </c>
      <c r="P117" s="692">
        <f>O117/O115</f>
        <v>0.3981943973</v>
      </c>
      <c r="Q117" s="1395">
        <f>Q115+Q116</f>
        <v>4949213.125</v>
      </c>
      <c r="R117" s="692">
        <f>Q117/Q115</f>
        <v>0.3950069151</v>
      </c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1"/>
      <c r="E118" s="1"/>
      <c r="F118" s="1"/>
      <c r="G118" s="1"/>
      <c r="H118" s="1"/>
      <c r="I118" s="438"/>
      <c r="J118" s="437"/>
      <c r="K118" s="438"/>
      <c r="L118" s="692"/>
      <c r="M118" s="438"/>
      <c r="N118" s="1430"/>
      <c r="O118" s="438"/>
      <c r="P118" s="437"/>
      <c r="Q118" s="438"/>
      <c r="R118" s="692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438"/>
      <c r="J119" s="437"/>
      <c r="K119" s="438"/>
      <c r="L119" s="437"/>
      <c r="M119" s="438"/>
      <c r="N119" s="437"/>
      <c r="O119" s="438"/>
      <c r="P119" s="437"/>
      <c r="Q119" s="438"/>
      <c r="R119" s="437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438"/>
      <c r="J120" s="437"/>
      <c r="K120" s="438"/>
      <c r="L120" s="437"/>
      <c r="M120" s="438"/>
      <c r="N120" s="437"/>
      <c r="O120" s="438"/>
      <c r="P120" s="437"/>
      <c r="Q120" s="438"/>
      <c r="R120" s="437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438"/>
      <c r="J121" s="437"/>
      <c r="K121" s="438"/>
      <c r="L121" s="437"/>
      <c r="M121" s="438"/>
      <c r="N121" s="437"/>
      <c r="O121" s="438"/>
      <c r="P121" s="437"/>
      <c r="Q121" s="438"/>
      <c r="R121" s="437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438"/>
      <c r="J122" s="437"/>
      <c r="K122" s="438"/>
      <c r="L122" s="437"/>
      <c r="M122" s="438"/>
      <c r="N122" s="437"/>
      <c r="O122" s="438"/>
      <c r="P122" s="437"/>
      <c r="Q122" s="438"/>
      <c r="R122" s="437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438"/>
      <c r="J123" s="437"/>
      <c r="K123" s="438"/>
      <c r="L123" s="437"/>
      <c r="M123" s="438"/>
      <c r="N123" s="437"/>
      <c r="O123" s="438"/>
      <c r="P123" s="437"/>
      <c r="Q123" s="438"/>
      <c r="R123" s="437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438"/>
      <c r="J124" s="437"/>
      <c r="K124" s="438"/>
      <c r="L124" s="437"/>
      <c r="M124" s="438"/>
      <c r="N124" s="437"/>
      <c r="O124" s="438"/>
      <c r="P124" s="437"/>
      <c r="Q124" s="438"/>
      <c r="R124" s="437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438"/>
      <c r="J125" s="437"/>
      <c r="K125" s="438"/>
      <c r="L125" s="437"/>
      <c r="M125" s="438"/>
      <c r="N125" s="437"/>
      <c r="O125" s="438"/>
      <c r="P125" s="437"/>
      <c r="Q125" s="438"/>
      <c r="R125" s="437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438"/>
      <c r="J126" s="437"/>
      <c r="K126" s="438"/>
      <c r="L126" s="437"/>
      <c r="M126" s="438"/>
      <c r="N126" s="437"/>
      <c r="O126" s="438"/>
      <c r="P126" s="437"/>
      <c r="Q126" s="438"/>
      <c r="R126" s="437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438"/>
      <c r="J127" s="437"/>
      <c r="K127" s="438"/>
      <c r="L127" s="437"/>
      <c r="M127" s="438"/>
      <c r="N127" s="437"/>
      <c r="O127" s="438"/>
      <c r="P127" s="437"/>
      <c r="Q127" s="438"/>
      <c r="R127" s="437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438"/>
      <c r="J128" s="437"/>
      <c r="K128" s="438"/>
      <c r="L128" s="437"/>
      <c r="M128" s="438"/>
      <c r="N128" s="437"/>
      <c r="O128" s="438"/>
      <c r="P128" s="437"/>
      <c r="Q128" s="438"/>
      <c r="R128" s="437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438"/>
      <c r="J129" s="437"/>
      <c r="K129" s="438"/>
      <c r="L129" s="437"/>
      <c r="M129" s="438"/>
      <c r="N129" s="437"/>
      <c r="O129" s="438"/>
      <c r="P129" s="437"/>
      <c r="Q129" s="438"/>
      <c r="R129" s="437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438"/>
      <c r="J130" s="437"/>
      <c r="K130" s="438"/>
      <c r="L130" s="437"/>
      <c r="M130" s="438"/>
      <c r="N130" s="437"/>
      <c r="O130" s="438"/>
      <c r="P130" s="437"/>
      <c r="Q130" s="438"/>
      <c r="R130" s="437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438"/>
      <c r="J131" s="437"/>
      <c r="K131" s="438"/>
      <c r="L131" s="437"/>
      <c r="M131" s="438"/>
      <c r="N131" s="437"/>
      <c r="O131" s="438"/>
      <c r="P131" s="437"/>
      <c r="Q131" s="438"/>
      <c r="R131" s="437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438"/>
      <c r="J132" s="437"/>
      <c r="K132" s="438"/>
      <c r="L132" s="437"/>
      <c r="M132" s="438"/>
      <c r="N132" s="437"/>
      <c r="O132" s="438"/>
      <c r="P132" s="437"/>
      <c r="Q132" s="438"/>
      <c r="R132" s="437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438"/>
      <c r="J133" s="437"/>
      <c r="K133" s="438"/>
      <c r="L133" s="437"/>
      <c r="M133" s="438"/>
      <c r="N133" s="437"/>
      <c r="O133" s="438"/>
      <c r="P133" s="437"/>
      <c r="Q133" s="438"/>
      <c r="R133" s="437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438"/>
      <c r="J134" s="437"/>
      <c r="K134" s="438"/>
      <c r="L134" s="437"/>
      <c r="M134" s="438"/>
      <c r="N134" s="437"/>
      <c r="O134" s="438"/>
      <c r="P134" s="437"/>
      <c r="Q134" s="438"/>
      <c r="R134" s="437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438"/>
      <c r="J135" s="437"/>
      <c r="K135" s="438"/>
      <c r="L135" s="437"/>
      <c r="M135" s="438"/>
      <c r="N135" s="437"/>
      <c r="O135" s="438"/>
      <c r="P135" s="437"/>
      <c r="Q135" s="438"/>
      <c r="R135" s="437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438"/>
      <c r="J136" s="437"/>
      <c r="K136" s="438"/>
      <c r="L136" s="437"/>
      <c r="M136" s="438"/>
      <c r="N136" s="437"/>
      <c r="O136" s="438"/>
      <c r="P136" s="437"/>
      <c r="Q136" s="438"/>
      <c r="R136" s="437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1"/>
      <c r="F137" s="1"/>
      <c r="G137" s="1"/>
      <c r="H137" s="1"/>
      <c r="I137" s="438"/>
      <c r="J137" s="437"/>
      <c r="K137" s="438"/>
      <c r="L137" s="437"/>
      <c r="M137" s="438"/>
      <c r="N137" s="437"/>
      <c r="O137" s="438"/>
      <c r="P137" s="437"/>
      <c r="Q137" s="438"/>
      <c r="R137" s="437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1"/>
      <c r="F138" s="1"/>
      <c r="G138" s="1"/>
      <c r="H138" s="1"/>
      <c r="I138" s="438"/>
      <c r="J138" s="437"/>
      <c r="K138" s="438"/>
      <c r="L138" s="437"/>
      <c r="M138" s="438"/>
      <c r="N138" s="437"/>
      <c r="O138" s="438"/>
      <c r="P138" s="437"/>
      <c r="Q138" s="438"/>
      <c r="R138" s="437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1"/>
      <c r="F139" s="1"/>
      <c r="G139" s="1"/>
      <c r="H139" s="1"/>
      <c r="I139" s="438"/>
      <c r="J139" s="437"/>
      <c r="K139" s="438"/>
      <c r="L139" s="437"/>
      <c r="M139" s="438"/>
      <c r="N139" s="437"/>
      <c r="O139" s="438"/>
      <c r="P139" s="437"/>
      <c r="Q139" s="438"/>
      <c r="R139" s="437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438"/>
      <c r="J140" s="437"/>
      <c r="K140" s="438"/>
      <c r="L140" s="437"/>
      <c r="M140" s="438"/>
      <c r="N140" s="437"/>
      <c r="O140" s="438"/>
      <c r="P140" s="437"/>
      <c r="Q140" s="438"/>
      <c r="R140" s="437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438"/>
      <c r="J141" s="437"/>
      <c r="K141" s="438"/>
      <c r="L141" s="437"/>
      <c r="M141" s="438"/>
      <c r="N141" s="437"/>
      <c r="O141" s="438"/>
      <c r="P141" s="437"/>
      <c r="Q141" s="438"/>
      <c r="R141" s="437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1"/>
      <c r="F142" s="1"/>
      <c r="G142" s="1"/>
      <c r="H142" s="1"/>
      <c r="I142" s="438"/>
      <c r="J142" s="437"/>
      <c r="K142" s="438"/>
      <c r="L142" s="437"/>
      <c r="M142" s="438"/>
      <c r="N142" s="437"/>
      <c r="O142" s="438"/>
      <c r="P142" s="437"/>
      <c r="Q142" s="438"/>
      <c r="R142" s="437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438"/>
      <c r="J143" s="437"/>
      <c r="K143" s="438"/>
      <c r="L143" s="437"/>
      <c r="M143" s="438"/>
      <c r="N143" s="437"/>
      <c r="O143" s="438"/>
      <c r="P143" s="437"/>
      <c r="Q143" s="438"/>
      <c r="R143" s="437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438"/>
      <c r="J144" s="437"/>
      <c r="K144" s="438"/>
      <c r="L144" s="437"/>
      <c r="M144" s="438"/>
      <c r="N144" s="437"/>
      <c r="O144" s="438"/>
      <c r="P144" s="437"/>
      <c r="Q144" s="438"/>
      <c r="R144" s="437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438"/>
      <c r="J145" s="437"/>
      <c r="K145" s="438"/>
      <c r="L145" s="437"/>
      <c r="M145" s="438"/>
      <c r="N145" s="437"/>
      <c r="O145" s="438"/>
      <c r="P145" s="437"/>
      <c r="Q145" s="438"/>
      <c r="R145" s="437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438"/>
      <c r="J146" s="437"/>
      <c r="K146" s="438"/>
      <c r="L146" s="437"/>
      <c r="M146" s="438"/>
      <c r="N146" s="437"/>
      <c r="O146" s="438"/>
      <c r="P146" s="437"/>
      <c r="Q146" s="438"/>
      <c r="R146" s="437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438"/>
      <c r="J147" s="437"/>
      <c r="K147" s="438"/>
      <c r="L147" s="437"/>
      <c r="M147" s="438"/>
      <c r="N147" s="437"/>
      <c r="O147" s="438"/>
      <c r="P147" s="437"/>
      <c r="Q147" s="438"/>
      <c r="R147" s="437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438"/>
      <c r="J148" s="437"/>
      <c r="K148" s="438"/>
      <c r="L148" s="437"/>
      <c r="M148" s="438"/>
      <c r="N148" s="437"/>
      <c r="O148" s="438"/>
      <c r="P148" s="437"/>
      <c r="Q148" s="438"/>
      <c r="R148" s="437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438"/>
      <c r="J149" s="437"/>
      <c r="K149" s="438"/>
      <c r="L149" s="437"/>
      <c r="M149" s="438"/>
      <c r="N149" s="437"/>
      <c r="O149" s="438"/>
      <c r="P149" s="437"/>
      <c r="Q149" s="438"/>
      <c r="R149" s="437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438"/>
      <c r="J150" s="437"/>
      <c r="K150" s="438"/>
      <c r="L150" s="437"/>
      <c r="M150" s="438"/>
      <c r="N150" s="437"/>
      <c r="O150" s="438"/>
      <c r="P150" s="437"/>
      <c r="Q150" s="438"/>
      <c r="R150" s="437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438"/>
      <c r="J151" s="437"/>
      <c r="K151" s="438"/>
      <c r="L151" s="437"/>
      <c r="M151" s="438"/>
      <c r="N151" s="437"/>
      <c r="O151" s="438"/>
      <c r="P151" s="437"/>
      <c r="Q151" s="438"/>
      <c r="R151" s="437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438"/>
      <c r="J152" s="437"/>
      <c r="K152" s="438"/>
      <c r="L152" s="437"/>
      <c r="M152" s="438"/>
      <c r="N152" s="437"/>
      <c r="O152" s="438"/>
      <c r="P152" s="437"/>
      <c r="Q152" s="438"/>
      <c r="R152" s="437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438"/>
      <c r="J153" s="437"/>
      <c r="K153" s="438"/>
      <c r="L153" s="437"/>
      <c r="M153" s="438"/>
      <c r="N153" s="437"/>
      <c r="O153" s="438"/>
      <c r="P153" s="437"/>
      <c r="Q153" s="438"/>
      <c r="R153" s="437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438"/>
      <c r="J154" s="437"/>
      <c r="K154" s="438"/>
      <c r="L154" s="437"/>
      <c r="M154" s="438"/>
      <c r="N154" s="437"/>
      <c r="O154" s="438"/>
      <c r="P154" s="437"/>
      <c r="Q154" s="438"/>
      <c r="R154" s="437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438"/>
      <c r="J155" s="437"/>
      <c r="K155" s="438"/>
      <c r="L155" s="437"/>
      <c r="M155" s="438"/>
      <c r="N155" s="437"/>
      <c r="O155" s="438"/>
      <c r="P155" s="437"/>
      <c r="Q155" s="438"/>
      <c r="R155" s="437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438"/>
      <c r="J156" s="437"/>
      <c r="K156" s="438"/>
      <c r="L156" s="437"/>
      <c r="M156" s="438"/>
      <c r="N156" s="437"/>
      <c r="O156" s="438"/>
      <c r="P156" s="437"/>
      <c r="Q156" s="438"/>
      <c r="R156" s="437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438"/>
      <c r="J157" s="437"/>
      <c r="K157" s="438"/>
      <c r="L157" s="437"/>
      <c r="M157" s="438"/>
      <c r="N157" s="437"/>
      <c r="O157" s="438"/>
      <c r="P157" s="437"/>
      <c r="Q157" s="438"/>
      <c r="R157" s="437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438"/>
      <c r="J158" s="437"/>
      <c r="K158" s="438"/>
      <c r="L158" s="437"/>
      <c r="M158" s="438"/>
      <c r="N158" s="437"/>
      <c r="O158" s="438"/>
      <c r="P158" s="437"/>
      <c r="Q158" s="438"/>
      <c r="R158" s="437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438"/>
      <c r="J159" s="437"/>
      <c r="K159" s="438"/>
      <c r="L159" s="437"/>
      <c r="M159" s="438"/>
      <c r="N159" s="437"/>
      <c r="O159" s="438"/>
      <c r="P159" s="437"/>
      <c r="Q159" s="438"/>
      <c r="R159" s="437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438"/>
      <c r="J160" s="437"/>
      <c r="K160" s="438"/>
      <c r="L160" s="437"/>
      <c r="M160" s="438"/>
      <c r="N160" s="437"/>
      <c r="O160" s="438"/>
      <c r="P160" s="437"/>
      <c r="Q160" s="438"/>
      <c r="R160" s="437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438"/>
      <c r="J161" s="437"/>
      <c r="K161" s="438"/>
      <c r="L161" s="437"/>
      <c r="M161" s="438"/>
      <c r="N161" s="437"/>
      <c r="O161" s="438"/>
      <c r="P161" s="437"/>
      <c r="Q161" s="438"/>
      <c r="R161" s="437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438"/>
      <c r="J162" s="437"/>
      <c r="K162" s="438"/>
      <c r="L162" s="437"/>
      <c r="M162" s="438"/>
      <c r="N162" s="437"/>
      <c r="O162" s="438"/>
      <c r="P162" s="437"/>
      <c r="Q162" s="438"/>
      <c r="R162" s="437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438"/>
      <c r="J163" s="437"/>
      <c r="K163" s="438"/>
      <c r="L163" s="437"/>
      <c r="M163" s="438"/>
      <c r="N163" s="437"/>
      <c r="O163" s="438"/>
      <c r="P163" s="437"/>
      <c r="Q163" s="438"/>
      <c r="R163" s="437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438"/>
      <c r="J164" s="437"/>
      <c r="K164" s="438"/>
      <c r="L164" s="437"/>
      <c r="M164" s="438"/>
      <c r="N164" s="437"/>
      <c r="O164" s="438"/>
      <c r="P164" s="437"/>
      <c r="Q164" s="438"/>
      <c r="R164" s="437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438"/>
      <c r="J165" s="437"/>
      <c r="K165" s="438"/>
      <c r="L165" s="437"/>
      <c r="M165" s="438"/>
      <c r="N165" s="437"/>
      <c r="O165" s="438"/>
      <c r="P165" s="437"/>
      <c r="Q165" s="438"/>
      <c r="R165" s="437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438"/>
      <c r="J166" s="437"/>
      <c r="K166" s="438"/>
      <c r="L166" s="437"/>
      <c r="M166" s="438"/>
      <c r="N166" s="437"/>
      <c r="O166" s="438"/>
      <c r="P166" s="437"/>
      <c r="Q166" s="438"/>
      <c r="R166" s="437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438"/>
      <c r="J167" s="437"/>
      <c r="K167" s="438"/>
      <c r="L167" s="437"/>
      <c r="M167" s="438"/>
      <c r="N167" s="437"/>
      <c r="O167" s="438"/>
      <c r="P167" s="437"/>
      <c r="Q167" s="438"/>
      <c r="R167" s="437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438"/>
      <c r="J168" s="437"/>
      <c r="K168" s="438"/>
      <c r="L168" s="437"/>
      <c r="M168" s="438"/>
      <c r="N168" s="437"/>
      <c r="O168" s="438"/>
      <c r="P168" s="437"/>
      <c r="Q168" s="438"/>
      <c r="R168" s="437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438"/>
      <c r="J169" s="437"/>
      <c r="K169" s="438"/>
      <c r="L169" s="437"/>
      <c r="M169" s="438"/>
      <c r="N169" s="437"/>
      <c r="O169" s="438"/>
      <c r="P169" s="437"/>
      <c r="Q169" s="438"/>
      <c r="R169" s="437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438"/>
      <c r="J170" s="437"/>
      <c r="K170" s="438"/>
      <c r="L170" s="437"/>
      <c r="M170" s="438"/>
      <c r="N170" s="437"/>
      <c r="O170" s="438"/>
      <c r="P170" s="437"/>
      <c r="Q170" s="438"/>
      <c r="R170" s="437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438"/>
      <c r="J171" s="437"/>
      <c r="K171" s="438"/>
      <c r="L171" s="437"/>
      <c r="M171" s="438"/>
      <c r="N171" s="437"/>
      <c r="O171" s="438"/>
      <c r="P171" s="437"/>
      <c r="Q171" s="438"/>
      <c r="R171" s="437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438"/>
      <c r="J172" s="437"/>
      <c r="K172" s="438"/>
      <c r="L172" s="437"/>
      <c r="M172" s="438"/>
      <c r="N172" s="437"/>
      <c r="O172" s="438"/>
      <c r="P172" s="437"/>
      <c r="Q172" s="438"/>
      <c r="R172" s="437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438"/>
      <c r="J173" s="437"/>
      <c r="K173" s="438"/>
      <c r="L173" s="437"/>
      <c r="M173" s="438"/>
      <c r="N173" s="437"/>
      <c r="O173" s="438"/>
      <c r="P173" s="437"/>
      <c r="Q173" s="438"/>
      <c r="R173" s="437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438"/>
      <c r="J174" s="437"/>
      <c r="K174" s="438"/>
      <c r="L174" s="437"/>
      <c r="M174" s="438"/>
      <c r="N174" s="437"/>
      <c r="O174" s="438"/>
      <c r="P174" s="437"/>
      <c r="Q174" s="438"/>
      <c r="R174" s="437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438"/>
      <c r="J175" s="437"/>
      <c r="K175" s="438"/>
      <c r="L175" s="437"/>
      <c r="M175" s="438"/>
      <c r="N175" s="437"/>
      <c r="O175" s="438"/>
      <c r="P175" s="437"/>
      <c r="Q175" s="438"/>
      <c r="R175" s="437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438"/>
      <c r="J176" s="437"/>
      <c r="K176" s="438"/>
      <c r="L176" s="437"/>
      <c r="M176" s="438"/>
      <c r="N176" s="437"/>
      <c r="O176" s="438"/>
      <c r="P176" s="437"/>
      <c r="Q176" s="438"/>
      <c r="R176" s="437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438"/>
      <c r="J177" s="437"/>
      <c r="K177" s="438"/>
      <c r="L177" s="437"/>
      <c r="M177" s="438"/>
      <c r="N177" s="437"/>
      <c r="O177" s="438"/>
      <c r="P177" s="437"/>
      <c r="Q177" s="438"/>
      <c r="R177" s="437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438"/>
      <c r="J178" s="437"/>
      <c r="K178" s="438"/>
      <c r="L178" s="437"/>
      <c r="M178" s="438"/>
      <c r="N178" s="437"/>
      <c r="O178" s="438"/>
      <c r="P178" s="437"/>
      <c r="Q178" s="438"/>
      <c r="R178" s="437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438"/>
      <c r="J179" s="437"/>
      <c r="K179" s="438"/>
      <c r="L179" s="437"/>
      <c r="M179" s="438"/>
      <c r="N179" s="437"/>
      <c r="O179" s="438"/>
      <c r="P179" s="437"/>
      <c r="Q179" s="438"/>
      <c r="R179" s="437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438"/>
      <c r="J180" s="437"/>
      <c r="K180" s="438"/>
      <c r="L180" s="437"/>
      <c r="M180" s="438"/>
      <c r="N180" s="437"/>
      <c r="O180" s="438"/>
      <c r="P180" s="437"/>
      <c r="Q180" s="438"/>
      <c r="R180" s="437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438"/>
      <c r="J181" s="437"/>
      <c r="K181" s="438"/>
      <c r="L181" s="437"/>
      <c r="M181" s="438"/>
      <c r="N181" s="437"/>
      <c r="O181" s="438"/>
      <c r="P181" s="437"/>
      <c r="Q181" s="438"/>
      <c r="R181" s="437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438"/>
      <c r="J182" s="437"/>
      <c r="K182" s="438"/>
      <c r="L182" s="437"/>
      <c r="M182" s="438"/>
      <c r="N182" s="437"/>
      <c r="O182" s="438"/>
      <c r="P182" s="437"/>
      <c r="Q182" s="438"/>
      <c r="R182" s="437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438"/>
      <c r="J183" s="437"/>
      <c r="K183" s="438"/>
      <c r="L183" s="437"/>
      <c r="M183" s="438"/>
      <c r="N183" s="437"/>
      <c r="O183" s="438"/>
      <c r="P183" s="437"/>
      <c r="Q183" s="438"/>
      <c r="R183" s="437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438"/>
      <c r="J184" s="437"/>
      <c r="K184" s="438"/>
      <c r="L184" s="437"/>
      <c r="M184" s="438"/>
      <c r="N184" s="437"/>
      <c r="O184" s="438"/>
      <c r="P184" s="437"/>
      <c r="Q184" s="438"/>
      <c r="R184" s="437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438"/>
      <c r="J185" s="437"/>
      <c r="K185" s="438"/>
      <c r="L185" s="437"/>
      <c r="M185" s="438"/>
      <c r="N185" s="437"/>
      <c r="O185" s="438"/>
      <c r="P185" s="437"/>
      <c r="Q185" s="438"/>
      <c r="R185" s="437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438"/>
      <c r="J186" s="437"/>
      <c r="K186" s="438"/>
      <c r="L186" s="437"/>
      <c r="M186" s="438"/>
      <c r="N186" s="437"/>
      <c r="O186" s="438"/>
      <c r="P186" s="437"/>
      <c r="Q186" s="438"/>
      <c r="R186" s="437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438"/>
      <c r="J187" s="437"/>
      <c r="K187" s="438"/>
      <c r="L187" s="437"/>
      <c r="M187" s="438"/>
      <c r="N187" s="437"/>
      <c r="O187" s="438"/>
      <c r="P187" s="437"/>
      <c r="Q187" s="438"/>
      <c r="R187" s="437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438"/>
      <c r="J188" s="437"/>
      <c r="K188" s="438"/>
      <c r="L188" s="437"/>
      <c r="M188" s="438"/>
      <c r="N188" s="437"/>
      <c r="O188" s="438"/>
      <c r="P188" s="437"/>
      <c r="Q188" s="438"/>
      <c r="R188" s="437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438"/>
      <c r="J189" s="437"/>
      <c r="K189" s="438"/>
      <c r="L189" s="437"/>
      <c r="M189" s="438"/>
      <c r="N189" s="437"/>
      <c r="O189" s="438"/>
      <c r="P189" s="437"/>
      <c r="Q189" s="438"/>
      <c r="R189" s="437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438"/>
      <c r="J190" s="437"/>
      <c r="K190" s="438"/>
      <c r="L190" s="437"/>
      <c r="M190" s="438"/>
      <c r="N190" s="437"/>
      <c r="O190" s="438"/>
      <c r="P190" s="437"/>
      <c r="Q190" s="438"/>
      <c r="R190" s="437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438"/>
      <c r="J191" s="437"/>
      <c r="K191" s="438"/>
      <c r="L191" s="437"/>
      <c r="M191" s="438"/>
      <c r="N191" s="437"/>
      <c r="O191" s="438"/>
      <c r="P191" s="437"/>
      <c r="Q191" s="438"/>
      <c r="R191" s="437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438"/>
      <c r="J192" s="437"/>
      <c r="K192" s="438"/>
      <c r="L192" s="437"/>
      <c r="M192" s="438"/>
      <c r="N192" s="437"/>
      <c r="O192" s="438"/>
      <c r="P192" s="437"/>
      <c r="Q192" s="438"/>
      <c r="R192" s="437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438"/>
      <c r="J193" s="437"/>
      <c r="K193" s="438"/>
      <c r="L193" s="437"/>
      <c r="M193" s="438"/>
      <c r="N193" s="437"/>
      <c r="O193" s="438"/>
      <c r="P193" s="437"/>
      <c r="Q193" s="438"/>
      <c r="R193" s="437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438"/>
      <c r="J194" s="437"/>
      <c r="K194" s="438"/>
      <c r="L194" s="437"/>
      <c r="M194" s="438"/>
      <c r="N194" s="437"/>
      <c r="O194" s="438"/>
      <c r="P194" s="437"/>
      <c r="Q194" s="438"/>
      <c r="R194" s="437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438"/>
      <c r="J195" s="437"/>
      <c r="K195" s="438"/>
      <c r="L195" s="437"/>
      <c r="M195" s="438"/>
      <c r="N195" s="437"/>
      <c r="O195" s="438"/>
      <c r="P195" s="437"/>
      <c r="Q195" s="438"/>
      <c r="R195" s="437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438"/>
      <c r="J196" s="437"/>
      <c r="K196" s="438"/>
      <c r="L196" s="437"/>
      <c r="M196" s="438"/>
      <c r="N196" s="437"/>
      <c r="O196" s="438"/>
      <c r="P196" s="437"/>
      <c r="Q196" s="438"/>
      <c r="R196" s="437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438"/>
      <c r="J197" s="437"/>
      <c r="K197" s="438"/>
      <c r="L197" s="437"/>
      <c r="M197" s="438"/>
      <c r="N197" s="437"/>
      <c r="O197" s="438"/>
      <c r="P197" s="437"/>
      <c r="Q197" s="438"/>
      <c r="R197" s="437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438"/>
      <c r="J198" s="437"/>
      <c r="K198" s="438"/>
      <c r="L198" s="437"/>
      <c r="M198" s="438"/>
      <c r="N198" s="437"/>
      <c r="O198" s="438"/>
      <c r="P198" s="437"/>
      <c r="Q198" s="438"/>
      <c r="R198" s="437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438"/>
      <c r="J199" s="437"/>
      <c r="K199" s="438"/>
      <c r="L199" s="437"/>
      <c r="M199" s="438"/>
      <c r="N199" s="437"/>
      <c r="O199" s="438"/>
      <c r="P199" s="437"/>
      <c r="Q199" s="438"/>
      <c r="R199" s="437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438"/>
      <c r="J200" s="437"/>
      <c r="K200" s="438"/>
      <c r="L200" s="437"/>
      <c r="M200" s="438"/>
      <c r="N200" s="437"/>
      <c r="O200" s="438"/>
      <c r="P200" s="437"/>
      <c r="Q200" s="438"/>
      <c r="R200" s="437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438"/>
      <c r="J201" s="437"/>
      <c r="K201" s="438"/>
      <c r="L201" s="437"/>
      <c r="M201" s="438"/>
      <c r="N201" s="437"/>
      <c r="O201" s="438"/>
      <c r="P201" s="437"/>
      <c r="Q201" s="438"/>
      <c r="R201" s="437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438"/>
      <c r="J202" s="437"/>
      <c r="K202" s="438"/>
      <c r="L202" s="437"/>
      <c r="M202" s="438"/>
      <c r="N202" s="437"/>
      <c r="O202" s="438"/>
      <c r="P202" s="437"/>
      <c r="Q202" s="438"/>
      <c r="R202" s="437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438"/>
      <c r="J203" s="437"/>
      <c r="K203" s="438"/>
      <c r="L203" s="437"/>
      <c r="M203" s="438"/>
      <c r="N203" s="437"/>
      <c r="O203" s="438"/>
      <c r="P203" s="437"/>
      <c r="Q203" s="438"/>
      <c r="R203" s="437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438"/>
      <c r="J204" s="437"/>
      <c r="K204" s="438"/>
      <c r="L204" s="437"/>
      <c r="M204" s="438"/>
      <c r="N204" s="437"/>
      <c r="O204" s="438"/>
      <c r="P204" s="437"/>
      <c r="Q204" s="438"/>
      <c r="R204" s="437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438"/>
      <c r="J205" s="437"/>
      <c r="K205" s="438"/>
      <c r="L205" s="437"/>
      <c r="M205" s="438"/>
      <c r="N205" s="437"/>
      <c r="O205" s="438"/>
      <c r="P205" s="437"/>
      <c r="Q205" s="438"/>
      <c r="R205" s="437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438"/>
      <c r="J206" s="437"/>
      <c r="K206" s="438"/>
      <c r="L206" s="437"/>
      <c r="M206" s="438"/>
      <c r="N206" s="437"/>
      <c r="O206" s="438"/>
      <c r="P206" s="437"/>
      <c r="Q206" s="438"/>
      <c r="R206" s="437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438"/>
      <c r="J207" s="437"/>
      <c r="K207" s="438"/>
      <c r="L207" s="437"/>
      <c r="M207" s="438"/>
      <c r="N207" s="437"/>
      <c r="O207" s="438"/>
      <c r="P207" s="437"/>
      <c r="Q207" s="438"/>
      <c r="R207" s="437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438"/>
      <c r="J208" s="437"/>
      <c r="K208" s="438"/>
      <c r="L208" s="437"/>
      <c r="M208" s="438"/>
      <c r="N208" s="437"/>
      <c r="O208" s="438"/>
      <c r="P208" s="437"/>
      <c r="Q208" s="438"/>
      <c r="R208" s="437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438"/>
      <c r="J209" s="437"/>
      <c r="K209" s="438"/>
      <c r="L209" s="437"/>
      <c r="M209" s="438"/>
      <c r="N209" s="437"/>
      <c r="O209" s="438"/>
      <c r="P209" s="437"/>
      <c r="Q209" s="438"/>
      <c r="R209" s="437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438"/>
      <c r="J210" s="437"/>
      <c r="K210" s="438"/>
      <c r="L210" s="437"/>
      <c r="M210" s="438"/>
      <c r="N210" s="437"/>
      <c r="O210" s="438"/>
      <c r="P210" s="437"/>
      <c r="Q210" s="438"/>
      <c r="R210" s="437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438"/>
      <c r="J211" s="437"/>
      <c r="K211" s="438"/>
      <c r="L211" s="437"/>
      <c r="M211" s="438"/>
      <c r="N211" s="437"/>
      <c r="O211" s="438"/>
      <c r="P211" s="437"/>
      <c r="Q211" s="438"/>
      <c r="R211" s="437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438"/>
      <c r="J212" s="437"/>
      <c r="K212" s="438"/>
      <c r="L212" s="437"/>
      <c r="M212" s="438"/>
      <c r="N212" s="437"/>
      <c r="O212" s="438"/>
      <c r="P212" s="437"/>
      <c r="Q212" s="438"/>
      <c r="R212" s="437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438"/>
      <c r="J213" s="437"/>
      <c r="K213" s="438"/>
      <c r="L213" s="437"/>
      <c r="M213" s="438"/>
      <c r="N213" s="437"/>
      <c r="O213" s="438"/>
      <c r="P213" s="437"/>
      <c r="Q213" s="438"/>
      <c r="R213" s="437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438"/>
      <c r="J214" s="437"/>
      <c r="K214" s="438"/>
      <c r="L214" s="437"/>
      <c r="M214" s="438"/>
      <c r="N214" s="437"/>
      <c r="O214" s="438"/>
      <c r="P214" s="437"/>
      <c r="Q214" s="438"/>
      <c r="R214" s="437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438"/>
      <c r="J215" s="437"/>
      <c r="K215" s="438"/>
      <c r="L215" s="437"/>
      <c r="M215" s="438"/>
      <c r="N215" s="437"/>
      <c r="O215" s="438"/>
      <c r="P215" s="437"/>
      <c r="Q215" s="438"/>
      <c r="R215" s="437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438"/>
      <c r="J216" s="437"/>
      <c r="K216" s="438"/>
      <c r="L216" s="437"/>
      <c r="M216" s="438"/>
      <c r="N216" s="437"/>
      <c r="O216" s="438"/>
      <c r="P216" s="437"/>
      <c r="Q216" s="438"/>
      <c r="R216" s="437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438"/>
      <c r="J217" s="437"/>
      <c r="K217" s="438"/>
      <c r="L217" s="437"/>
      <c r="M217" s="438"/>
      <c r="N217" s="437"/>
      <c r="O217" s="438"/>
      <c r="P217" s="437"/>
      <c r="Q217" s="438"/>
      <c r="R217" s="437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438"/>
      <c r="J218" s="437"/>
      <c r="K218" s="438"/>
      <c r="L218" s="437"/>
      <c r="M218" s="438"/>
      <c r="N218" s="437"/>
      <c r="O218" s="438"/>
      <c r="P218" s="437"/>
      <c r="Q218" s="438"/>
      <c r="R218" s="437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438"/>
      <c r="J219" s="437"/>
      <c r="K219" s="438"/>
      <c r="L219" s="437"/>
      <c r="M219" s="438"/>
      <c r="N219" s="437"/>
      <c r="O219" s="438"/>
      <c r="P219" s="437"/>
      <c r="Q219" s="438"/>
      <c r="R219" s="437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438"/>
      <c r="J220" s="437"/>
      <c r="K220" s="438"/>
      <c r="L220" s="437"/>
      <c r="M220" s="438"/>
      <c r="N220" s="437"/>
      <c r="O220" s="438"/>
      <c r="P220" s="437"/>
      <c r="Q220" s="438"/>
      <c r="R220" s="437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438"/>
      <c r="J221" s="437"/>
      <c r="K221" s="438"/>
      <c r="L221" s="437"/>
      <c r="M221" s="438"/>
      <c r="N221" s="437"/>
      <c r="O221" s="438"/>
      <c r="P221" s="437"/>
      <c r="Q221" s="438"/>
      <c r="R221" s="437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438"/>
      <c r="J222" s="437"/>
      <c r="K222" s="438"/>
      <c r="L222" s="437"/>
      <c r="M222" s="438"/>
      <c r="N222" s="437"/>
      <c r="O222" s="438"/>
      <c r="P222" s="437"/>
      <c r="Q222" s="438"/>
      <c r="R222" s="437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438"/>
      <c r="J223" s="437"/>
      <c r="K223" s="438"/>
      <c r="L223" s="437"/>
      <c r="M223" s="438"/>
      <c r="N223" s="437"/>
      <c r="O223" s="438"/>
      <c r="P223" s="437"/>
      <c r="Q223" s="438"/>
      <c r="R223" s="437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438"/>
      <c r="J224" s="437"/>
      <c r="K224" s="438"/>
      <c r="L224" s="437"/>
      <c r="M224" s="438"/>
      <c r="N224" s="437"/>
      <c r="O224" s="438"/>
      <c r="P224" s="437"/>
      <c r="Q224" s="438"/>
      <c r="R224" s="437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438"/>
      <c r="J225" s="437"/>
      <c r="K225" s="438"/>
      <c r="L225" s="437"/>
      <c r="M225" s="438"/>
      <c r="N225" s="437"/>
      <c r="O225" s="438"/>
      <c r="P225" s="437"/>
      <c r="Q225" s="438"/>
      <c r="R225" s="437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438"/>
      <c r="J226" s="437"/>
      <c r="K226" s="438"/>
      <c r="L226" s="437"/>
      <c r="M226" s="438"/>
      <c r="N226" s="437"/>
      <c r="O226" s="438"/>
      <c r="P226" s="437"/>
      <c r="Q226" s="438"/>
      <c r="R226" s="437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438"/>
      <c r="J227" s="437"/>
      <c r="K227" s="438"/>
      <c r="L227" s="437"/>
      <c r="M227" s="438"/>
      <c r="N227" s="437"/>
      <c r="O227" s="438"/>
      <c r="P227" s="437"/>
      <c r="Q227" s="438"/>
      <c r="R227" s="437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438"/>
      <c r="J228" s="437"/>
      <c r="K228" s="438"/>
      <c r="L228" s="437"/>
      <c r="M228" s="438"/>
      <c r="N228" s="437"/>
      <c r="O228" s="438"/>
      <c r="P228" s="437"/>
      <c r="Q228" s="438"/>
      <c r="R228" s="437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438"/>
      <c r="J229" s="437"/>
      <c r="K229" s="438"/>
      <c r="L229" s="437"/>
      <c r="M229" s="438"/>
      <c r="N229" s="437"/>
      <c r="O229" s="438"/>
      <c r="P229" s="437"/>
      <c r="Q229" s="438"/>
      <c r="R229" s="437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438"/>
      <c r="J230" s="437"/>
      <c r="K230" s="438"/>
      <c r="L230" s="437"/>
      <c r="M230" s="438"/>
      <c r="N230" s="437"/>
      <c r="O230" s="438"/>
      <c r="P230" s="437"/>
      <c r="Q230" s="438"/>
      <c r="R230" s="437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438"/>
      <c r="J231" s="437"/>
      <c r="K231" s="438"/>
      <c r="L231" s="437"/>
      <c r="M231" s="438"/>
      <c r="N231" s="437"/>
      <c r="O231" s="438"/>
      <c r="P231" s="437"/>
      <c r="Q231" s="438"/>
      <c r="R231" s="437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438"/>
      <c r="J232" s="437"/>
      <c r="K232" s="438"/>
      <c r="L232" s="437"/>
      <c r="M232" s="438"/>
      <c r="N232" s="437"/>
      <c r="O232" s="438"/>
      <c r="P232" s="437"/>
      <c r="Q232" s="438"/>
      <c r="R232" s="437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438"/>
      <c r="J233" s="437"/>
      <c r="K233" s="438"/>
      <c r="L233" s="437"/>
      <c r="M233" s="438"/>
      <c r="N233" s="437"/>
      <c r="O233" s="438"/>
      <c r="P233" s="437"/>
      <c r="Q233" s="438"/>
      <c r="R233" s="437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438"/>
      <c r="J234" s="437"/>
      <c r="K234" s="438"/>
      <c r="L234" s="437"/>
      <c r="M234" s="438"/>
      <c r="N234" s="437"/>
      <c r="O234" s="438"/>
      <c r="P234" s="437"/>
      <c r="Q234" s="438"/>
      <c r="R234" s="437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438"/>
      <c r="J235" s="437"/>
      <c r="K235" s="438"/>
      <c r="L235" s="437"/>
      <c r="M235" s="438"/>
      <c r="N235" s="437"/>
      <c r="O235" s="438"/>
      <c r="P235" s="437"/>
      <c r="Q235" s="438"/>
      <c r="R235" s="437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438"/>
      <c r="J236" s="437"/>
      <c r="K236" s="438"/>
      <c r="L236" s="437"/>
      <c r="M236" s="438"/>
      <c r="N236" s="437"/>
      <c r="O236" s="438"/>
      <c r="P236" s="437"/>
      <c r="Q236" s="438"/>
      <c r="R236" s="437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438"/>
      <c r="J237" s="437"/>
      <c r="K237" s="438"/>
      <c r="L237" s="437"/>
      <c r="M237" s="438"/>
      <c r="N237" s="437"/>
      <c r="O237" s="438"/>
      <c r="P237" s="437"/>
      <c r="Q237" s="438"/>
      <c r="R237" s="437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438"/>
      <c r="J238" s="437"/>
      <c r="K238" s="438"/>
      <c r="L238" s="437"/>
      <c r="M238" s="438"/>
      <c r="N238" s="437"/>
      <c r="O238" s="438"/>
      <c r="P238" s="437"/>
      <c r="Q238" s="438"/>
      <c r="R238" s="437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438"/>
      <c r="J239" s="437"/>
      <c r="K239" s="438"/>
      <c r="L239" s="437"/>
      <c r="M239" s="438"/>
      <c r="N239" s="437"/>
      <c r="O239" s="438"/>
      <c r="P239" s="437"/>
      <c r="Q239" s="438"/>
      <c r="R239" s="437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438"/>
      <c r="J240" s="437"/>
      <c r="K240" s="438"/>
      <c r="L240" s="437"/>
      <c r="M240" s="438"/>
      <c r="N240" s="437"/>
      <c r="O240" s="438"/>
      <c r="P240" s="437"/>
      <c r="Q240" s="438"/>
      <c r="R240" s="437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438"/>
      <c r="J241" s="437"/>
      <c r="K241" s="438"/>
      <c r="L241" s="437"/>
      <c r="M241" s="438"/>
      <c r="N241" s="437"/>
      <c r="O241" s="438"/>
      <c r="P241" s="437"/>
      <c r="Q241" s="438"/>
      <c r="R241" s="437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438"/>
      <c r="J242" s="437"/>
      <c r="K242" s="438"/>
      <c r="L242" s="437"/>
      <c r="M242" s="438"/>
      <c r="N242" s="437"/>
      <c r="O242" s="438"/>
      <c r="P242" s="437"/>
      <c r="Q242" s="438"/>
      <c r="R242" s="437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438"/>
      <c r="J243" s="437"/>
      <c r="K243" s="438"/>
      <c r="L243" s="437"/>
      <c r="M243" s="438"/>
      <c r="N243" s="437"/>
      <c r="O243" s="438"/>
      <c r="P243" s="437"/>
      <c r="Q243" s="438"/>
      <c r="R243" s="437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438"/>
      <c r="J244" s="437"/>
      <c r="K244" s="438"/>
      <c r="L244" s="437"/>
      <c r="M244" s="438"/>
      <c r="N244" s="437"/>
      <c r="O244" s="438"/>
      <c r="P244" s="437"/>
      <c r="Q244" s="438"/>
      <c r="R244" s="437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438"/>
      <c r="J245" s="437"/>
      <c r="K245" s="438"/>
      <c r="L245" s="437"/>
      <c r="M245" s="438"/>
      <c r="N245" s="437"/>
      <c r="O245" s="438"/>
      <c r="P245" s="437"/>
      <c r="Q245" s="438"/>
      <c r="R245" s="437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438"/>
      <c r="J246" s="437"/>
      <c r="K246" s="438"/>
      <c r="L246" s="437"/>
      <c r="M246" s="438"/>
      <c r="N246" s="437"/>
      <c r="O246" s="438"/>
      <c r="P246" s="437"/>
      <c r="Q246" s="438"/>
      <c r="R246" s="437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438"/>
      <c r="J247" s="437"/>
      <c r="K247" s="438"/>
      <c r="L247" s="437"/>
      <c r="M247" s="438"/>
      <c r="N247" s="437"/>
      <c r="O247" s="438"/>
      <c r="P247" s="437"/>
      <c r="Q247" s="438"/>
      <c r="R247" s="437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438"/>
      <c r="J248" s="437"/>
      <c r="K248" s="438"/>
      <c r="L248" s="437"/>
      <c r="M248" s="438"/>
      <c r="N248" s="437"/>
      <c r="O248" s="438"/>
      <c r="P248" s="437"/>
      <c r="Q248" s="438"/>
      <c r="R248" s="437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438"/>
      <c r="J249" s="437"/>
      <c r="K249" s="438"/>
      <c r="L249" s="437"/>
      <c r="M249" s="438"/>
      <c r="N249" s="437"/>
      <c r="O249" s="438"/>
      <c r="P249" s="437"/>
      <c r="Q249" s="438"/>
      <c r="R249" s="437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438"/>
      <c r="J250" s="437"/>
      <c r="K250" s="438"/>
      <c r="L250" s="437"/>
      <c r="M250" s="438"/>
      <c r="N250" s="437"/>
      <c r="O250" s="438"/>
      <c r="P250" s="437"/>
      <c r="Q250" s="438"/>
      <c r="R250" s="437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438"/>
      <c r="J251" s="437"/>
      <c r="K251" s="438"/>
      <c r="L251" s="437"/>
      <c r="M251" s="438"/>
      <c r="N251" s="437"/>
      <c r="O251" s="438"/>
      <c r="P251" s="437"/>
      <c r="Q251" s="438"/>
      <c r="R251" s="437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438"/>
      <c r="J252" s="437"/>
      <c r="K252" s="438"/>
      <c r="L252" s="437"/>
      <c r="M252" s="438"/>
      <c r="N252" s="437"/>
      <c r="O252" s="438"/>
      <c r="P252" s="437"/>
      <c r="Q252" s="438"/>
      <c r="R252" s="437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438"/>
      <c r="J253" s="437"/>
      <c r="K253" s="438"/>
      <c r="L253" s="437"/>
      <c r="M253" s="438"/>
      <c r="N253" s="437"/>
      <c r="O253" s="438"/>
      <c r="P253" s="437"/>
      <c r="Q253" s="438"/>
      <c r="R253" s="437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438"/>
      <c r="J254" s="437"/>
      <c r="K254" s="438"/>
      <c r="L254" s="437"/>
      <c r="M254" s="438"/>
      <c r="N254" s="437"/>
      <c r="O254" s="438"/>
      <c r="P254" s="437"/>
      <c r="Q254" s="438"/>
      <c r="R254" s="437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438"/>
      <c r="J255" s="437"/>
      <c r="K255" s="438"/>
      <c r="L255" s="437"/>
      <c r="M255" s="438"/>
      <c r="N255" s="437"/>
      <c r="O255" s="438"/>
      <c r="P255" s="437"/>
      <c r="Q255" s="438"/>
      <c r="R255" s="437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438"/>
      <c r="J256" s="437"/>
      <c r="K256" s="438"/>
      <c r="L256" s="437"/>
      <c r="M256" s="438"/>
      <c r="N256" s="437"/>
      <c r="O256" s="438"/>
      <c r="P256" s="437"/>
      <c r="Q256" s="438"/>
      <c r="R256" s="437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438"/>
      <c r="J257" s="437"/>
      <c r="K257" s="438"/>
      <c r="L257" s="437"/>
      <c r="M257" s="438"/>
      <c r="N257" s="437"/>
      <c r="O257" s="438"/>
      <c r="P257" s="437"/>
      <c r="Q257" s="438"/>
      <c r="R257" s="437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438"/>
      <c r="J258" s="437"/>
      <c r="K258" s="438"/>
      <c r="L258" s="437"/>
      <c r="M258" s="438"/>
      <c r="N258" s="437"/>
      <c r="O258" s="438"/>
      <c r="P258" s="437"/>
      <c r="Q258" s="438"/>
      <c r="R258" s="437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438"/>
      <c r="J259" s="437"/>
      <c r="K259" s="438"/>
      <c r="L259" s="437"/>
      <c r="M259" s="438"/>
      <c r="N259" s="437"/>
      <c r="O259" s="438"/>
      <c r="P259" s="437"/>
      <c r="Q259" s="438"/>
      <c r="R259" s="437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438"/>
      <c r="J260" s="437"/>
      <c r="K260" s="438"/>
      <c r="L260" s="437"/>
      <c r="M260" s="438"/>
      <c r="N260" s="437"/>
      <c r="O260" s="438"/>
      <c r="P260" s="437"/>
      <c r="Q260" s="438"/>
      <c r="R260" s="437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438"/>
      <c r="J261" s="437"/>
      <c r="K261" s="438"/>
      <c r="L261" s="437"/>
      <c r="M261" s="438"/>
      <c r="N261" s="437"/>
      <c r="O261" s="438"/>
      <c r="P261" s="437"/>
      <c r="Q261" s="438"/>
      <c r="R261" s="437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438"/>
      <c r="J262" s="437"/>
      <c r="K262" s="438"/>
      <c r="L262" s="437"/>
      <c r="M262" s="438"/>
      <c r="N262" s="437"/>
      <c r="O262" s="438"/>
      <c r="P262" s="437"/>
      <c r="Q262" s="438"/>
      <c r="R262" s="437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438"/>
      <c r="J263" s="437"/>
      <c r="K263" s="438"/>
      <c r="L263" s="437"/>
      <c r="M263" s="438"/>
      <c r="N263" s="437"/>
      <c r="O263" s="438"/>
      <c r="P263" s="437"/>
      <c r="Q263" s="438"/>
      <c r="R263" s="437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438"/>
      <c r="J264" s="437"/>
      <c r="K264" s="438"/>
      <c r="L264" s="437"/>
      <c r="M264" s="438"/>
      <c r="N264" s="437"/>
      <c r="O264" s="438"/>
      <c r="P264" s="437"/>
      <c r="Q264" s="438"/>
      <c r="R264" s="437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438"/>
      <c r="J265" s="437"/>
      <c r="K265" s="438"/>
      <c r="L265" s="437"/>
      <c r="M265" s="438"/>
      <c r="N265" s="437"/>
      <c r="O265" s="438"/>
      <c r="P265" s="437"/>
      <c r="Q265" s="438"/>
      <c r="R265" s="437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438"/>
      <c r="J266" s="437"/>
      <c r="K266" s="438"/>
      <c r="L266" s="437"/>
      <c r="M266" s="438"/>
      <c r="N266" s="437"/>
      <c r="O266" s="438"/>
      <c r="P266" s="437"/>
      <c r="Q266" s="438"/>
      <c r="R266" s="437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438"/>
      <c r="J267" s="437"/>
      <c r="K267" s="438"/>
      <c r="L267" s="437"/>
      <c r="M267" s="438"/>
      <c r="N267" s="437"/>
      <c r="O267" s="438"/>
      <c r="P267" s="437"/>
      <c r="Q267" s="438"/>
      <c r="R267" s="437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438"/>
      <c r="J268" s="437"/>
      <c r="K268" s="438"/>
      <c r="L268" s="437"/>
      <c r="M268" s="438"/>
      <c r="N268" s="437"/>
      <c r="O268" s="438"/>
      <c r="P268" s="437"/>
      <c r="Q268" s="438"/>
      <c r="R268" s="437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438"/>
      <c r="J269" s="437"/>
      <c r="K269" s="438"/>
      <c r="L269" s="437"/>
      <c r="M269" s="438"/>
      <c r="N269" s="437"/>
      <c r="O269" s="438"/>
      <c r="P269" s="437"/>
      <c r="Q269" s="438"/>
      <c r="R269" s="437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438"/>
      <c r="J270" s="437"/>
      <c r="K270" s="438"/>
      <c r="L270" s="437"/>
      <c r="M270" s="438"/>
      <c r="N270" s="437"/>
      <c r="O270" s="438"/>
      <c r="P270" s="437"/>
      <c r="Q270" s="438"/>
      <c r="R270" s="437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438"/>
      <c r="J271" s="437"/>
      <c r="K271" s="438"/>
      <c r="L271" s="437"/>
      <c r="M271" s="438"/>
      <c r="N271" s="437"/>
      <c r="O271" s="438"/>
      <c r="P271" s="437"/>
      <c r="Q271" s="438"/>
      <c r="R271" s="437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438"/>
      <c r="J272" s="437"/>
      <c r="K272" s="438"/>
      <c r="L272" s="437"/>
      <c r="M272" s="438"/>
      <c r="N272" s="437"/>
      <c r="O272" s="438"/>
      <c r="P272" s="437"/>
      <c r="Q272" s="438"/>
      <c r="R272" s="437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438"/>
      <c r="J273" s="437"/>
      <c r="K273" s="438"/>
      <c r="L273" s="437"/>
      <c r="M273" s="438"/>
      <c r="N273" s="437"/>
      <c r="O273" s="438"/>
      <c r="P273" s="437"/>
      <c r="Q273" s="438"/>
      <c r="R273" s="437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438"/>
      <c r="J274" s="437"/>
      <c r="K274" s="438"/>
      <c r="L274" s="437"/>
      <c r="M274" s="438"/>
      <c r="N274" s="437"/>
      <c r="O274" s="438"/>
      <c r="P274" s="437"/>
      <c r="Q274" s="438"/>
      <c r="R274" s="437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438"/>
      <c r="J275" s="437"/>
      <c r="K275" s="438"/>
      <c r="L275" s="437"/>
      <c r="M275" s="438"/>
      <c r="N275" s="437"/>
      <c r="O275" s="438"/>
      <c r="P275" s="437"/>
      <c r="Q275" s="438"/>
      <c r="R275" s="437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438"/>
      <c r="J276" s="437"/>
      <c r="K276" s="438"/>
      <c r="L276" s="437"/>
      <c r="M276" s="438"/>
      <c r="N276" s="437"/>
      <c r="O276" s="438"/>
      <c r="P276" s="437"/>
      <c r="Q276" s="438"/>
      <c r="R276" s="437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438"/>
      <c r="J277" s="437"/>
      <c r="K277" s="438"/>
      <c r="L277" s="437"/>
      <c r="M277" s="438"/>
      <c r="N277" s="437"/>
      <c r="O277" s="438"/>
      <c r="P277" s="437"/>
      <c r="Q277" s="438"/>
      <c r="R277" s="437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438"/>
      <c r="J278" s="437"/>
      <c r="K278" s="438"/>
      <c r="L278" s="437"/>
      <c r="M278" s="438"/>
      <c r="N278" s="437"/>
      <c r="O278" s="438"/>
      <c r="P278" s="437"/>
      <c r="Q278" s="438"/>
      <c r="R278" s="437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438"/>
      <c r="J279" s="437"/>
      <c r="K279" s="438"/>
      <c r="L279" s="437"/>
      <c r="M279" s="438"/>
      <c r="N279" s="437"/>
      <c r="O279" s="438"/>
      <c r="P279" s="437"/>
      <c r="Q279" s="438"/>
      <c r="R279" s="437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438"/>
      <c r="J280" s="437"/>
      <c r="K280" s="438"/>
      <c r="L280" s="437"/>
      <c r="M280" s="438"/>
      <c r="N280" s="437"/>
      <c r="O280" s="438"/>
      <c r="P280" s="437"/>
      <c r="Q280" s="438"/>
      <c r="R280" s="437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438"/>
      <c r="J281" s="437"/>
      <c r="K281" s="438"/>
      <c r="L281" s="437"/>
      <c r="M281" s="438"/>
      <c r="N281" s="437"/>
      <c r="O281" s="438"/>
      <c r="P281" s="437"/>
      <c r="Q281" s="438"/>
      <c r="R281" s="437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438"/>
      <c r="J282" s="437"/>
      <c r="K282" s="438"/>
      <c r="L282" s="437"/>
      <c r="M282" s="438"/>
      <c r="N282" s="437"/>
      <c r="O282" s="438"/>
      <c r="P282" s="437"/>
      <c r="Q282" s="438"/>
      <c r="R282" s="437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438"/>
      <c r="J283" s="437"/>
      <c r="K283" s="438"/>
      <c r="L283" s="437"/>
      <c r="M283" s="438"/>
      <c r="N283" s="437"/>
      <c r="O283" s="438"/>
      <c r="P283" s="437"/>
      <c r="Q283" s="438"/>
      <c r="R283" s="437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438"/>
      <c r="J284" s="437"/>
      <c r="K284" s="438"/>
      <c r="L284" s="437"/>
      <c r="M284" s="438"/>
      <c r="N284" s="437"/>
      <c r="O284" s="438"/>
      <c r="P284" s="437"/>
      <c r="Q284" s="438"/>
      <c r="R284" s="437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438"/>
      <c r="J285" s="437"/>
      <c r="K285" s="438"/>
      <c r="L285" s="437"/>
      <c r="M285" s="438"/>
      <c r="N285" s="437"/>
      <c r="O285" s="438"/>
      <c r="P285" s="437"/>
      <c r="Q285" s="438"/>
      <c r="R285" s="437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438"/>
      <c r="J286" s="437"/>
      <c r="K286" s="438"/>
      <c r="L286" s="437"/>
      <c r="M286" s="438"/>
      <c r="N286" s="437"/>
      <c r="O286" s="438"/>
      <c r="P286" s="437"/>
      <c r="Q286" s="438"/>
      <c r="R286" s="437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438"/>
      <c r="J287" s="437"/>
      <c r="K287" s="438"/>
      <c r="L287" s="437"/>
      <c r="M287" s="438"/>
      <c r="N287" s="437"/>
      <c r="O287" s="438"/>
      <c r="P287" s="437"/>
      <c r="Q287" s="438"/>
      <c r="R287" s="437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438"/>
      <c r="J288" s="437"/>
      <c r="K288" s="438"/>
      <c r="L288" s="437"/>
      <c r="M288" s="438"/>
      <c r="N288" s="437"/>
      <c r="O288" s="438"/>
      <c r="P288" s="437"/>
      <c r="Q288" s="438"/>
      <c r="R288" s="437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438"/>
      <c r="J289" s="437"/>
      <c r="K289" s="438"/>
      <c r="L289" s="437"/>
      <c r="M289" s="438"/>
      <c r="N289" s="437"/>
      <c r="O289" s="438"/>
      <c r="P289" s="437"/>
      <c r="Q289" s="438"/>
      <c r="R289" s="437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438"/>
      <c r="J290" s="437"/>
      <c r="K290" s="438"/>
      <c r="L290" s="437"/>
      <c r="M290" s="438"/>
      <c r="N290" s="437"/>
      <c r="O290" s="438"/>
      <c r="P290" s="437"/>
      <c r="Q290" s="438"/>
      <c r="R290" s="437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438"/>
      <c r="J291" s="437"/>
      <c r="K291" s="438"/>
      <c r="L291" s="437"/>
      <c r="M291" s="438"/>
      <c r="N291" s="437"/>
      <c r="O291" s="438"/>
      <c r="P291" s="437"/>
      <c r="Q291" s="438"/>
      <c r="R291" s="437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438"/>
      <c r="J292" s="437"/>
      <c r="K292" s="438"/>
      <c r="L292" s="437"/>
      <c r="M292" s="438"/>
      <c r="N292" s="437"/>
      <c r="O292" s="438"/>
      <c r="P292" s="437"/>
      <c r="Q292" s="438"/>
      <c r="R292" s="437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438"/>
      <c r="J293" s="437"/>
      <c r="K293" s="438"/>
      <c r="L293" s="437"/>
      <c r="M293" s="438"/>
      <c r="N293" s="437"/>
      <c r="O293" s="438"/>
      <c r="P293" s="437"/>
      <c r="Q293" s="438"/>
      <c r="R293" s="437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438"/>
      <c r="J294" s="437"/>
      <c r="K294" s="438"/>
      <c r="L294" s="437"/>
      <c r="M294" s="438"/>
      <c r="N294" s="437"/>
      <c r="O294" s="438"/>
      <c r="P294" s="437"/>
      <c r="Q294" s="438"/>
      <c r="R294" s="437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438"/>
      <c r="J295" s="437"/>
      <c r="K295" s="438"/>
      <c r="L295" s="437"/>
      <c r="M295" s="438"/>
      <c r="N295" s="437"/>
      <c r="O295" s="438"/>
      <c r="P295" s="437"/>
      <c r="Q295" s="438"/>
      <c r="R295" s="437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438"/>
      <c r="J296" s="437"/>
      <c r="K296" s="438"/>
      <c r="L296" s="437"/>
      <c r="M296" s="438"/>
      <c r="N296" s="437"/>
      <c r="O296" s="438"/>
      <c r="P296" s="437"/>
      <c r="Q296" s="438"/>
      <c r="R296" s="437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438"/>
      <c r="J297" s="437"/>
      <c r="K297" s="438"/>
      <c r="L297" s="437"/>
      <c r="M297" s="438"/>
      <c r="N297" s="437"/>
      <c r="O297" s="438"/>
      <c r="P297" s="437"/>
      <c r="Q297" s="438"/>
      <c r="R297" s="437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438"/>
      <c r="J298" s="437"/>
      <c r="K298" s="438"/>
      <c r="L298" s="437"/>
      <c r="M298" s="438"/>
      <c r="N298" s="437"/>
      <c r="O298" s="438"/>
      <c r="P298" s="437"/>
      <c r="Q298" s="438"/>
      <c r="R298" s="437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438"/>
      <c r="J299" s="437"/>
      <c r="K299" s="438"/>
      <c r="L299" s="437"/>
      <c r="M299" s="438"/>
      <c r="N299" s="437"/>
      <c r="O299" s="438"/>
      <c r="P299" s="437"/>
      <c r="Q299" s="438"/>
      <c r="R299" s="437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438"/>
      <c r="J300" s="437"/>
      <c r="K300" s="438"/>
      <c r="L300" s="437"/>
      <c r="M300" s="438"/>
      <c r="N300" s="437"/>
      <c r="O300" s="438"/>
      <c r="P300" s="437"/>
      <c r="Q300" s="438"/>
      <c r="R300" s="437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438"/>
      <c r="J301" s="437"/>
      <c r="K301" s="438"/>
      <c r="L301" s="437"/>
      <c r="M301" s="438"/>
      <c r="N301" s="437"/>
      <c r="O301" s="438"/>
      <c r="P301" s="437"/>
      <c r="Q301" s="438"/>
      <c r="R301" s="437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438"/>
      <c r="J302" s="437"/>
      <c r="K302" s="438"/>
      <c r="L302" s="437"/>
      <c r="M302" s="438"/>
      <c r="N302" s="437"/>
      <c r="O302" s="438"/>
      <c r="P302" s="437"/>
      <c r="Q302" s="438"/>
      <c r="R302" s="437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438"/>
      <c r="J303" s="437"/>
      <c r="K303" s="438"/>
      <c r="L303" s="437"/>
      <c r="M303" s="438"/>
      <c r="N303" s="437"/>
      <c r="O303" s="438"/>
      <c r="P303" s="437"/>
      <c r="Q303" s="438"/>
      <c r="R303" s="437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438"/>
      <c r="J304" s="437"/>
      <c r="K304" s="438"/>
      <c r="L304" s="437"/>
      <c r="M304" s="438"/>
      <c r="N304" s="437"/>
      <c r="O304" s="438"/>
      <c r="P304" s="437"/>
      <c r="Q304" s="438"/>
      <c r="R304" s="437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438"/>
      <c r="J305" s="437"/>
      <c r="K305" s="438"/>
      <c r="L305" s="437"/>
      <c r="M305" s="438"/>
      <c r="N305" s="437"/>
      <c r="O305" s="438"/>
      <c r="P305" s="437"/>
      <c r="Q305" s="438"/>
      <c r="R305" s="437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438"/>
      <c r="J306" s="437"/>
      <c r="K306" s="438"/>
      <c r="L306" s="437"/>
      <c r="M306" s="438"/>
      <c r="N306" s="437"/>
      <c r="O306" s="438"/>
      <c r="P306" s="437"/>
      <c r="Q306" s="438"/>
      <c r="R306" s="437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438"/>
      <c r="J307" s="437"/>
      <c r="K307" s="438"/>
      <c r="L307" s="437"/>
      <c r="M307" s="438"/>
      <c r="N307" s="437"/>
      <c r="O307" s="438"/>
      <c r="P307" s="437"/>
      <c r="Q307" s="438"/>
      <c r="R307" s="437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438"/>
      <c r="J308" s="437"/>
      <c r="K308" s="438"/>
      <c r="L308" s="437"/>
      <c r="M308" s="438"/>
      <c r="N308" s="437"/>
      <c r="O308" s="438"/>
      <c r="P308" s="437"/>
      <c r="Q308" s="438"/>
      <c r="R308" s="437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438"/>
      <c r="J309" s="437"/>
      <c r="K309" s="438"/>
      <c r="L309" s="437"/>
      <c r="M309" s="438"/>
      <c r="N309" s="437"/>
      <c r="O309" s="438"/>
      <c r="P309" s="437"/>
      <c r="Q309" s="438"/>
      <c r="R309" s="437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438"/>
      <c r="J310" s="437"/>
      <c r="K310" s="438"/>
      <c r="L310" s="437"/>
      <c r="M310" s="438"/>
      <c r="N310" s="437"/>
      <c r="O310" s="438"/>
      <c r="P310" s="437"/>
      <c r="Q310" s="438"/>
      <c r="R310" s="437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438"/>
      <c r="J311" s="437"/>
      <c r="K311" s="438"/>
      <c r="L311" s="437"/>
      <c r="M311" s="438"/>
      <c r="N311" s="437"/>
      <c r="O311" s="438"/>
      <c r="P311" s="437"/>
      <c r="Q311" s="438"/>
      <c r="R311" s="437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438"/>
      <c r="J312" s="437"/>
      <c r="K312" s="438"/>
      <c r="L312" s="437"/>
      <c r="M312" s="438"/>
      <c r="N312" s="437"/>
      <c r="O312" s="438"/>
      <c r="P312" s="437"/>
      <c r="Q312" s="438"/>
      <c r="R312" s="437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438"/>
      <c r="J313" s="437"/>
      <c r="K313" s="438"/>
      <c r="L313" s="437"/>
      <c r="M313" s="438"/>
      <c r="N313" s="437"/>
      <c r="O313" s="438"/>
      <c r="P313" s="437"/>
      <c r="Q313" s="438"/>
      <c r="R313" s="437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438"/>
      <c r="J314" s="437"/>
      <c r="K314" s="438"/>
      <c r="L314" s="437"/>
      <c r="M314" s="438"/>
      <c r="N314" s="437"/>
      <c r="O314" s="438"/>
      <c r="P314" s="437"/>
      <c r="Q314" s="438"/>
      <c r="R314" s="437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438"/>
      <c r="J315" s="437"/>
      <c r="K315" s="438"/>
      <c r="L315" s="437"/>
      <c r="M315" s="438"/>
      <c r="N315" s="437"/>
      <c r="O315" s="438"/>
      <c r="P315" s="437"/>
      <c r="Q315" s="438"/>
      <c r="R315" s="437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438"/>
      <c r="J316" s="437"/>
      <c r="K316" s="438"/>
      <c r="L316" s="437"/>
      <c r="M316" s="438"/>
      <c r="N316" s="437"/>
      <c r="O316" s="438"/>
      <c r="P316" s="437"/>
      <c r="Q316" s="438"/>
      <c r="R316" s="437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438"/>
      <c r="J317" s="437"/>
      <c r="K317" s="438"/>
      <c r="L317" s="437"/>
      <c r="M317" s="438"/>
      <c r="N317" s="437"/>
      <c r="O317" s="438"/>
      <c r="P317" s="437"/>
      <c r="Q317" s="438"/>
      <c r="R317" s="437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438"/>
      <c r="J318" s="437"/>
      <c r="K318" s="438"/>
      <c r="L318" s="437"/>
      <c r="M318" s="438"/>
      <c r="N318" s="437"/>
      <c r="O318" s="438"/>
      <c r="P318" s="437"/>
      <c r="Q318" s="438"/>
      <c r="R318" s="437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438"/>
      <c r="J319" s="437"/>
      <c r="K319" s="438"/>
      <c r="L319" s="437"/>
      <c r="M319" s="438"/>
      <c r="N319" s="437"/>
      <c r="O319" s="438"/>
      <c r="P319" s="437"/>
      <c r="Q319" s="438"/>
      <c r="R319" s="437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438"/>
      <c r="J320" s="437"/>
      <c r="K320" s="438"/>
      <c r="L320" s="437"/>
      <c r="M320" s="438"/>
      <c r="N320" s="437"/>
      <c r="O320" s="438"/>
      <c r="P320" s="437"/>
      <c r="Q320" s="438"/>
      <c r="R320" s="437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438"/>
      <c r="J321" s="437"/>
      <c r="K321" s="438"/>
      <c r="L321" s="437"/>
      <c r="M321" s="438"/>
      <c r="N321" s="437"/>
      <c r="O321" s="438"/>
      <c r="P321" s="437"/>
      <c r="Q321" s="438"/>
      <c r="R321" s="437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438"/>
      <c r="J322" s="437"/>
      <c r="K322" s="438"/>
      <c r="L322" s="437"/>
      <c r="M322" s="438"/>
      <c r="N322" s="437"/>
      <c r="O322" s="438"/>
      <c r="P322" s="437"/>
      <c r="Q322" s="438"/>
      <c r="R322" s="437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438"/>
      <c r="J323" s="437"/>
      <c r="K323" s="438"/>
      <c r="L323" s="437"/>
      <c r="M323" s="438"/>
      <c r="N323" s="437"/>
      <c r="O323" s="438"/>
      <c r="P323" s="437"/>
      <c r="Q323" s="438"/>
      <c r="R323" s="437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438"/>
      <c r="J324" s="437"/>
      <c r="K324" s="438"/>
      <c r="L324" s="437"/>
      <c r="M324" s="438"/>
      <c r="N324" s="437"/>
      <c r="O324" s="438"/>
      <c r="P324" s="437"/>
      <c r="Q324" s="438"/>
      <c r="R324" s="437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438"/>
      <c r="J325" s="437"/>
      <c r="K325" s="438"/>
      <c r="L325" s="437"/>
      <c r="M325" s="438"/>
      <c r="N325" s="437"/>
      <c r="O325" s="438"/>
      <c r="P325" s="437"/>
      <c r="Q325" s="438"/>
      <c r="R325" s="437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438"/>
      <c r="J326" s="437"/>
      <c r="K326" s="438"/>
      <c r="L326" s="437"/>
      <c r="M326" s="438"/>
      <c r="N326" s="437"/>
      <c r="O326" s="438"/>
      <c r="P326" s="437"/>
      <c r="Q326" s="438"/>
      <c r="R326" s="437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438"/>
      <c r="J327" s="437"/>
      <c r="K327" s="438"/>
      <c r="L327" s="437"/>
      <c r="M327" s="438"/>
      <c r="N327" s="437"/>
      <c r="O327" s="438"/>
      <c r="P327" s="437"/>
      <c r="Q327" s="438"/>
      <c r="R327" s="437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438"/>
      <c r="J328" s="437"/>
      <c r="K328" s="438"/>
      <c r="L328" s="437"/>
      <c r="M328" s="438"/>
      <c r="N328" s="437"/>
      <c r="O328" s="438"/>
      <c r="P328" s="437"/>
      <c r="Q328" s="438"/>
      <c r="R328" s="437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438"/>
      <c r="J329" s="437"/>
      <c r="K329" s="438"/>
      <c r="L329" s="437"/>
      <c r="M329" s="438"/>
      <c r="N329" s="437"/>
      <c r="O329" s="438"/>
      <c r="P329" s="437"/>
      <c r="Q329" s="438"/>
      <c r="R329" s="437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438"/>
      <c r="J330" s="437"/>
      <c r="K330" s="438"/>
      <c r="L330" s="437"/>
      <c r="M330" s="438"/>
      <c r="N330" s="437"/>
      <c r="O330" s="438"/>
      <c r="P330" s="437"/>
      <c r="Q330" s="438"/>
      <c r="R330" s="437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438"/>
      <c r="J331" s="437"/>
      <c r="K331" s="438"/>
      <c r="L331" s="437"/>
      <c r="M331" s="438"/>
      <c r="N331" s="437"/>
      <c r="O331" s="438"/>
      <c r="P331" s="437"/>
      <c r="Q331" s="438"/>
      <c r="R331" s="437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438"/>
      <c r="J332" s="437"/>
      <c r="K332" s="438"/>
      <c r="L332" s="437"/>
      <c r="M332" s="438"/>
      <c r="N332" s="437"/>
      <c r="O332" s="438"/>
      <c r="P332" s="437"/>
      <c r="Q332" s="438"/>
      <c r="R332" s="437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438"/>
      <c r="J333" s="437"/>
      <c r="K333" s="438"/>
      <c r="L333" s="437"/>
      <c r="M333" s="438"/>
      <c r="N333" s="437"/>
      <c r="O333" s="438"/>
      <c r="P333" s="437"/>
      <c r="Q333" s="438"/>
      <c r="R333" s="437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438"/>
      <c r="J334" s="437"/>
      <c r="K334" s="438"/>
      <c r="L334" s="437"/>
      <c r="M334" s="438"/>
      <c r="N334" s="437"/>
      <c r="O334" s="438"/>
      <c r="P334" s="437"/>
      <c r="Q334" s="438"/>
      <c r="R334" s="437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438"/>
      <c r="J335" s="437"/>
      <c r="K335" s="438"/>
      <c r="L335" s="437"/>
      <c r="M335" s="438"/>
      <c r="N335" s="437"/>
      <c r="O335" s="438"/>
      <c r="P335" s="437"/>
      <c r="Q335" s="438"/>
      <c r="R335" s="437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438"/>
      <c r="J336" s="437"/>
      <c r="K336" s="438"/>
      <c r="L336" s="437"/>
      <c r="M336" s="438"/>
      <c r="N336" s="437"/>
      <c r="O336" s="438"/>
      <c r="P336" s="437"/>
      <c r="Q336" s="438"/>
      <c r="R336" s="437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438"/>
      <c r="J337" s="437"/>
      <c r="K337" s="438"/>
      <c r="L337" s="437"/>
      <c r="M337" s="438"/>
      <c r="N337" s="437"/>
      <c r="O337" s="438"/>
      <c r="P337" s="437"/>
      <c r="Q337" s="438"/>
      <c r="R337" s="437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438"/>
      <c r="J338" s="437"/>
      <c r="K338" s="438"/>
      <c r="L338" s="437"/>
      <c r="M338" s="438"/>
      <c r="N338" s="437"/>
      <c r="O338" s="438"/>
      <c r="P338" s="437"/>
      <c r="Q338" s="438"/>
      <c r="R338" s="437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438"/>
      <c r="J339" s="437"/>
      <c r="K339" s="438"/>
      <c r="L339" s="437"/>
      <c r="M339" s="438"/>
      <c r="N339" s="437"/>
      <c r="O339" s="438"/>
      <c r="P339" s="437"/>
      <c r="Q339" s="438"/>
      <c r="R339" s="437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438"/>
      <c r="J340" s="437"/>
      <c r="K340" s="438"/>
      <c r="L340" s="437"/>
      <c r="M340" s="438"/>
      <c r="N340" s="437"/>
      <c r="O340" s="438"/>
      <c r="P340" s="437"/>
      <c r="Q340" s="438"/>
      <c r="R340" s="437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438"/>
      <c r="J341" s="437"/>
      <c r="K341" s="438"/>
      <c r="L341" s="437"/>
      <c r="M341" s="438"/>
      <c r="N341" s="437"/>
      <c r="O341" s="438"/>
      <c r="P341" s="437"/>
      <c r="Q341" s="438"/>
      <c r="R341" s="437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438"/>
      <c r="J342" s="437"/>
      <c r="K342" s="438"/>
      <c r="L342" s="437"/>
      <c r="M342" s="438"/>
      <c r="N342" s="437"/>
      <c r="O342" s="438"/>
      <c r="P342" s="437"/>
      <c r="Q342" s="438"/>
      <c r="R342" s="437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438"/>
      <c r="J343" s="437"/>
      <c r="K343" s="438"/>
      <c r="L343" s="437"/>
      <c r="M343" s="438"/>
      <c r="N343" s="437"/>
      <c r="O343" s="438"/>
      <c r="P343" s="437"/>
      <c r="Q343" s="438"/>
      <c r="R343" s="437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438"/>
      <c r="J344" s="437"/>
      <c r="K344" s="438"/>
      <c r="L344" s="437"/>
      <c r="M344" s="438"/>
      <c r="N344" s="437"/>
      <c r="O344" s="438"/>
      <c r="P344" s="437"/>
      <c r="Q344" s="438"/>
      <c r="R344" s="437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438"/>
      <c r="J345" s="437"/>
      <c r="K345" s="438"/>
      <c r="L345" s="437"/>
      <c r="M345" s="438"/>
      <c r="N345" s="437"/>
      <c r="O345" s="438"/>
      <c r="P345" s="437"/>
      <c r="Q345" s="438"/>
      <c r="R345" s="437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438"/>
      <c r="J346" s="437"/>
      <c r="K346" s="438"/>
      <c r="L346" s="437"/>
      <c r="M346" s="438"/>
      <c r="N346" s="437"/>
      <c r="O346" s="438"/>
      <c r="P346" s="437"/>
      <c r="Q346" s="438"/>
      <c r="R346" s="437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438"/>
      <c r="J347" s="437"/>
      <c r="K347" s="438"/>
      <c r="L347" s="437"/>
      <c r="M347" s="438"/>
      <c r="N347" s="437"/>
      <c r="O347" s="438"/>
      <c r="P347" s="437"/>
      <c r="Q347" s="438"/>
      <c r="R347" s="437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438"/>
      <c r="J348" s="437"/>
      <c r="K348" s="438"/>
      <c r="L348" s="437"/>
      <c r="M348" s="438"/>
      <c r="N348" s="437"/>
      <c r="O348" s="438"/>
      <c r="P348" s="437"/>
      <c r="Q348" s="438"/>
      <c r="R348" s="437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438"/>
      <c r="J349" s="437"/>
      <c r="K349" s="438"/>
      <c r="L349" s="437"/>
      <c r="M349" s="438"/>
      <c r="N349" s="437"/>
      <c r="O349" s="438"/>
      <c r="P349" s="437"/>
      <c r="Q349" s="438"/>
      <c r="R349" s="437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438"/>
      <c r="J350" s="437"/>
      <c r="K350" s="438"/>
      <c r="L350" s="437"/>
      <c r="M350" s="438"/>
      <c r="N350" s="437"/>
      <c r="O350" s="438"/>
      <c r="P350" s="437"/>
      <c r="Q350" s="438"/>
      <c r="R350" s="437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438"/>
      <c r="J351" s="437"/>
      <c r="K351" s="438"/>
      <c r="L351" s="437"/>
      <c r="M351" s="438"/>
      <c r="N351" s="437"/>
      <c r="O351" s="438"/>
      <c r="P351" s="437"/>
      <c r="Q351" s="438"/>
      <c r="R351" s="437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438"/>
      <c r="J352" s="437"/>
      <c r="K352" s="438"/>
      <c r="L352" s="437"/>
      <c r="M352" s="438"/>
      <c r="N352" s="437"/>
      <c r="O352" s="438"/>
      <c r="P352" s="437"/>
      <c r="Q352" s="438"/>
      <c r="R352" s="437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438"/>
      <c r="J353" s="437"/>
      <c r="K353" s="438"/>
      <c r="L353" s="437"/>
      <c r="M353" s="438"/>
      <c r="N353" s="437"/>
      <c r="O353" s="438"/>
      <c r="P353" s="437"/>
      <c r="Q353" s="438"/>
      <c r="R353" s="437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438"/>
      <c r="J354" s="437"/>
      <c r="K354" s="438"/>
      <c r="L354" s="437"/>
      <c r="M354" s="438"/>
      <c r="N354" s="437"/>
      <c r="O354" s="438"/>
      <c r="P354" s="437"/>
      <c r="Q354" s="438"/>
      <c r="R354" s="437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438"/>
      <c r="J355" s="437"/>
      <c r="K355" s="438"/>
      <c r="L355" s="437"/>
      <c r="M355" s="438"/>
      <c r="N355" s="437"/>
      <c r="O355" s="438"/>
      <c r="P355" s="437"/>
      <c r="Q355" s="438"/>
      <c r="R355" s="437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438"/>
      <c r="J356" s="437"/>
      <c r="K356" s="438"/>
      <c r="L356" s="437"/>
      <c r="M356" s="438"/>
      <c r="N356" s="437"/>
      <c r="O356" s="438"/>
      <c r="P356" s="437"/>
      <c r="Q356" s="438"/>
      <c r="R356" s="437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438"/>
      <c r="J357" s="437"/>
      <c r="K357" s="438"/>
      <c r="L357" s="437"/>
      <c r="M357" s="438"/>
      <c r="N357" s="437"/>
      <c r="O357" s="438"/>
      <c r="P357" s="437"/>
      <c r="Q357" s="438"/>
      <c r="R357" s="437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438"/>
      <c r="J358" s="437"/>
      <c r="K358" s="438"/>
      <c r="L358" s="437"/>
      <c r="M358" s="438"/>
      <c r="N358" s="437"/>
      <c r="O358" s="438"/>
      <c r="P358" s="437"/>
      <c r="Q358" s="438"/>
      <c r="R358" s="437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438"/>
      <c r="J359" s="437"/>
      <c r="K359" s="438"/>
      <c r="L359" s="437"/>
      <c r="M359" s="438"/>
      <c r="N359" s="437"/>
      <c r="O359" s="438"/>
      <c r="P359" s="437"/>
      <c r="Q359" s="438"/>
      <c r="R359" s="437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438"/>
      <c r="J360" s="437"/>
      <c r="K360" s="438"/>
      <c r="L360" s="437"/>
      <c r="M360" s="438"/>
      <c r="N360" s="437"/>
      <c r="O360" s="438"/>
      <c r="P360" s="437"/>
      <c r="Q360" s="438"/>
      <c r="R360" s="437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438"/>
      <c r="J361" s="437"/>
      <c r="K361" s="438"/>
      <c r="L361" s="437"/>
      <c r="M361" s="438"/>
      <c r="N361" s="437"/>
      <c r="O361" s="438"/>
      <c r="P361" s="437"/>
      <c r="Q361" s="438"/>
      <c r="R361" s="437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438"/>
      <c r="J362" s="437"/>
      <c r="K362" s="438"/>
      <c r="L362" s="437"/>
      <c r="M362" s="438"/>
      <c r="N362" s="437"/>
      <c r="O362" s="438"/>
      <c r="P362" s="437"/>
      <c r="Q362" s="438"/>
      <c r="R362" s="437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438"/>
      <c r="J363" s="437"/>
      <c r="K363" s="438"/>
      <c r="L363" s="437"/>
      <c r="M363" s="438"/>
      <c r="N363" s="437"/>
      <c r="O363" s="438"/>
      <c r="P363" s="437"/>
      <c r="Q363" s="438"/>
      <c r="R363" s="437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438"/>
      <c r="J364" s="437"/>
      <c r="K364" s="438"/>
      <c r="L364" s="437"/>
      <c r="M364" s="438"/>
      <c r="N364" s="437"/>
      <c r="O364" s="438"/>
      <c r="P364" s="437"/>
      <c r="Q364" s="438"/>
      <c r="R364" s="437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438"/>
      <c r="J365" s="437"/>
      <c r="K365" s="438"/>
      <c r="L365" s="437"/>
      <c r="M365" s="438"/>
      <c r="N365" s="437"/>
      <c r="O365" s="438"/>
      <c r="P365" s="437"/>
      <c r="Q365" s="438"/>
      <c r="R365" s="437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438"/>
      <c r="J366" s="437"/>
      <c r="K366" s="438"/>
      <c r="L366" s="437"/>
      <c r="M366" s="438"/>
      <c r="N366" s="437"/>
      <c r="O366" s="438"/>
      <c r="P366" s="437"/>
      <c r="Q366" s="438"/>
      <c r="R366" s="437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438"/>
      <c r="J367" s="437"/>
      <c r="K367" s="438"/>
      <c r="L367" s="437"/>
      <c r="M367" s="438"/>
      <c r="N367" s="437"/>
      <c r="O367" s="438"/>
      <c r="P367" s="437"/>
      <c r="Q367" s="438"/>
      <c r="R367" s="437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438"/>
      <c r="J368" s="437"/>
      <c r="K368" s="438"/>
      <c r="L368" s="437"/>
      <c r="M368" s="438"/>
      <c r="N368" s="437"/>
      <c r="O368" s="438"/>
      <c r="P368" s="437"/>
      <c r="Q368" s="438"/>
      <c r="R368" s="437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438"/>
      <c r="J369" s="437"/>
      <c r="K369" s="438"/>
      <c r="L369" s="437"/>
      <c r="M369" s="438"/>
      <c r="N369" s="437"/>
      <c r="O369" s="438"/>
      <c r="P369" s="437"/>
      <c r="Q369" s="438"/>
      <c r="R369" s="437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438"/>
      <c r="J370" s="437"/>
      <c r="K370" s="438"/>
      <c r="L370" s="437"/>
      <c r="M370" s="438"/>
      <c r="N370" s="437"/>
      <c r="O370" s="438"/>
      <c r="P370" s="437"/>
      <c r="Q370" s="438"/>
      <c r="R370" s="437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438"/>
      <c r="J371" s="437"/>
      <c r="K371" s="438"/>
      <c r="L371" s="437"/>
      <c r="M371" s="438"/>
      <c r="N371" s="437"/>
      <c r="O371" s="438"/>
      <c r="P371" s="437"/>
      <c r="Q371" s="438"/>
      <c r="R371" s="437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438"/>
      <c r="J372" s="437"/>
      <c r="K372" s="438"/>
      <c r="L372" s="437"/>
      <c r="M372" s="438"/>
      <c r="N372" s="437"/>
      <c r="O372" s="438"/>
      <c r="P372" s="437"/>
      <c r="Q372" s="438"/>
      <c r="R372" s="437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438"/>
      <c r="J373" s="437"/>
      <c r="K373" s="438"/>
      <c r="L373" s="437"/>
      <c r="M373" s="438"/>
      <c r="N373" s="437"/>
      <c r="O373" s="438"/>
      <c r="P373" s="437"/>
      <c r="Q373" s="438"/>
      <c r="R373" s="437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438"/>
      <c r="J374" s="437"/>
      <c r="K374" s="438"/>
      <c r="L374" s="437"/>
      <c r="M374" s="438"/>
      <c r="N374" s="437"/>
      <c r="O374" s="438"/>
      <c r="P374" s="437"/>
      <c r="Q374" s="438"/>
      <c r="R374" s="437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438"/>
      <c r="J375" s="437"/>
      <c r="K375" s="438"/>
      <c r="L375" s="437"/>
      <c r="M375" s="438"/>
      <c r="N375" s="437"/>
      <c r="O375" s="438"/>
      <c r="P375" s="437"/>
      <c r="Q375" s="438"/>
      <c r="R375" s="437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438"/>
      <c r="J376" s="437"/>
      <c r="K376" s="438"/>
      <c r="L376" s="437"/>
      <c r="M376" s="438"/>
      <c r="N376" s="437"/>
      <c r="O376" s="438"/>
      <c r="P376" s="437"/>
      <c r="Q376" s="438"/>
      <c r="R376" s="437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438"/>
      <c r="J377" s="437"/>
      <c r="K377" s="438"/>
      <c r="L377" s="437"/>
      <c r="M377" s="438"/>
      <c r="N377" s="437"/>
      <c r="O377" s="438"/>
      <c r="P377" s="437"/>
      <c r="Q377" s="438"/>
      <c r="R377" s="437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438"/>
      <c r="J378" s="437"/>
      <c r="K378" s="438"/>
      <c r="L378" s="437"/>
      <c r="M378" s="438"/>
      <c r="N378" s="437"/>
      <c r="O378" s="438"/>
      <c r="P378" s="437"/>
      <c r="Q378" s="438"/>
      <c r="R378" s="437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438"/>
      <c r="J379" s="437"/>
      <c r="K379" s="438"/>
      <c r="L379" s="437"/>
      <c r="M379" s="438"/>
      <c r="N379" s="437"/>
      <c r="O379" s="438"/>
      <c r="P379" s="437"/>
      <c r="Q379" s="438"/>
      <c r="R379" s="437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438"/>
      <c r="J380" s="437"/>
      <c r="K380" s="438"/>
      <c r="L380" s="437"/>
      <c r="M380" s="438"/>
      <c r="N380" s="437"/>
      <c r="O380" s="438"/>
      <c r="P380" s="437"/>
      <c r="Q380" s="438"/>
      <c r="R380" s="437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438"/>
      <c r="J381" s="437"/>
      <c r="K381" s="438"/>
      <c r="L381" s="437"/>
      <c r="M381" s="438"/>
      <c r="N381" s="437"/>
      <c r="O381" s="438"/>
      <c r="P381" s="437"/>
      <c r="Q381" s="438"/>
      <c r="R381" s="437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438"/>
      <c r="J382" s="437"/>
      <c r="K382" s="438"/>
      <c r="L382" s="437"/>
      <c r="M382" s="438"/>
      <c r="N382" s="437"/>
      <c r="O382" s="438"/>
      <c r="P382" s="437"/>
      <c r="Q382" s="438"/>
      <c r="R382" s="437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438"/>
      <c r="J383" s="437"/>
      <c r="K383" s="438"/>
      <c r="L383" s="437"/>
      <c r="M383" s="438"/>
      <c r="N383" s="437"/>
      <c r="O383" s="438"/>
      <c r="P383" s="437"/>
      <c r="Q383" s="438"/>
      <c r="R383" s="437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438"/>
      <c r="J384" s="437"/>
      <c r="K384" s="438"/>
      <c r="L384" s="437"/>
      <c r="M384" s="438"/>
      <c r="N384" s="437"/>
      <c r="O384" s="438"/>
      <c r="P384" s="437"/>
      <c r="Q384" s="438"/>
      <c r="R384" s="437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438"/>
      <c r="J385" s="437"/>
      <c r="K385" s="438"/>
      <c r="L385" s="437"/>
      <c r="M385" s="438"/>
      <c r="N385" s="437"/>
      <c r="O385" s="438"/>
      <c r="P385" s="437"/>
      <c r="Q385" s="438"/>
      <c r="R385" s="437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438"/>
      <c r="J386" s="437"/>
      <c r="K386" s="438"/>
      <c r="L386" s="437"/>
      <c r="M386" s="438"/>
      <c r="N386" s="437"/>
      <c r="O386" s="438"/>
      <c r="P386" s="437"/>
      <c r="Q386" s="438"/>
      <c r="R386" s="437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438"/>
      <c r="J387" s="437"/>
      <c r="K387" s="438"/>
      <c r="L387" s="437"/>
      <c r="M387" s="438"/>
      <c r="N387" s="437"/>
      <c r="O387" s="438"/>
      <c r="P387" s="437"/>
      <c r="Q387" s="438"/>
      <c r="R387" s="437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438"/>
      <c r="J388" s="437"/>
      <c r="K388" s="438"/>
      <c r="L388" s="437"/>
      <c r="M388" s="438"/>
      <c r="N388" s="437"/>
      <c r="O388" s="438"/>
      <c r="P388" s="437"/>
      <c r="Q388" s="438"/>
      <c r="R388" s="437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438"/>
      <c r="J389" s="437"/>
      <c r="K389" s="438"/>
      <c r="L389" s="437"/>
      <c r="M389" s="438"/>
      <c r="N389" s="437"/>
      <c r="O389" s="438"/>
      <c r="P389" s="437"/>
      <c r="Q389" s="438"/>
      <c r="R389" s="437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438"/>
      <c r="J390" s="437"/>
      <c r="K390" s="438"/>
      <c r="L390" s="437"/>
      <c r="M390" s="438"/>
      <c r="N390" s="437"/>
      <c r="O390" s="438"/>
      <c r="P390" s="437"/>
      <c r="Q390" s="438"/>
      <c r="R390" s="437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438"/>
      <c r="J391" s="437"/>
      <c r="K391" s="438"/>
      <c r="L391" s="437"/>
      <c r="M391" s="438"/>
      <c r="N391" s="437"/>
      <c r="O391" s="438"/>
      <c r="P391" s="437"/>
      <c r="Q391" s="438"/>
      <c r="R391" s="437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438"/>
      <c r="J392" s="437"/>
      <c r="K392" s="438"/>
      <c r="L392" s="437"/>
      <c r="M392" s="438"/>
      <c r="N392" s="437"/>
      <c r="O392" s="438"/>
      <c r="P392" s="437"/>
      <c r="Q392" s="438"/>
      <c r="R392" s="437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438"/>
      <c r="J393" s="437"/>
      <c r="K393" s="438"/>
      <c r="L393" s="437"/>
      <c r="M393" s="438"/>
      <c r="N393" s="437"/>
      <c r="O393" s="438"/>
      <c r="P393" s="437"/>
      <c r="Q393" s="438"/>
      <c r="R393" s="437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438"/>
      <c r="J394" s="437"/>
      <c r="K394" s="438"/>
      <c r="L394" s="437"/>
      <c r="M394" s="438"/>
      <c r="N394" s="437"/>
      <c r="O394" s="438"/>
      <c r="P394" s="437"/>
      <c r="Q394" s="438"/>
      <c r="R394" s="437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438"/>
      <c r="J395" s="437"/>
      <c r="K395" s="438"/>
      <c r="L395" s="437"/>
      <c r="M395" s="438"/>
      <c r="N395" s="437"/>
      <c r="O395" s="438"/>
      <c r="P395" s="437"/>
      <c r="Q395" s="438"/>
      <c r="R395" s="437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438"/>
      <c r="J396" s="437"/>
      <c r="K396" s="438"/>
      <c r="L396" s="437"/>
      <c r="M396" s="438"/>
      <c r="N396" s="437"/>
      <c r="O396" s="438"/>
      <c r="P396" s="437"/>
      <c r="Q396" s="438"/>
      <c r="R396" s="437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438"/>
      <c r="J397" s="437"/>
      <c r="K397" s="438"/>
      <c r="L397" s="437"/>
      <c r="M397" s="438"/>
      <c r="N397" s="437"/>
      <c r="O397" s="438"/>
      <c r="P397" s="437"/>
      <c r="Q397" s="438"/>
      <c r="R397" s="437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438"/>
      <c r="J398" s="437"/>
      <c r="K398" s="438"/>
      <c r="L398" s="437"/>
      <c r="M398" s="438"/>
      <c r="N398" s="437"/>
      <c r="O398" s="438"/>
      <c r="P398" s="437"/>
      <c r="Q398" s="438"/>
      <c r="R398" s="437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438"/>
      <c r="J399" s="437"/>
      <c r="K399" s="438"/>
      <c r="L399" s="437"/>
      <c r="M399" s="438"/>
      <c r="N399" s="437"/>
      <c r="O399" s="438"/>
      <c r="P399" s="437"/>
      <c r="Q399" s="438"/>
      <c r="R399" s="437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438"/>
      <c r="J400" s="437"/>
      <c r="K400" s="438"/>
      <c r="L400" s="437"/>
      <c r="M400" s="438"/>
      <c r="N400" s="437"/>
      <c r="O400" s="438"/>
      <c r="P400" s="437"/>
      <c r="Q400" s="438"/>
      <c r="R400" s="437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438"/>
      <c r="J401" s="437"/>
      <c r="K401" s="438"/>
      <c r="L401" s="437"/>
      <c r="M401" s="438"/>
      <c r="N401" s="437"/>
      <c r="O401" s="438"/>
      <c r="P401" s="437"/>
      <c r="Q401" s="438"/>
      <c r="R401" s="437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438"/>
      <c r="J402" s="437"/>
      <c r="K402" s="438"/>
      <c r="L402" s="437"/>
      <c r="M402" s="438"/>
      <c r="N402" s="437"/>
      <c r="O402" s="438"/>
      <c r="P402" s="437"/>
      <c r="Q402" s="438"/>
      <c r="R402" s="437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438"/>
      <c r="J403" s="437"/>
      <c r="K403" s="438"/>
      <c r="L403" s="437"/>
      <c r="M403" s="438"/>
      <c r="N403" s="437"/>
      <c r="O403" s="438"/>
      <c r="P403" s="437"/>
      <c r="Q403" s="438"/>
      <c r="R403" s="437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438"/>
      <c r="J404" s="437"/>
      <c r="K404" s="438"/>
      <c r="L404" s="437"/>
      <c r="M404" s="438"/>
      <c r="N404" s="437"/>
      <c r="O404" s="438"/>
      <c r="P404" s="437"/>
      <c r="Q404" s="438"/>
      <c r="R404" s="437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438"/>
      <c r="J405" s="437"/>
      <c r="K405" s="438"/>
      <c r="L405" s="437"/>
      <c r="M405" s="438"/>
      <c r="N405" s="437"/>
      <c r="O405" s="438"/>
      <c r="P405" s="437"/>
      <c r="Q405" s="438"/>
      <c r="R405" s="437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438"/>
      <c r="J406" s="437"/>
      <c r="K406" s="438"/>
      <c r="L406" s="437"/>
      <c r="M406" s="438"/>
      <c r="N406" s="437"/>
      <c r="O406" s="438"/>
      <c r="P406" s="437"/>
      <c r="Q406" s="438"/>
      <c r="R406" s="437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438"/>
      <c r="J407" s="437"/>
      <c r="K407" s="438"/>
      <c r="L407" s="437"/>
      <c r="M407" s="438"/>
      <c r="N407" s="437"/>
      <c r="O407" s="438"/>
      <c r="P407" s="437"/>
      <c r="Q407" s="438"/>
      <c r="R407" s="437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438"/>
      <c r="J408" s="437"/>
      <c r="K408" s="438"/>
      <c r="L408" s="437"/>
      <c r="M408" s="438"/>
      <c r="N408" s="437"/>
      <c r="O408" s="438"/>
      <c r="P408" s="437"/>
      <c r="Q408" s="438"/>
      <c r="R408" s="437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438"/>
      <c r="J409" s="437"/>
      <c r="K409" s="438"/>
      <c r="L409" s="437"/>
      <c r="M409" s="438"/>
      <c r="N409" s="437"/>
      <c r="O409" s="438"/>
      <c r="P409" s="437"/>
      <c r="Q409" s="438"/>
      <c r="R409" s="437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438"/>
      <c r="J410" s="437"/>
      <c r="K410" s="438"/>
      <c r="L410" s="437"/>
      <c r="M410" s="438"/>
      <c r="N410" s="437"/>
      <c r="O410" s="438"/>
      <c r="P410" s="437"/>
      <c r="Q410" s="438"/>
      <c r="R410" s="437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438"/>
      <c r="J411" s="437"/>
      <c r="K411" s="438"/>
      <c r="L411" s="437"/>
      <c r="M411" s="438"/>
      <c r="N411" s="437"/>
      <c r="O411" s="438"/>
      <c r="P411" s="437"/>
      <c r="Q411" s="438"/>
      <c r="R411" s="437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438"/>
      <c r="J412" s="437"/>
      <c r="K412" s="438"/>
      <c r="L412" s="437"/>
      <c r="M412" s="438"/>
      <c r="N412" s="437"/>
      <c r="O412" s="438"/>
      <c r="P412" s="437"/>
      <c r="Q412" s="438"/>
      <c r="R412" s="437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438"/>
      <c r="J413" s="437"/>
      <c r="K413" s="438"/>
      <c r="L413" s="437"/>
      <c r="M413" s="438"/>
      <c r="N413" s="437"/>
      <c r="O413" s="438"/>
      <c r="P413" s="437"/>
      <c r="Q413" s="438"/>
      <c r="R413" s="437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438"/>
      <c r="J414" s="437"/>
      <c r="K414" s="438"/>
      <c r="L414" s="437"/>
      <c r="M414" s="438"/>
      <c r="N414" s="437"/>
      <c r="O414" s="438"/>
      <c r="P414" s="437"/>
      <c r="Q414" s="438"/>
      <c r="R414" s="437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438"/>
      <c r="J415" s="437"/>
      <c r="K415" s="438"/>
      <c r="L415" s="437"/>
      <c r="M415" s="438"/>
      <c r="N415" s="437"/>
      <c r="O415" s="438"/>
      <c r="P415" s="437"/>
      <c r="Q415" s="438"/>
      <c r="R415" s="437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438"/>
      <c r="J416" s="437"/>
      <c r="K416" s="438"/>
      <c r="L416" s="437"/>
      <c r="M416" s="438"/>
      <c r="N416" s="437"/>
      <c r="O416" s="438"/>
      <c r="P416" s="437"/>
      <c r="Q416" s="438"/>
      <c r="R416" s="437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438"/>
      <c r="J417" s="437"/>
      <c r="K417" s="438"/>
      <c r="L417" s="437"/>
      <c r="M417" s="438"/>
      <c r="N417" s="437"/>
      <c r="O417" s="438"/>
      <c r="P417" s="437"/>
      <c r="Q417" s="438"/>
      <c r="R417" s="437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438"/>
      <c r="J418" s="437"/>
      <c r="K418" s="438"/>
      <c r="L418" s="437"/>
      <c r="M418" s="438"/>
      <c r="N418" s="437"/>
      <c r="O418" s="438"/>
      <c r="P418" s="437"/>
      <c r="Q418" s="438"/>
      <c r="R418" s="437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438"/>
      <c r="J419" s="437"/>
      <c r="K419" s="438"/>
      <c r="L419" s="437"/>
      <c r="M419" s="438"/>
      <c r="N419" s="437"/>
      <c r="O419" s="438"/>
      <c r="P419" s="437"/>
      <c r="Q419" s="438"/>
      <c r="R419" s="437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438"/>
      <c r="J420" s="437"/>
      <c r="K420" s="438"/>
      <c r="L420" s="437"/>
      <c r="M420" s="438"/>
      <c r="N420" s="437"/>
      <c r="O420" s="438"/>
      <c r="P420" s="437"/>
      <c r="Q420" s="438"/>
      <c r="R420" s="437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438"/>
      <c r="J421" s="437"/>
      <c r="K421" s="438"/>
      <c r="L421" s="437"/>
      <c r="M421" s="438"/>
      <c r="N421" s="437"/>
      <c r="O421" s="438"/>
      <c r="P421" s="437"/>
      <c r="Q421" s="438"/>
      <c r="R421" s="437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438"/>
      <c r="J422" s="437"/>
      <c r="K422" s="438"/>
      <c r="L422" s="437"/>
      <c r="M422" s="438"/>
      <c r="N422" s="437"/>
      <c r="O422" s="438"/>
      <c r="P422" s="437"/>
      <c r="Q422" s="438"/>
      <c r="R422" s="437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438"/>
      <c r="J423" s="437"/>
      <c r="K423" s="438"/>
      <c r="L423" s="437"/>
      <c r="M423" s="438"/>
      <c r="N423" s="437"/>
      <c r="O423" s="438"/>
      <c r="P423" s="437"/>
      <c r="Q423" s="438"/>
      <c r="R423" s="437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438"/>
      <c r="J424" s="437"/>
      <c r="K424" s="438"/>
      <c r="L424" s="437"/>
      <c r="M424" s="438"/>
      <c r="N424" s="437"/>
      <c r="O424" s="438"/>
      <c r="P424" s="437"/>
      <c r="Q424" s="438"/>
      <c r="R424" s="437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438"/>
      <c r="J425" s="437"/>
      <c r="K425" s="438"/>
      <c r="L425" s="437"/>
      <c r="M425" s="438"/>
      <c r="N425" s="437"/>
      <c r="O425" s="438"/>
      <c r="P425" s="437"/>
      <c r="Q425" s="438"/>
      <c r="R425" s="437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438"/>
      <c r="J426" s="437"/>
      <c r="K426" s="438"/>
      <c r="L426" s="437"/>
      <c r="M426" s="438"/>
      <c r="N426" s="437"/>
      <c r="O426" s="438"/>
      <c r="P426" s="437"/>
      <c r="Q426" s="438"/>
      <c r="R426" s="437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438"/>
      <c r="J427" s="437"/>
      <c r="K427" s="438"/>
      <c r="L427" s="437"/>
      <c r="M427" s="438"/>
      <c r="N427" s="437"/>
      <c r="O427" s="438"/>
      <c r="P427" s="437"/>
      <c r="Q427" s="438"/>
      <c r="R427" s="437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438"/>
      <c r="J428" s="437"/>
      <c r="K428" s="438"/>
      <c r="L428" s="437"/>
      <c r="M428" s="438"/>
      <c r="N428" s="437"/>
      <c r="O428" s="438"/>
      <c r="P428" s="437"/>
      <c r="Q428" s="438"/>
      <c r="R428" s="437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438"/>
      <c r="J429" s="437"/>
      <c r="K429" s="438"/>
      <c r="L429" s="437"/>
      <c r="M429" s="438"/>
      <c r="N429" s="437"/>
      <c r="O429" s="438"/>
      <c r="P429" s="437"/>
      <c r="Q429" s="438"/>
      <c r="R429" s="437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438"/>
      <c r="J430" s="437"/>
      <c r="K430" s="438"/>
      <c r="L430" s="437"/>
      <c r="M430" s="438"/>
      <c r="N430" s="437"/>
      <c r="O430" s="438"/>
      <c r="P430" s="437"/>
      <c r="Q430" s="438"/>
      <c r="R430" s="437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438"/>
      <c r="J431" s="437"/>
      <c r="K431" s="438"/>
      <c r="L431" s="437"/>
      <c r="M431" s="438"/>
      <c r="N431" s="437"/>
      <c r="O431" s="438"/>
      <c r="P431" s="437"/>
      <c r="Q431" s="438"/>
      <c r="R431" s="437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438"/>
      <c r="J432" s="437"/>
      <c r="K432" s="438"/>
      <c r="L432" s="437"/>
      <c r="M432" s="438"/>
      <c r="N432" s="437"/>
      <c r="O432" s="438"/>
      <c r="P432" s="437"/>
      <c r="Q432" s="438"/>
      <c r="R432" s="437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438"/>
      <c r="J433" s="437"/>
      <c r="K433" s="438"/>
      <c r="L433" s="437"/>
      <c r="M433" s="438"/>
      <c r="N433" s="437"/>
      <c r="O433" s="438"/>
      <c r="P433" s="437"/>
      <c r="Q433" s="438"/>
      <c r="R433" s="437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438"/>
      <c r="J434" s="437"/>
      <c r="K434" s="438"/>
      <c r="L434" s="437"/>
      <c r="M434" s="438"/>
      <c r="N434" s="437"/>
      <c r="O434" s="438"/>
      <c r="P434" s="437"/>
      <c r="Q434" s="438"/>
      <c r="R434" s="437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438"/>
      <c r="J435" s="437"/>
      <c r="K435" s="438"/>
      <c r="L435" s="437"/>
      <c r="M435" s="438"/>
      <c r="N435" s="437"/>
      <c r="O435" s="438"/>
      <c r="P435" s="437"/>
      <c r="Q435" s="438"/>
      <c r="R435" s="437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438"/>
      <c r="J436" s="437"/>
      <c r="K436" s="438"/>
      <c r="L436" s="437"/>
      <c r="M436" s="438"/>
      <c r="N436" s="437"/>
      <c r="O436" s="438"/>
      <c r="P436" s="437"/>
      <c r="Q436" s="438"/>
      <c r="R436" s="437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438"/>
      <c r="J437" s="437"/>
      <c r="K437" s="438"/>
      <c r="L437" s="437"/>
      <c r="M437" s="438"/>
      <c r="N437" s="437"/>
      <c r="O437" s="438"/>
      <c r="P437" s="437"/>
      <c r="Q437" s="438"/>
      <c r="R437" s="437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438"/>
      <c r="J438" s="437"/>
      <c r="K438" s="438"/>
      <c r="L438" s="437"/>
      <c r="M438" s="438"/>
      <c r="N438" s="437"/>
      <c r="O438" s="438"/>
      <c r="P438" s="437"/>
      <c r="Q438" s="438"/>
      <c r="R438" s="437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438"/>
      <c r="J439" s="437"/>
      <c r="K439" s="438"/>
      <c r="L439" s="437"/>
      <c r="M439" s="438"/>
      <c r="N439" s="437"/>
      <c r="O439" s="438"/>
      <c r="P439" s="437"/>
      <c r="Q439" s="438"/>
      <c r="R439" s="437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438"/>
      <c r="J440" s="437"/>
      <c r="K440" s="438"/>
      <c r="L440" s="437"/>
      <c r="M440" s="438"/>
      <c r="N440" s="437"/>
      <c r="O440" s="438"/>
      <c r="P440" s="437"/>
      <c r="Q440" s="438"/>
      <c r="R440" s="437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438"/>
      <c r="J441" s="437"/>
      <c r="K441" s="438"/>
      <c r="L441" s="437"/>
      <c r="M441" s="438"/>
      <c r="N441" s="437"/>
      <c r="O441" s="438"/>
      <c r="P441" s="437"/>
      <c r="Q441" s="438"/>
      <c r="R441" s="437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438"/>
      <c r="J442" s="437"/>
      <c r="K442" s="438"/>
      <c r="L442" s="437"/>
      <c r="M442" s="438"/>
      <c r="N442" s="437"/>
      <c r="O442" s="438"/>
      <c r="P442" s="437"/>
      <c r="Q442" s="438"/>
      <c r="R442" s="437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438"/>
      <c r="J443" s="437"/>
      <c r="K443" s="438"/>
      <c r="L443" s="437"/>
      <c r="M443" s="438"/>
      <c r="N443" s="437"/>
      <c r="O443" s="438"/>
      <c r="P443" s="437"/>
      <c r="Q443" s="438"/>
      <c r="R443" s="437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438"/>
      <c r="J444" s="437"/>
      <c r="K444" s="438"/>
      <c r="L444" s="437"/>
      <c r="M444" s="438"/>
      <c r="N444" s="437"/>
      <c r="O444" s="438"/>
      <c r="P444" s="437"/>
      <c r="Q444" s="438"/>
      <c r="R444" s="437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438"/>
      <c r="J445" s="437"/>
      <c r="K445" s="438"/>
      <c r="L445" s="437"/>
      <c r="M445" s="438"/>
      <c r="N445" s="437"/>
      <c r="O445" s="438"/>
      <c r="P445" s="437"/>
      <c r="Q445" s="438"/>
      <c r="R445" s="437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438"/>
      <c r="J446" s="437"/>
      <c r="K446" s="438"/>
      <c r="L446" s="437"/>
      <c r="M446" s="438"/>
      <c r="N446" s="437"/>
      <c r="O446" s="438"/>
      <c r="P446" s="437"/>
      <c r="Q446" s="438"/>
      <c r="R446" s="437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438"/>
      <c r="J447" s="437"/>
      <c r="K447" s="438"/>
      <c r="L447" s="437"/>
      <c r="M447" s="438"/>
      <c r="N447" s="437"/>
      <c r="O447" s="438"/>
      <c r="P447" s="437"/>
      <c r="Q447" s="438"/>
      <c r="R447" s="437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438"/>
      <c r="J448" s="437"/>
      <c r="K448" s="438"/>
      <c r="L448" s="437"/>
      <c r="M448" s="438"/>
      <c r="N448" s="437"/>
      <c r="O448" s="438"/>
      <c r="P448" s="437"/>
      <c r="Q448" s="438"/>
      <c r="R448" s="437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438"/>
      <c r="J449" s="437"/>
      <c r="K449" s="438"/>
      <c r="L449" s="437"/>
      <c r="M449" s="438"/>
      <c r="N449" s="437"/>
      <c r="O449" s="438"/>
      <c r="P449" s="437"/>
      <c r="Q449" s="438"/>
      <c r="R449" s="437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438"/>
      <c r="J450" s="437"/>
      <c r="K450" s="438"/>
      <c r="L450" s="437"/>
      <c r="M450" s="438"/>
      <c r="N450" s="437"/>
      <c r="O450" s="438"/>
      <c r="P450" s="437"/>
      <c r="Q450" s="438"/>
      <c r="R450" s="437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438"/>
      <c r="J451" s="437"/>
      <c r="K451" s="438"/>
      <c r="L451" s="437"/>
      <c r="M451" s="438"/>
      <c r="N451" s="437"/>
      <c r="O451" s="438"/>
      <c r="P451" s="437"/>
      <c r="Q451" s="438"/>
      <c r="R451" s="437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438"/>
      <c r="J452" s="437"/>
      <c r="K452" s="438"/>
      <c r="L452" s="437"/>
      <c r="M452" s="438"/>
      <c r="N452" s="437"/>
      <c r="O452" s="438"/>
      <c r="P452" s="437"/>
      <c r="Q452" s="438"/>
      <c r="R452" s="437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438"/>
      <c r="J453" s="437"/>
      <c r="K453" s="438"/>
      <c r="L453" s="437"/>
      <c r="M453" s="438"/>
      <c r="N453" s="437"/>
      <c r="O453" s="438"/>
      <c r="P453" s="437"/>
      <c r="Q453" s="438"/>
      <c r="R453" s="437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438"/>
      <c r="J454" s="437"/>
      <c r="K454" s="438"/>
      <c r="L454" s="437"/>
      <c r="M454" s="438"/>
      <c r="N454" s="437"/>
      <c r="O454" s="438"/>
      <c r="P454" s="437"/>
      <c r="Q454" s="438"/>
      <c r="R454" s="437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438"/>
      <c r="J455" s="437"/>
      <c r="K455" s="438"/>
      <c r="L455" s="437"/>
      <c r="M455" s="438"/>
      <c r="N455" s="437"/>
      <c r="O455" s="438"/>
      <c r="P455" s="437"/>
      <c r="Q455" s="438"/>
      <c r="R455" s="437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438"/>
      <c r="J456" s="437"/>
      <c r="K456" s="438"/>
      <c r="L456" s="437"/>
      <c r="M456" s="438"/>
      <c r="N456" s="437"/>
      <c r="O456" s="438"/>
      <c r="P456" s="437"/>
      <c r="Q456" s="438"/>
      <c r="R456" s="437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438"/>
      <c r="J457" s="437"/>
      <c r="K457" s="438"/>
      <c r="L457" s="437"/>
      <c r="M457" s="438"/>
      <c r="N457" s="437"/>
      <c r="O457" s="438"/>
      <c r="P457" s="437"/>
      <c r="Q457" s="438"/>
      <c r="R457" s="437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438"/>
      <c r="J458" s="437"/>
      <c r="K458" s="438"/>
      <c r="L458" s="437"/>
      <c r="M458" s="438"/>
      <c r="N458" s="437"/>
      <c r="O458" s="438"/>
      <c r="P458" s="437"/>
      <c r="Q458" s="438"/>
      <c r="R458" s="437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438"/>
      <c r="J459" s="437"/>
      <c r="K459" s="438"/>
      <c r="L459" s="437"/>
      <c r="M459" s="438"/>
      <c r="N459" s="437"/>
      <c r="O459" s="438"/>
      <c r="P459" s="437"/>
      <c r="Q459" s="438"/>
      <c r="R459" s="437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438"/>
      <c r="J460" s="437"/>
      <c r="K460" s="438"/>
      <c r="L460" s="437"/>
      <c r="M460" s="438"/>
      <c r="N460" s="437"/>
      <c r="O460" s="438"/>
      <c r="P460" s="437"/>
      <c r="Q460" s="438"/>
      <c r="R460" s="437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438"/>
      <c r="J461" s="437"/>
      <c r="K461" s="438"/>
      <c r="L461" s="437"/>
      <c r="M461" s="438"/>
      <c r="N461" s="437"/>
      <c r="O461" s="438"/>
      <c r="P461" s="437"/>
      <c r="Q461" s="438"/>
      <c r="R461" s="437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438"/>
      <c r="J462" s="437"/>
      <c r="K462" s="438"/>
      <c r="L462" s="437"/>
      <c r="M462" s="438"/>
      <c r="N462" s="437"/>
      <c r="O462" s="438"/>
      <c r="P462" s="437"/>
      <c r="Q462" s="438"/>
      <c r="R462" s="437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438"/>
      <c r="J463" s="437"/>
      <c r="K463" s="438"/>
      <c r="L463" s="437"/>
      <c r="M463" s="438"/>
      <c r="N463" s="437"/>
      <c r="O463" s="438"/>
      <c r="P463" s="437"/>
      <c r="Q463" s="438"/>
      <c r="R463" s="437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438"/>
      <c r="J464" s="437"/>
      <c r="K464" s="438"/>
      <c r="L464" s="437"/>
      <c r="M464" s="438"/>
      <c r="N464" s="437"/>
      <c r="O464" s="438"/>
      <c r="P464" s="437"/>
      <c r="Q464" s="438"/>
      <c r="R464" s="437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438"/>
      <c r="J465" s="437"/>
      <c r="K465" s="438"/>
      <c r="L465" s="437"/>
      <c r="M465" s="438"/>
      <c r="N465" s="437"/>
      <c r="O465" s="438"/>
      <c r="P465" s="437"/>
      <c r="Q465" s="438"/>
      <c r="R465" s="437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438"/>
      <c r="J466" s="437"/>
      <c r="K466" s="438"/>
      <c r="L466" s="437"/>
      <c r="M466" s="438"/>
      <c r="N466" s="437"/>
      <c r="O466" s="438"/>
      <c r="P466" s="437"/>
      <c r="Q466" s="438"/>
      <c r="R466" s="437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438"/>
      <c r="J467" s="437"/>
      <c r="K467" s="438"/>
      <c r="L467" s="437"/>
      <c r="M467" s="438"/>
      <c r="N467" s="437"/>
      <c r="O467" s="438"/>
      <c r="P467" s="437"/>
      <c r="Q467" s="438"/>
      <c r="R467" s="437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438"/>
      <c r="J468" s="437"/>
      <c r="K468" s="438"/>
      <c r="L468" s="437"/>
      <c r="M468" s="438"/>
      <c r="N468" s="437"/>
      <c r="O468" s="438"/>
      <c r="P468" s="437"/>
      <c r="Q468" s="438"/>
      <c r="R468" s="437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438"/>
      <c r="J469" s="437"/>
      <c r="K469" s="438"/>
      <c r="L469" s="437"/>
      <c r="M469" s="438"/>
      <c r="N469" s="437"/>
      <c r="O469" s="438"/>
      <c r="P469" s="437"/>
      <c r="Q469" s="438"/>
      <c r="R469" s="437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438"/>
      <c r="J470" s="437"/>
      <c r="K470" s="438"/>
      <c r="L470" s="437"/>
      <c r="M470" s="438"/>
      <c r="N470" s="437"/>
      <c r="O470" s="438"/>
      <c r="P470" s="437"/>
      <c r="Q470" s="438"/>
      <c r="R470" s="437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438"/>
      <c r="J471" s="437"/>
      <c r="K471" s="438"/>
      <c r="L471" s="437"/>
      <c r="M471" s="438"/>
      <c r="N471" s="437"/>
      <c r="O471" s="438"/>
      <c r="P471" s="437"/>
      <c r="Q471" s="438"/>
      <c r="R471" s="437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438"/>
      <c r="J472" s="437"/>
      <c r="K472" s="438"/>
      <c r="L472" s="437"/>
      <c r="M472" s="438"/>
      <c r="N472" s="437"/>
      <c r="O472" s="438"/>
      <c r="P472" s="437"/>
      <c r="Q472" s="438"/>
      <c r="R472" s="437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438"/>
      <c r="J473" s="437"/>
      <c r="K473" s="438"/>
      <c r="L473" s="437"/>
      <c r="M473" s="438"/>
      <c r="N473" s="437"/>
      <c r="O473" s="438"/>
      <c r="P473" s="437"/>
      <c r="Q473" s="438"/>
      <c r="R473" s="437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438"/>
      <c r="J474" s="437"/>
      <c r="K474" s="438"/>
      <c r="L474" s="437"/>
      <c r="M474" s="438"/>
      <c r="N474" s="437"/>
      <c r="O474" s="438"/>
      <c r="P474" s="437"/>
      <c r="Q474" s="438"/>
      <c r="R474" s="437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438"/>
      <c r="J475" s="437"/>
      <c r="K475" s="438"/>
      <c r="L475" s="437"/>
      <c r="M475" s="438"/>
      <c r="N475" s="437"/>
      <c r="O475" s="438"/>
      <c r="P475" s="437"/>
      <c r="Q475" s="438"/>
      <c r="R475" s="437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438"/>
      <c r="J476" s="437"/>
      <c r="K476" s="438"/>
      <c r="L476" s="437"/>
      <c r="M476" s="438"/>
      <c r="N476" s="437"/>
      <c r="O476" s="438"/>
      <c r="P476" s="437"/>
      <c r="Q476" s="438"/>
      <c r="R476" s="437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438"/>
      <c r="J477" s="437"/>
      <c r="K477" s="438"/>
      <c r="L477" s="437"/>
      <c r="M477" s="438"/>
      <c r="N477" s="437"/>
      <c r="O477" s="438"/>
      <c r="P477" s="437"/>
      <c r="Q477" s="438"/>
      <c r="R477" s="437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438"/>
      <c r="J478" s="437"/>
      <c r="K478" s="438"/>
      <c r="L478" s="437"/>
      <c r="M478" s="438"/>
      <c r="N478" s="437"/>
      <c r="O478" s="438"/>
      <c r="P478" s="437"/>
      <c r="Q478" s="438"/>
      <c r="R478" s="437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438"/>
      <c r="J479" s="437"/>
      <c r="K479" s="438"/>
      <c r="L479" s="437"/>
      <c r="M479" s="438"/>
      <c r="N479" s="437"/>
      <c r="O479" s="438"/>
      <c r="P479" s="437"/>
      <c r="Q479" s="438"/>
      <c r="R479" s="437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438"/>
      <c r="J480" s="437"/>
      <c r="K480" s="438"/>
      <c r="L480" s="437"/>
      <c r="M480" s="438"/>
      <c r="N480" s="437"/>
      <c r="O480" s="438"/>
      <c r="P480" s="437"/>
      <c r="Q480" s="438"/>
      <c r="R480" s="437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438"/>
      <c r="J481" s="437"/>
      <c r="K481" s="438"/>
      <c r="L481" s="437"/>
      <c r="M481" s="438"/>
      <c r="N481" s="437"/>
      <c r="O481" s="438"/>
      <c r="P481" s="437"/>
      <c r="Q481" s="438"/>
      <c r="R481" s="437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438"/>
      <c r="J482" s="437"/>
      <c r="K482" s="438"/>
      <c r="L482" s="437"/>
      <c r="M482" s="438"/>
      <c r="N482" s="437"/>
      <c r="O482" s="438"/>
      <c r="P482" s="437"/>
      <c r="Q482" s="438"/>
      <c r="R482" s="437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438"/>
      <c r="J483" s="437"/>
      <c r="K483" s="438"/>
      <c r="L483" s="437"/>
      <c r="M483" s="438"/>
      <c r="N483" s="437"/>
      <c r="O483" s="438"/>
      <c r="P483" s="437"/>
      <c r="Q483" s="438"/>
      <c r="R483" s="437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438"/>
      <c r="J484" s="437"/>
      <c r="K484" s="438"/>
      <c r="L484" s="437"/>
      <c r="M484" s="438"/>
      <c r="N484" s="437"/>
      <c r="O484" s="438"/>
      <c r="P484" s="437"/>
      <c r="Q484" s="438"/>
      <c r="R484" s="437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438"/>
      <c r="J485" s="437"/>
      <c r="K485" s="438"/>
      <c r="L485" s="437"/>
      <c r="M485" s="438"/>
      <c r="N485" s="437"/>
      <c r="O485" s="438"/>
      <c r="P485" s="437"/>
      <c r="Q485" s="438"/>
      <c r="R485" s="437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438"/>
      <c r="J486" s="437"/>
      <c r="K486" s="438"/>
      <c r="L486" s="437"/>
      <c r="M486" s="438"/>
      <c r="N486" s="437"/>
      <c r="O486" s="438"/>
      <c r="P486" s="437"/>
      <c r="Q486" s="438"/>
      <c r="R486" s="437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438"/>
      <c r="J487" s="437"/>
      <c r="K487" s="438"/>
      <c r="L487" s="437"/>
      <c r="M487" s="438"/>
      <c r="N487" s="437"/>
      <c r="O487" s="438"/>
      <c r="P487" s="437"/>
      <c r="Q487" s="438"/>
      <c r="R487" s="437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438"/>
      <c r="J488" s="437"/>
      <c r="K488" s="438"/>
      <c r="L488" s="437"/>
      <c r="M488" s="438"/>
      <c r="N488" s="437"/>
      <c r="O488" s="438"/>
      <c r="P488" s="437"/>
      <c r="Q488" s="438"/>
      <c r="R488" s="437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438"/>
      <c r="J489" s="437"/>
      <c r="K489" s="438"/>
      <c r="L489" s="437"/>
      <c r="M489" s="438"/>
      <c r="N489" s="437"/>
      <c r="O489" s="438"/>
      <c r="P489" s="437"/>
      <c r="Q489" s="438"/>
      <c r="R489" s="437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438"/>
      <c r="J490" s="437"/>
      <c r="K490" s="438"/>
      <c r="L490" s="437"/>
      <c r="M490" s="438"/>
      <c r="N490" s="437"/>
      <c r="O490" s="438"/>
      <c r="P490" s="437"/>
      <c r="Q490" s="438"/>
      <c r="R490" s="437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438"/>
      <c r="J491" s="437"/>
      <c r="K491" s="438"/>
      <c r="L491" s="437"/>
      <c r="M491" s="438"/>
      <c r="N491" s="437"/>
      <c r="O491" s="438"/>
      <c r="P491" s="437"/>
      <c r="Q491" s="438"/>
      <c r="R491" s="437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438"/>
      <c r="J492" s="437"/>
      <c r="K492" s="438"/>
      <c r="L492" s="437"/>
      <c r="M492" s="438"/>
      <c r="N492" s="437"/>
      <c r="O492" s="438"/>
      <c r="P492" s="437"/>
      <c r="Q492" s="438"/>
      <c r="R492" s="437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438"/>
      <c r="J493" s="437"/>
      <c r="K493" s="438"/>
      <c r="L493" s="437"/>
      <c r="M493" s="438"/>
      <c r="N493" s="437"/>
      <c r="O493" s="438"/>
      <c r="P493" s="437"/>
      <c r="Q493" s="438"/>
      <c r="R493" s="437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438"/>
      <c r="J494" s="437"/>
      <c r="K494" s="438"/>
      <c r="L494" s="437"/>
      <c r="M494" s="438"/>
      <c r="N494" s="437"/>
      <c r="O494" s="438"/>
      <c r="P494" s="437"/>
      <c r="Q494" s="438"/>
      <c r="R494" s="437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438"/>
      <c r="J495" s="437"/>
      <c r="K495" s="438"/>
      <c r="L495" s="437"/>
      <c r="M495" s="438"/>
      <c r="N495" s="437"/>
      <c r="O495" s="438"/>
      <c r="P495" s="437"/>
      <c r="Q495" s="438"/>
      <c r="R495" s="437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438"/>
      <c r="J496" s="437"/>
      <c r="K496" s="438"/>
      <c r="L496" s="437"/>
      <c r="M496" s="438"/>
      <c r="N496" s="437"/>
      <c r="O496" s="438"/>
      <c r="P496" s="437"/>
      <c r="Q496" s="438"/>
      <c r="R496" s="437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438"/>
      <c r="J497" s="437"/>
      <c r="K497" s="438"/>
      <c r="L497" s="437"/>
      <c r="M497" s="438"/>
      <c r="N497" s="437"/>
      <c r="O497" s="438"/>
      <c r="P497" s="437"/>
      <c r="Q497" s="438"/>
      <c r="R497" s="437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438"/>
      <c r="J498" s="437"/>
      <c r="K498" s="438"/>
      <c r="L498" s="437"/>
      <c r="M498" s="438"/>
      <c r="N498" s="437"/>
      <c r="O498" s="438"/>
      <c r="P498" s="437"/>
      <c r="Q498" s="438"/>
      <c r="R498" s="437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438"/>
      <c r="J499" s="437"/>
      <c r="K499" s="438"/>
      <c r="L499" s="437"/>
      <c r="M499" s="438"/>
      <c r="N499" s="437"/>
      <c r="O499" s="438"/>
      <c r="P499" s="437"/>
      <c r="Q499" s="438"/>
      <c r="R499" s="437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438"/>
      <c r="J500" s="437"/>
      <c r="K500" s="438"/>
      <c r="L500" s="437"/>
      <c r="M500" s="438"/>
      <c r="N500" s="437"/>
      <c r="O500" s="438"/>
      <c r="P500" s="437"/>
      <c r="Q500" s="438"/>
      <c r="R500" s="437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438"/>
      <c r="J501" s="437"/>
      <c r="K501" s="438"/>
      <c r="L501" s="437"/>
      <c r="M501" s="438"/>
      <c r="N501" s="437"/>
      <c r="O501" s="438"/>
      <c r="P501" s="437"/>
      <c r="Q501" s="438"/>
      <c r="R501" s="437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438"/>
      <c r="J502" s="437"/>
      <c r="K502" s="438"/>
      <c r="L502" s="437"/>
      <c r="M502" s="438"/>
      <c r="N502" s="437"/>
      <c r="O502" s="438"/>
      <c r="P502" s="437"/>
      <c r="Q502" s="438"/>
      <c r="R502" s="437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438"/>
      <c r="J503" s="437"/>
      <c r="K503" s="438"/>
      <c r="L503" s="437"/>
      <c r="M503" s="438"/>
      <c r="N503" s="437"/>
      <c r="O503" s="438"/>
      <c r="P503" s="437"/>
      <c r="Q503" s="438"/>
      <c r="R503" s="437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438"/>
      <c r="J504" s="437"/>
      <c r="K504" s="438"/>
      <c r="L504" s="437"/>
      <c r="M504" s="438"/>
      <c r="N504" s="437"/>
      <c r="O504" s="438"/>
      <c r="P504" s="437"/>
      <c r="Q504" s="438"/>
      <c r="R504" s="437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438"/>
      <c r="J505" s="437"/>
      <c r="K505" s="438"/>
      <c r="L505" s="437"/>
      <c r="M505" s="438"/>
      <c r="N505" s="437"/>
      <c r="O505" s="438"/>
      <c r="P505" s="437"/>
      <c r="Q505" s="438"/>
      <c r="R505" s="437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438"/>
      <c r="J506" s="437"/>
      <c r="K506" s="438"/>
      <c r="L506" s="437"/>
      <c r="M506" s="438"/>
      <c r="N506" s="437"/>
      <c r="O506" s="438"/>
      <c r="P506" s="437"/>
      <c r="Q506" s="438"/>
      <c r="R506" s="437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438"/>
      <c r="J507" s="437"/>
      <c r="K507" s="438"/>
      <c r="L507" s="437"/>
      <c r="M507" s="438"/>
      <c r="N507" s="437"/>
      <c r="O507" s="438"/>
      <c r="P507" s="437"/>
      <c r="Q507" s="438"/>
      <c r="R507" s="437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438"/>
      <c r="J508" s="437"/>
      <c r="K508" s="438"/>
      <c r="L508" s="437"/>
      <c r="M508" s="438"/>
      <c r="N508" s="437"/>
      <c r="O508" s="438"/>
      <c r="P508" s="437"/>
      <c r="Q508" s="438"/>
      <c r="R508" s="437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438"/>
      <c r="J509" s="437"/>
      <c r="K509" s="438"/>
      <c r="L509" s="437"/>
      <c r="M509" s="438"/>
      <c r="N509" s="437"/>
      <c r="O509" s="438"/>
      <c r="P509" s="437"/>
      <c r="Q509" s="438"/>
      <c r="R509" s="437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438"/>
      <c r="J510" s="437"/>
      <c r="K510" s="438"/>
      <c r="L510" s="437"/>
      <c r="M510" s="438"/>
      <c r="N510" s="437"/>
      <c r="O510" s="438"/>
      <c r="P510" s="437"/>
      <c r="Q510" s="438"/>
      <c r="R510" s="437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438"/>
      <c r="J511" s="437"/>
      <c r="K511" s="438"/>
      <c r="L511" s="437"/>
      <c r="M511" s="438"/>
      <c r="N511" s="437"/>
      <c r="O511" s="438"/>
      <c r="P511" s="437"/>
      <c r="Q511" s="438"/>
      <c r="R511" s="437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438"/>
      <c r="J512" s="437"/>
      <c r="K512" s="438"/>
      <c r="L512" s="437"/>
      <c r="M512" s="438"/>
      <c r="N512" s="437"/>
      <c r="O512" s="438"/>
      <c r="P512" s="437"/>
      <c r="Q512" s="438"/>
      <c r="R512" s="437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438"/>
      <c r="J513" s="437"/>
      <c r="K513" s="438"/>
      <c r="L513" s="437"/>
      <c r="M513" s="438"/>
      <c r="N513" s="437"/>
      <c r="O513" s="438"/>
      <c r="P513" s="437"/>
      <c r="Q513" s="438"/>
      <c r="R513" s="437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438"/>
      <c r="J514" s="437"/>
      <c r="K514" s="438"/>
      <c r="L514" s="437"/>
      <c r="M514" s="438"/>
      <c r="N514" s="437"/>
      <c r="O514" s="438"/>
      <c r="P514" s="437"/>
      <c r="Q514" s="438"/>
      <c r="R514" s="437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438"/>
      <c r="J515" s="437"/>
      <c r="K515" s="438"/>
      <c r="L515" s="437"/>
      <c r="M515" s="438"/>
      <c r="N515" s="437"/>
      <c r="O515" s="438"/>
      <c r="P515" s="437"/>
      <c r="Q515" s="438"/>
      <c r="R515" s="437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438"/>
      <c r="J516" s="437"/>
      <c r="K516" s="438"/>
      <c r="L516" s="437"/>
      <c r="M516" s="438"/>
      <c r="N516" s="437"/>
      <c r="O516" s="438"/>
      <c r="P516" s="437"/>
      <c r="Q516" s="438"/>
      <c r="R516" s="437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438"/>
      <c r="J517" s="437"/>
      <c r="K517" s="438"/>
      <c r="L517" s="437"/>
      <c r="M517" s="438"/>
      <c r="N517" s="437"/>
      <c r="O517" s="438"/>
      <c r="P517" s="437"/>
      <c r="Q517" s="438"/>
      <c r="R517" s="437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438"/>
      <c r="J518" s="437"/>
      <c r="K518" s="438"/>
      <c r="L518" s="437"/>
      <c r="M518" s="438"/>
      <c r="N518" s="437"/>
      <c r="O518" s="438"/>
      <c r="P518" s="437"/>
      <c r="Q518" s="438"/>
      <c r="R518" s="437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438"/>
      <c r="J519" s="437"/>
      <c r="K519" s="438"/>
      <c r="L519" s="437"/>
      <c r="M519" s="438"/>
      <c r="N519" s="437"/>
      <c r="O519" s="438"/>
      <c r="P519" s="437"/>
      <c r="Q519" s="438"/>
      <c r="R519" s="437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438"/>
      <c r="J520" s="437"/>
      <c r="K520" s="438"/>
      <c r="L520" s="437"/>
      <c r="M520" s="438"/>
      <c r="N520" s="437"/>
      <c r="O520" s="438"/>
      <c r="P520" s="437"/>
      <c r="Q520" s="438"/>
      <c r="R520" s="437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438"/>
      <c r="J521" s="437"/>
      <c r="K521" s="438"/>
      <c r="L521" s="437"/>
      <c r="M521" s="438"/>
      <c r="N521" s="437"/>
      <c r="O521" s="438"/>
      <c r="P521" s="437"/>
      <c r="Q521" s="438"/>
      <c r="R521" s="437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438"/>
      <c r="J522" s="437"/>
      <c r="K522" s="438"/>
      <c r="L522" s="437"/>
      <c r="M522" s="438"/>
      <c r="N522" s="437"/>
      <c r="O522" s="438"/>
      <c r="P522" s="437"/>
      <c r="Q522" s="438"/>
      <c r="R522" s="437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438"/>
      <c r="J523" s="437"/>
      <c r="K523" s="438"/>
      <c r="L523" s="437"/>
      <c r="M523" s="438"/>
      <c r="N523" s="437"/>
      <c r="O523" s="438"/>
      <c r="P523" s="437"/>
      <c r="Q523" s="438"/>
      <c r="R523" s="437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438"/>
      <c r="J524" s="437"/>
      <c r="K524" s="438"/>
      <c r="L524" s="437"/>
      <c r="M524" s="438"/>
      <c r="N524" s="437"/>
      <c r="O524" s="438"/>
      <c r="P524" s="437"/>
      <c r="Q524" s="438"/>
      <c r="R524" s="437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438"/>
      <c r="J525" s="437"/>
      <c r="K525" s="438"/>
      <c r="L525" s="437"/>
      <c r="M525" s="438"/>
      <c r="N525" s="437"/>
      <c r="O525" s="438"/>
      <c r="P525" s="437"/>
      <c r="Q525" s="438"/>
      <c r="R525" s="437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438"/>
      <c r="J526" s="437"/>
      <c r="K526" s="438"/>
      <c r="L526" s="437"/>
      <c r="M526" s="438"/>
      <c r="N526" s="437"/>
      <c r="O526" s="438"/>
      <c r="P526" s="437"/>
      <c r="Q526" s="438"/>
      <c r="R526" s="437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438"/>
      <c r="J527" s="437"/>
      <c r="K527" s="438"/>
      <c r="L527" s="437"/>
      <c r="M527" s="438"/>
      <c r="N527" s="437"/>
      <c r="O527" s="438"/>
      <c r="P527" s="437"/>
      <c r="Q527" s="438"/>
      <c r="R527" s="437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438"/>
      <c r="J528" s="437"/>
      <c r="K528" s="438"/>
      <c r="L528" s="437"/>
      <c r="M528" s="438"/>
      <c r="N528" s="437"/>
      <c r="O528" s="438"/>
      <c r="P528" s="437"/>
      <c r="Q528" s="438"/>
      <c r="R528" s="437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438"/>
      <c r="J529" s="437"/>
      <c r="K529" s="438"/>
      <c r="L529" s="437"/>
      <c r="M529" s="438"/>
      <c r="N529" s="437"/>
      <c r="O529" s="438"/>
      <c r="P529" s="437"/>
      <c r="Q529" s="438"/>
      <c r="R529" s="437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438"/>
      <c r="J530" s="437"/>
      <c r="K530" s="438"/>
      <c r="L530" s="437"/>
      <c r="M530" s="438"/>
      <c r="N530" s="437"/>
      <c r="O530" s="438"/>
      <c r="P530" s="437"/>
      <c r="Q530" s="438"/>
      <c r="R530" s="437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438"/>
      <c r="J531" s="437"/>
      <c r="K531" s="438"/>
      <c r="L531" s="437"/>
      <c r="M531" s="438"/>
      <c r="N531" s="437"/>
      <c r="O531" s="438"/>
      <c r="P531" s="437"/>
      <c r="Q531" s="438"/>
      <c r="R531" s="437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438"/>
      <c r="J532" s="437"/>
      <c r="K532" s="438"/>
      <c r="L532" s="437"/>
      <c r="M532" s="438"/>
      <c r="N532" s="437"/>
      <c r="O532" s="438"/>
      <c r="P532" s="437"/>
      <c r="Q532" s="438"/>
      <c r="R532" s="437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438"/>
      <c r="J533" s="437"/>
      <c r="K533" s="438"/>
      <c r="L533" s="437"/>
      <c r="M533" s="438"/>
      <c r="N533" s="437"/>
      <c r="O533" s="438"/>
      <c r="P533" s="437"/>
      <c r="Q533" s="438"/>
      <c r="R533" s="437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438"/>
      <c r="J534" s="437"/>
      <c r="K534" s="438"/>
      <c r="L534" s="437"/>
      <c r="M534" s="438"/>
      <c r="N534" s="437"/>
      <c r="O534" s="438"/>
      <c r="P534" s="437"/>
      <c r="Q534" s="438"/>
      <c r="R534" s="437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438"/>
      <c r="J535" s="437"/>
      <c r="K535" s="438"/>
      <c r="L535" s="437"/>
      <c r="M535" s="438"/>
      <c r="N535" s="437"/>
      <c r="O535" s="438"/>
      <c r="P535" s="437"/>
      <c r="Q535" s="438"/>
      <c r="R535" s="437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438"/>
      <c r="J536" s="437"/>
      <c r="K536" s="438"/>
      <c r="L536" s="437"/>
      <c r="M536" s="438"/>
      <c r="N536" s="437"/>
      <c r="O536" s="438"/>
      <c r="P536" s="437"/>
      <c r="Q536" s="438"/>
      <c r="R536" s="437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438"/>
      <c r="J537" s="437"/>
      <c r="K537" s="438"/>
      <c r="L537" s="437"/>
      <c r="M537" s="438"/>
      <c r="N537" s="437"/>
      <c r="O537" s="438"/>
      <c r="P537" s="437"/>
      <c r="Q537" s="438"/>
      <c r="R537" s="437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438"/>
      <c r="J538" s="437"/>
      <c r="K538" s="438"/>
      <c r="L538" s="437"/>
      <c r="M538" s="438"/>
      <c r="N538" s="437"/>
      <c r="O538" s="438"/>
      <c r="P538" s="437"/>
      <c r="Q538" s="438"/>
      <c r="R538" s="437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438"/>
      <c r="J539" s="437"/>
      <c r="K539" s="438"/>
      <c r="L539" s="437"/>
      <c r="M539" s="438"/>
      <c r="N539" s="437"/>
      <c r="O539" s="438"/>
      <c r="P539" s="437"/>
      <c r="Q539" s="438"/>
      <c r="R539" s="437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438"/>
      <c r="J540" s="437"/>
      <c r="K540" s="438"/>
      <c r="L540" s="437"/>
      <c r="M540" s="438"/>
      <c r="N540" s="437"/>
      <c r="O540" s="438"/>
      <c r="P540" s="437"/>
      <c r="Q540" s="438"/>
      <c r="R540" s="437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438"/>
      <c r="J541" s="437"/>
      <c r="K541" s="438"/>
      <c r="L541" s="437"/>
      <c r="M541" s="438"/>
      <c r="N541" s="437"/>
      <c r="O541" s="438"/>
      <c r="P541" s="437"/>
      <c r="Q541" s="438"/>
      <c r="R541" s="437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438"/>
      <c r="J542" s="437"/>
      <c r="K542" s="438"/>
      <c r="L542" s="437"/>
      <c r="M542" s="438"/>
      <c r="N542" s="437"/>
      <c r="O542" s="438"/>
      <c r="P542" s="437"/>
      <c r="Q542" s="438"/>
      <c r="R542" s="437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438"/>
      <c r="J543" s="437"/>
      <c r="K543" s="438"/>
      <c r="L543" s="437"/>
      <c r="M543" s="438"/>
      <c r="N543" s="437"/>
      <c r="O543" s="438"/>
      <c r="P543" s="437"/>
      <c r="Q543" s="438"/>
      <c r="R543" s="437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438"/>
      <c r="J544" s="437"/>
      <c r="K544" s="438"/>
      <c r="L544" s="437"/>
      <c r="M544" s="438"/>
      <c r="N544" s="437"/>
      <c r="O544" s="438"/>
      <c r="P544" s="437"/>
      <c r="Q544" s="438"/>
      <c r="R544" s="437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438"/>
      <c r="J545" s="437"/>
      <c r="K545" s="438"/>
      <c r="L545" s="437"/>
      <c r="M545" s="438"/>
      <c r="N545" s="437"/>
      <c r="O545" s="438"/>
      <c r="P545" s="437"/>
      <c r="Q545" s="438"/>
      <c r="R545" s="437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438"/>
      <c r="J546" s="437"/>
      <c r="K546" s="438"/>
      <c r="L546" s="437"/>
      <c r="M546" s="438"/>
      <c r="N546" s="437"/>
      <c r="O546" s="438"/>
      <c r="P546" s="437"/>
      <c r="Q546" s="438"/>
      <c r="R546" s="437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438"/>
      <c r="J547" s="437"/>
      <c r="K547" s="438"/>
      <c r="L547" s="437"/>
      <c r="M547" s="438"/>
      <c r="N547" s="437"/>
      <c r="O547" s="438"/>
      <c r="P547" s="437"/>
      <c r="Q547" s="438"/>
      <c r="R547" s="437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438"/>
      <c r="J548" s="437"/>
      <c r="K548" s="438"/>
      <c r="L548" s="437"/>
      <c r="M548" s="438"/>
      <c r="N548" s="437"/>
      <c r="O548" s="438"/>
      <c r="P548" s="437"/>
      <c r="Q548" s="438"/>
      <c r="R548" s="437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438"/>
      <c r="J549" s="437"/>
      <c r="K549" s="438"/>
      <c r="L549" s="437"/>
      <c r="M549" s="438"/>
      <c r="N549" s="437"/>
      <c r="O549" s="438"/>
      <c r="P549" s="437"/>
      <c r="Q549" s="438"/>
      <c r="R549" s="437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438"/>
      <c r="J550" s="437"/>
      <c r="K550" s="438"/>
      <c r="L550" s="437"/>
      <c r="M550" s="438"/>
      <c r="N550" s="437"/>
      <c r="O550" s="438"/>
      <c r="P550" s="437"/>
      <c r="Q550" s="438"/>
      <c r="R550" s="437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438"/>
      <c r="J551" s="437"/>
      <c r="K551" s="438"/>
      <c r="L551" s="437"/>
      <c r="M551" s="438"/>
      <c r="N551" s="437"/>
      <c r="O551" s="438"/>
      <c r="P551" s="437"/>
      <c r="Q551" s="438"/>
      <c r="R551" s="437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438"/>
      <c r="J552" s="437"/>
      <c r="K552" s="438"/>
      <c r="L552" s="437"/>
      <c r="M552" s="438"/>
      <c r="N552" s="437"/>
      <c r="O552" s="438"/>
      <c r="P552" s="437"/>
      <c r="Q552" s="438"/>
      <c r="R552" s="437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438"/>
      <c r="J553" s="437"/>
      <c r="K553" s="438"/>
      <c r="L553" s="437"/>
      <c r="M553" s="438"/>
      <c r="N553" s="437"/>
      <c r="O553" s="438"/>
      <c r="P553" s="437"/>
      <c r="Q553" s="438"/>
      <c r="R553" s="437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438"/>
      <c r="J554" s="437"/>
      <c r="K554" s="438"/>
      <c r="L554" s="437"/>
      <c r="M554" s="438"/>
      <c r="N554" s="437"/>
      <c r="O554" s="438"/>
      <c r="P554" s="437"/>
      <c r="Q554" s="438"/>
      <c r="R554" s="437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438"/>
      <c r="J555" s="437"/>
      <c r="K555" s="438"/>
      <c r="L555" s="437"/>
      <c r="M555" s="438"/>
      <c r="N555" s="437"/>
      <c r="O555" s="438"/>
      <c r="P555" s="437"/>
      <c r="Q555" s="438"/>
      <c r="R555" s="437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438"/>
      <c r="J556" s="437"/>
      <c r="K556" s="438"/>
      <c r="L556" s="437"/>
      <c r="M556" s="438"/>
      <c r="N556" s="437"/>
      <c r="O556" s="438"/>
      <c r="P556" s="437"/>
      <c r="Q556" s="438"/>
      <c r="R556" s="437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438"/>
      <c r="J557" s="437"/>
      <c r="K557" s="438"/>
      <c r="L557" s="437"/>
      <c r="M557" s="438"/>
      <c r="N557" s="437"/>
      <c r="O557" s="438"/>
      <c r="P557" s="437"/>
      <c r="Q557" s="438"/>
      <c r="R557" s="437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438"/>
      <c r="J558" s="437"/>
      <c r="K558" s="438"/>
      <c r="L558" s="437"/>
      <c r="M558" s="438"/>
      <c r="N558" s="437"/>
      <c r="O558" s="438"/>
      <c r="P558" s="437"/>
      <c r="Q558" s="438"/>
      <c r="R558" s="437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438"/>
      <c r="J559" s="437"/>
      <c r="K559" s="438"/>
      <c r="L559" s="437"/>
      <c r="M559" s="438"/>
      <c r="N559" s="437"/>
      <c r="O559" s="438"/>
      <c r="P559" s="437"/>
      <c r="Q559" s="438"/>
      <c r="R559" s="437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438"/>
      <c r="J560" s="437"/>
      <c r="K560" s="438"/>
      <c r="L560" s="437"/>
      <c r="M560" s="438"/>
      <c r="N560" s="437"/>
      <c r="O560" s="438"/>
      <c r="P560" s="437"/>
      <c r="Q560" s="438"/>
      <c r="R560" s="437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438"/>
      <c r="J561" s="437"/>
      <c r="K561" s="438"/>
      <c r="L561" s="437"/>
      <c r="M561" s="438"/>
      <c r="N561" s="437"/>
      <c r="O561" s="438"/>
      <c r="P561" s="437"/>
      <c r="Q561" s="438"/>
      <c r="R561" s="437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438"/>
      <c r="J562" s="437"/>
      <c r="K562" s="438"/>
      <c r="L562" s="437"/>
      <c r="M562" s="438"/>
      <c r="N562" s="437"/>
      <c r="O562" s="438"/>
      <c r="P562" s="437"/>
      <c r="Q562" s="438"/>
      <c r="R562" s="437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438"/>
      <c r="J563" s="437"/>
      <c r="K563" s="438"/>
      <c r="L563" s="437"/>
      <c r="M563" s="438"/>
      <c r="N563" s="437"/>
      <c r="O563" s="438"/>
      <c r="P563" s="437"/>
      <c r="Q563" s="438"/>
      <c r="R563" s="437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438"/>
      <c r="J564" s="437"/>
      <c r="K564" s="438"/>
      <c r="L564" s="437"/>
      <c r="M564" s="438"/>
      <c r="N564" s="437"/>
      <c r="O564" s="438"/>
      <c r="P564" s="437"/>
      <c r="Q564" s="438"/>
      <c r="R564" s="437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438"/>
      <c r="J565" s="437"/>
      <c r="K565" s="438"/>
      <c r="L565" s="437"/>
      <c r="M565" s="438"/>
      <c r="N565" s="437"/>
      <c r="O565" s="438"/>
      <c r="P565" s="437"/>
      <c r="Q565" s="438"/>
      <c r="R565" s="437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438"/>
      <c r="J566" s="437"/>
      <c r="K566" s="438"/>
      <c r="L566" s="437"/>
      <c r="M566" s="438"/>
      <c r="N566" s="437"/>
      <c r="O566" s="438"/>
      <c r="P566" s="437"/>
      <c r="Q566" s="438"/>
      <c r="R566" s="437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438"/>
      <c r="J567" s="437"/>
      <c r="K567" s="438"/>
      <c r="L567" s="437"/>
      <c r="M567" s="438"/>
      <c r="N567" s="437"/>
      <c r="O567" s="438"/>
      <c r="P567" s="437"/>
      <c r="Q567" s="438"/>
      <c r="R567" s="437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438"/>
      <c r="J568" s="437"/>
      <c r="K568" s="438"/>
      <c r="L568" s="437"/>
      <c r="M568" s="438"/>
      <c r="N568" s="437"/>
      <c r="O568" s="438"/>
      <c r="P568" s="437"/>
      <c r="Q568" s="438"/>
      <c r="R568" s="437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438"/>
      <c r="J569" s="437"/>
      <c r="K569" s="438"/>
      <c r="L569" s="437"/>
      <c r="M569" s="438"/>
      <c r="N569" s="437"/>
      <c r="O569" s="438"/>
      <c r="P569" s="437"/>
      <c r="Q569" s="438"/>
      <c r="R569" s="437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438"/>
      <c r="J570" s="437"/>
      <c r="K570" s="438"/>
      <c r="L570" s="437"/>
      <c r="M570" s="438"/>
      <c r="N570" s="437"/>
      <c r="O570" s="438"/>
      <c r="P570" s="437"/>
      <c r="Q570" s="438"/>
      <c r="R570" s="437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438"/>
      <c r="J571" s="437"/>
      <c r="K571" s="438"/>
      <c r="L571" s="437"/>
      <c r="M571" s="438"/>
      <c r="N571" s="437"/>
      <c r="O571" s="438"/>
      <c r="P571" s="437"/>
      <c r="Q571" s="438"/>
      <c r="R571" s="437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438"/>
      <c r="J572" s="437"/>
      <c r="K572" s="438"/>
      <c r="L572" s="437"/>
      <c r="M572" s="438"/>
      <c r="N572" s="437"/>
      <c r="O572" s="438"/>
      <c r="P572" s="437"/>
      <c r="Q572" s="438"/>
      <c r="R572" s="437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438"/>
      <c r="J573" s="437"/>
      <c r="K573" s="438"/>
      <c r="L573" s="437"/>
      <c r="M573" s="438"/>
      <c r="N573" s="437"/>
      <c r="O573" s="438"/>
      <c r="P573" s="437"/>
      <c r="Q573" s="438"/>
      <c r="R573" s="437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438"/>
      <c r="J574" s="437"/>
      <c r="K574" s="438"/>
      <c r="L574" s="437"/>
      <c r="M574" s="438"/>
      <c r="N574" s="437"/>
      <c r="O574" s="438"/>
      <c r="P574" s="437"/>
      <c r="Q574" s="438"/>
      <c r="R574" s="437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438"/>
      <c r="J575" s="437"/>
      <c r="K575" s="438"/>
      <c r="L575" s="437"/>
      <c r="M575" s="438"/>
      <c r="N575" s="437"/>
      <c r="O575" s="438"/>
      <c r="P575" s="437"/>
      <c r="Q575" s="438"/>
      <c r="R575" s="437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438"/>
      <c r="J576" s="437"/>
      <c r="K576" s="438"/>
      <c r="L576" s="437"/>
      <c r="M576" s="438"/>
      <c r="N576" s="437"/>
      <c r="O576" s="438"/>
      <c r="P576" s="437"/>
      <c r="Q576" s="438"/>
      <c r="R576" s="437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438"/>
      <c r="J577" s="437"/>
      <c r="K577" s="438"/>
      <c r="L577" s="437"/>
      <c r="M577" s="438"/>
      <c r="N577" s="437"/>
      <c r="O577" s="438"/>
      <c r="P577" s="437"/>
      <c r="Q577" s="438"/>
      <c r="R577" s="437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438"/>
      <c r="J578" s="437"/>
      <c r="K578" s="438"/>
      <c r="L578" s="437"/>
      <c r="M578" s="438"/>
      <c r="N578" s="437"/>
      <c r="O578" s="438"/>
      <c r="P578" s="437"/>
      <c r="Q578" s="438"/>
      <c r="R578" s="437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438"/>
      <c r="J579" s="437"/>
      <c r="K579" s="438"/>
      <c r="L579" s="437"/>
      <c r="M579" s="438"/>
      <c r="N579" s="437"/>
      <c r="O579" s="438"/>
      <c r="P579" s="437"/>
      <c r="Q579" s="438"/>
      <c r="R579" s="437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438"/>
      <c r="J580" s="437"/>
      <c r="K580" s="438"/>
      <c r="L580" s="437"/>
      <c r="M580" s="438"/>
      <c r="N580" s="437"/>
      <c r="O580" s="438"/>
      <c r="P580" s="437"/>
      <c r="Q580" s="438"/>
      <c r="R580" s="437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438"/>
      <c r="J581" s="437"/>
      <c r="K581" s="438"/>
      <c r="L581" s="437"/>
      <c r="M581" s="438"/>
      <c r="N581" s="437"/>
      <c r="O581" s="438"/>
      <c r="P581" s="437"/>
      <c r="Q581" s="438"/>
      <c r="R581" s="437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438"/>
      <c r="J582" s="437"/>
      <c r="K582" s="438"/>
      <c r="L582" s="437"/>
      <c r="M582" s="438"/>
      <c r="N582" s="437"/>
      <c r="O582" s="438"/>
      <c r="P582" s="437"/>
      <c r="Q582" s="438"/>
      <c r="R582" s="437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438"/>
      <c r="J583" s="437"/>
      <c r="K583" s="438"/>
      <c r="L583" s="437"/>
      <c r="M583" s="438"/>
      <c r="N583" s="437"/>
      <c r="O583" s="438"/>
      <c r="P583" s="437"/>
      <c r="Q583" s="438"/>
      <c r="R583" s="437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438"/>
      <c r="J584" s="437"/>
      <c r="K584" s="438"/>
      <c r="L584" s="437"/>
      <c r="M584" s="438"/>
      <c r="N584" s="437"/>
      <c r="O584" s="438"/>
      <c r="P584" s="437"/>
      <c r="Q584" s="438"/>
      <c r="R584" s="437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438"/>
      <c r="J585" s="437"/>
      <c r="K585" s="438"/>
      <c r="L585" s="437"/>
      <c r="M585" s="438"/>
      <c r="N585" s="437"/>
      <c r="O585" s="438"/>
      <c r="P585" s="437"/>
      <c r="Q585" s="438"/>
      <c r="R585" s="437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438"/>
      <c r="J586" s="437"/>
      <c r="K586" s="438"/>
      <c r="L586" s="437"/>
      <c r="M586" s="438"/>
      <c r="N586" s="437"/>
      <c r="O586" s="438"/>
      <c r="P586" s="437"/>
      <c r="Q586" s="438"/>
      <c r="R586" s="437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438"/>
      <c r="J587" s="437"/>
      <c r="K587" s="438"/>
      <c r="L587" s="437"/>
      <c r="M587" s="438"/>
      <c r="N587" s="437"/>
      <c r="O587" s="438"/>
      <c r="P587" s="437"/>
      <c r="Q587" s="438"/>
      <c r="R587" s="437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438"/>
      <c r="J588" s="437"/>
      <c r="K588" s="438"/>
      <c r="L588" s="437"/>
      <c r="M588" s="438"/>
      <c r="N588" s="437"/>
      <c r="O588" s="438"/>
      <c r="P588" s="437"/>
      <c r="Q588" s="438"/>
      <c r="R588" s="437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438"/>
      <c r="J589" s="437"/>
      <c r="K589" s="438"/>
      <c r="L589" s="437"/>
      <c r="M589" s="438"/>
      <c r="N589" s="437"/>
      <c r="O589" s="438"/>
      <c r="P589" s="437"/>
      <c r="Q589" s="438"/>
      <c r="R589" s="437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438"/>
      <c r="J590" s="437"/>
      <c r="K590" s="438"/>
      <c r="L590" s="437"/>
      <c r="M590" s="438"/>
      <c r="N590" s="437"/>
      <c r="O590" s="438"/>
      <c r="P590" s="437"/>
      <c r="Q590" s="438"/>
      <c r="R590" s="437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438"/>
      <c r="J591" s="437"/>
      <c r="K591" s="438"/>
      <c r="L591" s="437"/>
      <c r="M591" s="438"/>
      <c r="N591" s="437"/>
      <c r="O591" s="438"/>
      <c r="P591" s="437"/>
      <c r="Q591" s="438"/>
      <c r="R591" s="437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438"/>
      <c r="J592" s="437"/>
      <c r="K592" s="438"/>
      <c r="L592" s="437"/>
      <c r="M592" s="438"/>
      <c r="N592" s="437"/>
      <c r="O592" s="438"/>
      <c r="P592" s="437"/>
      <c r="Q592" s="438"/>
      <c r="R592" s="437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438"/>
      <c r="J593" s="437"/>
      <c r="K593" s="438"/>
      <c r="L593" s="437"/>
      <c r="M593" s="438"/>
      <c r="N593" s="437"/>
      <c r="O593" s="438"/>
      <c r="P593" s="437"/>
      <c r="Q593" s="438"/>
      <c r="R593" s="437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438"/>
      <c r="J594" s="437"/>
      <c r="K594" s="438"/>
      <c r="L594" s="437"/>
      <c r="M594" s="438"/>
      <c r="N594" s="437"/>
      <c r="O594" s="438"/>
      <c r="P594" s="437"/>
      <c r="Q594" s="438"/>
      <c r="R594" s="437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438"/>
      <c r="J595" s="437"/>
      <c r="K595" s="438"/>
      <c r="L595" s="437"/>
      <c r="M595" s="438"/>
      <c r="N595" s="437"/>
      <c r="O595" s="438"/>
      <c r="P595" s="437"/>
      <c r="Q595" s="438"/>
      <c r="R595" s="437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438"/>
      <c r="J596" s="437"/>
      <c r="K596" s="438"/>
      <c r="L596" s="437"/>
      <c r="M596" s="438"/>
      <c r="N596" s="437"/>
      <c r="O596" s="438"/>
      <c r="P596" s="437"/>
      <c r="Q596" s="438"/>
      <c r="R596" s="437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438"/>
      <c r="J597" s="437"/>
      <c r="K597" s="438"/>
      <c r="L597" s="437"/>
      <c r="M597" s="438"/>
      <c r="N597" s="437"/>
      <c r="O597" s="438"/>
      <c r="P597" s="437"/>
      <c r="Q597" s="438"/>
      <c r="R597" s="437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438"/>
      <c r="J598" s="437"/>
      <c r="K598" s="438"/>
      <c r="L598" s="437"/>
      <c r="M598" s="438"/>
      <c r="N598" s="437"/>
      <c r="O598" s="438"/>
      <c r="P598" s="437"/>
      <c r="Q598" s="438"/>
      <c r="R598" s="437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438"/>
      <c r="J599" s="437"/>
      <c r="K599" s="438"/>
      <c r="L599" s="437"/>
      <c r="M599" s="438"/>
      <c r="N599" s="437"/>
      <c r="O599" s="438"/>
      <c r="P599" s="437"/>
      <c r="Q599" s="438"/>
      <c r="R599" s="437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438"/>
      <c r="J600" s="437"/>
      <c r="K600" s="438"/>
      <c r="L600" s="437"/>
      <c r="M600" s="438"/>
      <c r="N600" s="437"/>
      <c r="O600" s="438"/>
      <c r="P600" s="437"/>
      <c r="Q600" s="438"/>
      <c r="R600" s="437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438"/>
      <c r="J601" s="437"/>
      <c r="K601" s="438"/>
      <c r="L601" s="437"/>
      <c r="M601" s="438"/>
      <c r="N601" s="437"/>
      <c r="O601" s="438"/>
      <c r="P601" s="437"/>
      <c r="Q601" s="438"/>
      <c r="R601" s="437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438"/>
      <c r="J602" s="437"/>
      <c r="K602" s="438"/>
      <c r="L602" s="437"/>
      <c r="M602" s="438"/>
      <c r="N602" s="437"/>
      <c r="O602" s="438"/>
      <c r="P602" s="437"/>
      <c r="Q602" s="438"/>
      <c r="R602" s="437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438"/>
      <c r="J603" s="437"/>
      <c r="K603" s="438"/>
      <c r="L603" s="437"/>
      <c r="M603" s="438"/>
      <c r="N603" s="437"/>
      <c r="O603" s="438"/>
      <c r="P603" s="437"/>
      <c r="Q603" s="438"/>
      <c r="R603" s="437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438"/>
      <c r="J604" s="437"/>
      <c r="K604" s="438"/>
      <c r="L604" s="437"/>
      <c r="M604" s="438"/>
      <c r="N604" s="437"/>
      <c r="O604" s="438"/>
      <c r="P604" s="437"/>
      <c r="Q604" s="438"/>
      <c r="R604" s="437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438"/>
      <c r="J605" s="437"/>
      <c r="K605" s="438"/>
      <c r="L605" s="437"/>
      <c r="M605" s="438"/>
      <c r="N605" s="437"/>
      <c r="O605" s="438"/>
      <c r="P605" s="437"/>
      <c r="Q605" s="438"/>
      <c r="R605" s="437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438"/>
      <c r="J606" s="437"/>
      <c r="K606" s="438"/>
      <c r="L606" s="437"/>
      <c r="M606" s="438"/>
      <c r="N606" s="437"/>
      <c r="O606" s="438"/>
      <c r="P606" s="437"/>
      <c r="Q606" s="438"/>
      <c r="R606" s="437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438"/>
      <c r="J607" s="437"/>
      <c r="K607" s="438"/>
      <c r="L607" s="437"/>
      <c r="M607" s="438"/>
      <c r="N607" s="437"/>
      <c r="O607" s="438"/>
      <c r="P607" s="437"/>
      <c r="Q607" s="438"/>
      <c r="R607" s="437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438"/>
      <c r="J608" s="437"/>
      <c r="K608" s="438"/>
      <c r="L608" s="437"/>
      <c r="M608" s="438"/>
      <c r="N608" s="437"/>
      <c r="O608" s="438"/>
      <c r="P608" s="437"/>
      <c r="Q608" s="438"/>
      <c r="R608" s="437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438"/>
      <c r="J609" s="437"/>
      <c r="K609" s="438"/>
      <c r="L609" s="437"/>
      <c r="M609" s="438"/>
      <c r="N609" s="437"/>
      <c r="O609" s="438"/>
      <c r="P609" s="437"/>
      <c r="Q609" s="438"/>
      <c r="R609" s="437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438"/>
      <c r="J610" s="437"/>
      <c r="K610" s="438"/>
      <c r="L610" s="437"/>
      <c r="M610" s="438"/>
      <c r="N610" s="437"/>
      <c r="O610" s="438"/>
      <c r="P610" s="437"/>
      <c r="Q610" s="438"/>
      <c r="R610" s="437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438"/>
      <c r="J611" s="437"/>
      <c r="K611" s="438"/>
      <c r="L611" s="437"/>
      <c r="M611" s="438"/>
      <c r="N611" s="437"/>
      <c r="O611" s="438"/>
      <c r="P611" s="437"/>
      <c r="Q611" s="438"/>
      <c r="R611" s="437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438"/>
      <c r="J612" s="437"/>
      <c r="K612" s="438"/>
      <c r="L612" s="437"/>
      <c r="M612" s="438"/>
      <c r="N612" s="437"/>
      <c r="O612" s="438"/>
      <c r="P612" s="437"/>
      <c r="Q612" s="438"/>
      <c r="R612" s="437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438"/>
      <c r="J613" s="437"/>
      <c r="K613" s="438"/>
      <c r="L613" s="437"/>
      <c r="M613" s="438"/>
      <c r="N613" s="437"/>
      <c r="O613" s="438"/>
      <c r="P613" s="437"/>
      <c r="Q613" s="438"/>
      <c r="R613" s="437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438"/>
      <c r="J614" s="437"/>
      <c r="K614" s="438"/>
      <c r="L614" s="437"/>
      <c r="M614" s="438"/>
      <c r="N614" s="437"/>
      <c r="O614" s="438"/>
      <c r="P614" s="437"/>
      <c r="Q614" s="438"/>
      <c r="R614" s="437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438"/>
      <c r="J615" s="437"/>
      <c r="K615" s="438"/>
      <c r="L615" s="437"/>
      <c r="M615" s="438"/>
      <c r="N615" s="437"/>
      <c r="O615" s="438"/>
      <c r="P615" s="437"/>
      <c r="Q615" s="438"/>
      <c r="R615" s="437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438"/>
      <c r="J616" s="437"/>
      <c r="K616" s="438"/>
      <c r="L616" s="437"/>
      <c r="M616" s="438"/>
      <c r="N616" s="437"/>
      <c r="O616" s="438"/>
      <c r="P616" s="437"/>
      <c r="Q616" s="438"/>
      <c r="R616" s="437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438"/>
      <c r="J617" s="437"/>
      <c r="K617" s="438"/>
      <c r="L617" s="437"/>
      <c r="M617" s="438"/>
      <c r="N617" s="437"/>
      <c r="O617" s="438"/>
      <c r="P617" s="437"/>
      <c r="Q617" s="438"/>
      <c r="R617" s="437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438"/>
      <c r="J618" s="437"/>
      <c r="K618" s="438"/>
      <c r="L618" s="437"/>
      <c r="M618" s="438"/>
      <c r="N618" s="437"/>
      <c r="O618" s="438"/>
      <c r="P618" s="437"/>
      <c r="Q618" s="438"/>
      <c r="R618" s="437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438"/>
      <c r="J619" s="437"/>
      <c r="K619" s="438"/>
      <c r="L619" s="437"/>
      <c r="M619" s="438"/>
      <c r="N619" s="437"/>
      <c r="O619" s="438"/>
      <c r="P619" s="437"/>
      <c r="Q619" s="438"/>
      <c r="R619" s="437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438"/>
      <c r="J620" s="437"/>
      <c r="K620" s="438"/>
      <c r="L620" s="437"/>
      <c r="M620" s="438"/>
      <c r="N620" s="437"/>
      <c r="O620" s="438"/>
      <c r="P620" s="437"/>
      <c r="Q620" s="438"/>
      <c r="R620" s="437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438"/>
      <c r="J621" s="437"/>
      <c r="K621" s="438"/>
      <c r="L621" s="437"/>
      <c r="M621" s="438"/>
      <c r="N621" s="437"/>
      <c r="O621" s="438"/>
      <c r="P621" s="437"/>
      <c r="Q621" s="438"/>
      <c r="R621" s="437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438"/>
      <c r="J622" s="437"/>
      <c r="K622" s="438"/>
      <c r="L622" s="437"/>
      <c r="M622" s="438"/>
      <c r="N622" s="437"/>
      <c r="O622" s="438"/>
      <c r="P622" s="437"/>
      <c r="Q622" s="438"/>
      <c r="R622" s="437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438"/>
      <c r="J623" s="437"/>
      <c r="K623" s="438"/>
      <c r="L623" s="437"/>
      <c r="M623" s="438"/>
      <c r="N623" s="437"/>
      <c r="O623" s="438"/>
      <c r="P623" s="437"/>
      <c r="Q623" s="438"/>
      <c r="R623" s="437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438"/>
      <c r="J624" s="437"/>
      <c r="K624" s="438"/>
      <c r="L624" s="437"/>
      <c r="M624" s="438"/>
      <c r="N624" s="437"/>
      <c r="O624" s="438"/>
      <c r="P624" s="437"/>
      <c r="Q624" s="438"/>
      <c r="R624" s="437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438"/>
      <c r="J625" s="437"/>
      <c r="K625" s="438"/>
      <c r="L625" s="437"/>
      <c r="M625" s="438"/>
      <c r="N625" s="437"/>
      <c r="O625" s="438"/>
      <c r="P625" s="437"/>
      <c r="Q625" s="438"/>
      <c r="R625" s="437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438"/>
      <c r="J626" s="437"/>
      <c r="K626" s="438"/>
      <c r="L626" s="437"/>
      <c r="M626" s="438"/>
      <c r="N626" s="437"/>
      <c r="O626" s="438"/>
      <c r="P626" s="437"/>
      <c r="Q626" s="438"/>
      <c r="R626" s="437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438"/>
      <c r="J627" s="437"/>
      <c r="K627" s="438"/>
      <c r="L627" s="437"/>
      <c r="M627" s="438"/>
      <c r="N627" s="437"/>
      <c r="O627" s="438"/>
      <c r="P627" s="437"/>
      <c r="Q627" s="438"/>
      <c r="R627" s="437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438"/>
      <c r="J628" s="437"/>
      <c r="K628" s="438"/>
      <c r="L628" s="437"/>
      <c r="M628" s="438"/>
      <c r="N628" s="437"/>
      <c r="O628" s="438"/>
      <c r="P628" s="437"/>
      <c r="Q628" s="438"/>
      <c r="R628" s="437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438"/>
      <c r="J629" s="437"/>
      <c r="K629" s="438"/>
      <c r="L629" s="437"/>
      <c r="M629" s="438"/>
      <c r="N629" s="437"/>
      <c r="O629" s="438"/>
      <c r="P629" s="437"/>
      <c r="Q629" s="438"/>
      <c r="R629" s="437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438"/>
      <c r="J630" s="437"/>
      <c r="K630" s="438"/>
      <c r="L630" s="437"/>
      <c r="M630" s="438"/>
      <c r="N630" s="437"/>
      <c r="O630" s="438"/>
      <c r="P630" s="437"/>
      <c r="Q630" s="438"/>
      <c r="R630" s="437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438"/>
      <c r="J631" s="437"/>
      <c r="K631" s="438"/>
      <c r="L631" s="437"/>
      <c r="M631" s="438"/>
      <c r="N631" s="437"/>
      <c r="O631" s="438"/>
      <c r="P631" s="437"/>
      <c r="Q631" s="438"/>
      <c r="R631" s="437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438"/>
      <c r="J632" s="437"/>
      <c r="K632" s="438"/>
      <c r="L632" s="437"/>
      <c r="M632" s="438"/>
      <c r="N632" s="437"/>
      <c r="O632" s="438"/>
      <c r="P632" s="437"/>
      <c r="Q632" s="438"/>
      <c r="R632" s="437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438"/>
      <c r="J633" s="437"/>
      <c r="K633" s="438"/>
      <c r="L633" s="437"/>
      <c r="M633" s="438"/>
      <c r="N633" s="437"/>
      <c r="O633" s="438"/>
      <c r="P633" s="437"/>
      <c r="Q633" s="438"/>
      <c r="R633" s="437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438"/>
      <c r="J634" s="437"/>
      <c r="K634" s="438"/>
      <c r="L634" s="437"/>
      <c r="M634" s="438"/>
      <c r="N634" s="437"/>
      <c r="O634" s="438"/>
      <c r="P634" s="437"/>
      <c r="Q634" s="438"/>
      <c r="R634" s="437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438"/>
      <c r="J635" s="437"/>
      <c r="K635" s="438"/>
      <c r="L635" s="437"/>
      <c r="M635" s="438"/>
      <c r="N635" s="437"/>
      <c r="O635" s="438"/>
      <c r="P635" s="437"/>
      <c r="Q635" s="438"/>
      <c r="R635" s="437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438"/>
      <c r="J636" s="437"/>
      <c r="K636" s="438"/>
      <c r="L636" s="437"/>
      <c r="M636" s="438"/>
      <c r="N636" s="437"/>
      <c r="O636" s="438"/>
      <c r="P636" s="437"/>
      <c r="Q636" s="438"/>
      <c r="R636" s="437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438"/>
      <c r="J637" s="437"/>
      <c r="K637" s="438"/>
      <c r="L637" s="437"/>
      <c r="M637" s="438"/>
      <c r="N637" s="437"/>
      <c r="O637" s="438"/>
      <c r="P637" s="437"/>
      <c r="Q637" s="438"/>
      <c r="R637" s="437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438"/>
      <c r="J638" s="437"/>
      <c r="K638" s="438"/>
      <c r="L638" s="437"/>
      <c r="M638" s="438"/>
      <c r="N638" s="437"/>
      <c r="O638" s="438"/>
      <c r="P638" s="437"/>
      <c r="Q638" s="438"/>
      <c r="R638" s="437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438"/>
      <c r="J639" s="437"/>
      <c r="K639" s="438"/>
      <c r="L639" s="437"/>
      <c r="M639" s="438"/>
      <c r="N639" s="437"/>
      <c r="O639" s="438"/>
      <c r="P639" s="437"/>
      <c r="Q639" s="438"/>
      <c r="R639" s="437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438"/>
      <c r="J640" s="437"/>
      <c r="K640" s="438"/>
      <c r="L640" s="437"/>
      <c r="M640" s="438"/>
      <c r="N640" s="437"/>
      <c r="O640" s="438"/>
      <c r="P640" s="437"/>
      <c r="Q640" s="438"/>
      <c r="R640" s="437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438"/>
      <c r="J641" s="437"/>
      <c r="K641" s="438"/>
      <c r="L641" s="437"/>
      <c r="M641" s="438"/>
      <c r="N641" s="437"/>
      <c r="O641" s="438"/>
      <c r="P641" s="437"/>
      <c r="Q641" s="438"/>
      <c r="R641" s="437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438"/>
      <c r="J642" s="437"/>
      <c r="K642" s="438"/>
      <c r="L642" s="437"/>
      <c r="M642" s="438"/>
      <c r="N642" s="437"/>
      <c r="O642" s="438"/>
      <c r="P642" s="437"/>
      <c r="Q642" s="438"/>
      <c r="R642" s="437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438"/>
      <c r="J643" s="437"/>
      <c r="K643" s="438"/>
      <c r="L643" s="437"/>
      <c r="M643" s="438"/>
      <c r="N643" s="437"/>
      <c r="O643" s="438"/>
      <c r="P643" s="437"/>
      <c r="Q643" s="438"/>
      <c r="R643" s="437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438"/>
      <c r="J644" s="437"/>
      <c r="K644" s="438"/>
      <c r="L644" s="437"/>
      <c r="M644" s="438"/>
      <c r="N644" s="437"/>
      <c r="O644" s="438"/>
      <c r="P644" s="437"/>
      <c r="Q644" s="438"/>
      <c r="R644" s="437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438"/>
      <c r="J645" s="437"/>
      <c r="K645" s="438"/>
      <c r="L645" s="437"/>
      <c r="M645" s="438"/>
      <c r="N645" s="437"/>
      <c r="O645" s="438"/>
      <c r="P645" s="437"/>
      <c r="Q645" s="438"/>
      <c r="R645" s="437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438"/>
      <c r="J646" s="437"/>
      <c r="K646" s="438"/>
      <c r="L646" s="437"/>
      <c r="M646" s="438"/>
      <c r="N646" s="437"/>
      <c r="O646" s="438"/>
      <c r="P646" s="437"/>
      <c r="Q646" s="438"/>
      <c r="R646" s="437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438"/>
      <c r="J647" s="437"/>
      <c r="K647" s="438"/>
      <c r="L647" s="437"/>
      <c r="M647" s="438"/>
      <c r="N647" s="437"/>
      <c r="O647" s="438"/>
      <c r="P647" s="437"/>
      <c r="Q647" s="438"/>
      <c r="R647" s="437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438"/>
      <c r="J648" s="437"/>
      <c r="K648" s="438"/>
      <c r="L648" s="437"/>
      <c r="M648" s="438"/>
      <c r="N648" s="437"/>
      <c r="O648" s="438"/>
      <c r="P648" s="437"/>
      <c r="Q648" s="438"/>
      <c r="R648" s="437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438"/>
      <c r="J649" s="437"/>
      <c r="K649" s="438"/>
      <c r="L649" s="437"/>
      <c r="M649" s="438"/>
      <c r="N649" s="437"/>
      <c r="O649" s="438"/>
      <c r="P649" s="437"/>
      <c r="Q649" s="438"/>
      <c r="R649" s="437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438"/>
      <c r="J650" s="437"/>
      <c r="K650" s="438"/>
      <c r="L650" s="437"/>
      <c r="M650" s="438"/>
      <c r="N650" s="437"/>
      <c r="O650" s="438"/>
      <c r="P650" s="437"/>
      <c r="Q650" s="438"/>
      <c r="R650" s="437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438"/>
      <c r="J651" s="437"/>
      <c r="K651" s="438"/>
      <c r="L651" s="437"/>
      <c r="M651" s="438"/>
      <c r="N651" s="437"/>
      <c r="O651" s="438"/>
      <c r="P651" s="437"/>
      <c r="Q651" s="438"/>
      <c r="R651" s="437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438"/>
      <c r="J652" s="437"/>
      <c r="K652" s="438"/>
      <c r="L652" s="437"/>
      <c r="M652" s="438"/>
      <c r="N652" s="437"/>
      <c r="O652" s="438"/>
      <c r="P652" s="437"/>
      <c r="Q652" s="438"/>
      <c r="R652" s="437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438"/>
      <c r="J653" s="437"/>
      <c r="K653" s="438"/>
      <c r="L653" s="437"/>
      <c r="M653" s="438"/>
      <c r="N653" s="437"/>
      <c r="O653" s="438"/>
      <c r="P653" s="437"/>
      <c r="Q653" s="438"/>
      <c r="R653" s="437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438"/>
      <c r="J654" s="437"/>
      <c r="K654" s="438"/>
      <c r="L654" s="437"/>
      <c r="M654" s="438"/>
      <c r="N654" s="437"/>
      <c r="O654" s="438"/>
      <c r="P654" s="437"/>
      <c r="Q654" s="438"/>
      <c r="R654" s="437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438"/>
      <c r="J655" s="437"/>
      <c r="K655" s="438"/>
      <c r="L655" s="437"/>
      <c r="M655" s="438"/>
      <c r="N655" s="437"/>
      <c r="O655" s="438"/>
      <c r="P655" s="437"/>
      <c r="Q655" s="438"/>
      <c r="R655" s="437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438"/>
      <c r="J656" s="437"/>
      <c r="K656" s="438"/>
      <c r="L656" s="437"/>
      <c r="M656" s="438"/>
      <c r="N656" s="437"/>
      <c r="O656" s="438"/>
      <c r="P656" s="437"/>
      <c r="Q656" s="438"/>
      <c r="R656" s="437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438"/>
      <c r="J657" s="437"/>
      <c r="K657" s="438"/>
      <c r="L657" s="437"/>
      <c r="M657" s="438"/>
      <c r="N657" s="437"/>
      <c r="O657" s="438"/>
      <c r="P657" s="437"/>
      <c r="Q657" s="438"/>
      <c r="R657" s="437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438"/>
      <c r="J658" s="437"/>
      <c r="K658" s="438"/>
      <c r="L658" s="437"/>
      <c r="M658" s="438"/>
      <c r="N658" s="437"/>
      <c r="O658" s="438"/>
      <c r="P658" s="437"/>
      <c r="Q658" s="438"/>
      <c r="R658" s="437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438"/>
      <c r="J659" s="437"/>
      <c r="K659" s="438"/>
      <c r="L659" s="437"/>
      <c r="M659" s="438"/>
      <c r="N659" s="437"/>
      <c r="O659" s="438"/>
      <c r="P659" s="437"/>
      <c r="Q659" s="438"/>
      <c r="R659" s="437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438"/>
      <c r="J660" s="437"/>
      <c r="K660" s="438"/>
      <c r="L660" s="437"/>
      <c r="M660" s="438"/>
      <c r="N660" s="437"/>
      <c r="O660" s="438"/>
      <c r="P660" s="437"/>
      <c r="Q660" s="438"/>
      <c r="R660" s="437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438"/>
      <c r="J661" s="437"/>
      <c r="K661" s="438"/>
      <c r="L661" s="437"/>
      <c r="M661" s="438"/>
      <c r="N661" s="437"/>
      <c r="O661" s="438"/>
      <c r="P661" s="437"/>
      <c r="Q661" s="438"/>
      <c r="R661" s="437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438"/>
      <c r="J662" s="437"/>
      <c r="K662" s="438"/>
      <c r="L662" s="437"/>
      <c r="M662" s="438"/>
      <c r="N662" s="437"/>
      <c r="O662" s="438"/>
      <c r="P662" s="437"/>
      <c r="Q662" s="438"/>
      <c r="R662" s="437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438"/>
      <c r="J663" s="437"/>
      <c r="K663" s="438"/>
      <c r="L663" s="437"/>
      <c r="M663" s="438"/>
      <c r="N663" s="437"/>
      <c r="O663" s="438"/>
      <c r="P663" s="437"/>
      <c r="Q663" s="438"/>
      <c r="R663" s="437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438"/>
      <c r="J664" s="437"/>
      <c r="K664" s="438"/>
      <c r="L664" s="437"/>
      <c r="M664" s="438"/>
      <c r="N664" s="437"/>
      <c r="O664" s="438"/>
      <c r="P664" s="437"/>
      <c r="Q664" s="438"/>
      <c r="R664" s="437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438"/>
      <c r="J665" s="437"/>
      <c r="K665" s="438"/>
      <c r="L665" s="437"/>
      <c r="M665" s="438"/>
      <c r="N665" s="437"/>
      <c r="O665" s="438"/>
      <c r="P665" s="437"/>
      <c r="Q665" s="438"/>
      <c r="R665" s="437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438"/>
      <c r="J666" s="437"/>
      <c r="K666" s="438"/>
      <c r="L666" s="437"/>
      <c r="M666" s="438"/>
      <c r="N666" s="437"/>
      <c r="O666" s="438"/>
      <c r="P666" s="437"/>
      <c r="Q666" s="438"/>
      <c r="R666" s="437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438"/>
      <c r="J667" s="437"/>
      <c r="K667" s="438"/>
      <c r="L667" s="437"/>
      <c r="M667" s="438"/>
      <c r="N667" s="437"/>
      <c r="O667" s="438"/>
      <c r="P667" s="437"/>
      <c r="Q667" s="438"/>
      <c r="R667" s="437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438"/>
      <c r="J668" s="437"/>
      <c r="K668" s="438"/>
      <c r="L668" s="437"/>
      <c r="M668" s="438"/>
      <c r="N668" s="437"/>
      <c r="O668" s="438"/>
      <c r="P668" s="437"/>
      <c r="Q668" s="438"/>
      <c r="R668" s="437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438"/>
      <c r="J669" s="437"/>
      <c r="K669" s="438"/>
      <c r="L669" s="437"/>
      <c r="M669" s="438"/>
      <c r="N669" s="437"/>
      <c r="O669" s="438"/>
      <c r="P669" s="437"/>
      <c r="Q669" s="438"/>
      <c r="R669" s="437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438"/>
      <c r="J670" s="437"/>
      <c r="K670" s="438"/>
      <c r="L670" s="437"/>
      <c r="M670" s="438"/>
      <c r="N670" s="437"/>
      <c r="O670" s="438"/>
      <c r="P670" s="437"/>
      <c r="Q670" s="438"/>
      <c r="R670" s="437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438"/>
      <c r="J671" s="437"/>
      <c r="K671" s="438"/>
      <c r="L671" s="437"/>
      <c r="M671" s="438"/>
      <c r="N671" s="437"/>
      <c r="O671" s="438"/>
      <c r="P671" s="437"/>
      <c r="Q671" s="438"/>
      <c r="R671" s="437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438"/>
      <c r="J672" s="437"/>
      <c r="K672" s="438"/>
      <c r="L672" s="437"/>
      <c r="M672" s="438"/>
      <c r="N672" s="437"/>
      <c r="O672" s="438"/>
      <c r="P672" s="437"/>
      <c r="Q672" s="438"/>
      <c r="R672" s="437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438"/>
      <c r="J673" s="437"/>
      <c r="K673" s="438"/>
      <c r="L673" s="437"/>
      <c r="M673" s="438"/>
      <c r="N673" s="437"/>
      <c r="O673" s="438"/>
      <c r="P673" s="437"/>
      <c r="Q673" s="438"/>
      <c r="R673" s="437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438"/>
      <c r="J674" s="437"/>
      <c r="K674" s="438"/>
      <c r="L674" s="437"/>
      <c r="M674" s="438"/>
      <c r="N674" s="437"/>
      <c r="O674" s="438"/>
      <c r="P674" s="437"/>
      <c r="Q674" s="438"/>
      <c r="R674" s="437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438"/>
      <c r="J675" s="437"/>
      <c r="K675" s="438"/>
      <c r="L675" s="437"/>
      <c r="M675" s="438"/>
      <c r="N675" s="437"/>
      <c r="O675" s="438"/>
      <c r="P675" s="437"/>
      <c r="Q675" s="438"/>
      <c r="R675" s="437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438"/>
      <c r="J676" s="437"/>
      <c r="K676" s="438"/>
      <c r="L676" s="437"/>
      <c r="M676" s="438"/>
      <c r="N676" s="437"/>
      <c r="O676" s="438"/>
      <c r="P676" s="437"/>
      <c r="Q676" s="438"/>
      <c r="R676" s="437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438"/>
      <c r="J677" s="437"/>
      <c r="K677" s="438"/>
      <c r="L677" s="437"/>
      <c r="M677" s="438"/>
      <c r="N677" s="437"/>
      <c r="O677" s="438"/>
      <c r="P677" s="437"/>
      <c r="Q677" s="438"/>
      <c r="R677" s="437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438"/>
      <c r="J678" s="437"/>
      <c r="K678" s="438"/>
      <c r="L678" s="437"/>
      <c r="M678" s="438"/>
      <c r="N678" s="437"/>
      <c r="O678" s="438"/>
      <c r="P678" s="437"/>
      <c r="Q678" s="438"/>
      <c r="R678" s="437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438"/>
      <c r="J679" s="437"/>
      <c r="K679" s="438"/>
      <c r="L679" s="437"/>
      <c r="M679" s="438"/>
      <c r="N679" s="437"/>
      <c r="O679" s="438"/>
      <c r="P679" s="437"/>
      <c r="Q679" s="438"/>
      <c r="R679" s="437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438"/>
      <c r="J680" s="437"/>
      <c r="K680" s="438"/>
      <c r="L680" s="437"/>
      <c r="M680" s="438"/>
      <c r="N680" s="437"/>
      <c r="O680" s="438"/>
      <c r="P680" s="437"/>
      <c r="Q680" s="438"/>
      <c r="R680" s="437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438"/>
      <c r="J681" s="437"/>
      <c r="K681" s="438"/>
      <c r="L681" s="437"/>
      <c r="M681" s="438"/>
      <c r="N681" s="437"/>
      <c r="O681" s="438"/>
      <c r="P681" s="437"/>
      <c r="Q681" s="438"/>
      <c r="R681" s="437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438"/>
      <c r="J682" s="437"/>
      <c r="K682" s="438"/>
      <c r="L682" s="437"/>
      <c r="M682" s="438"/>
      <c r="N682" s="437"/>
      <c r="O682" s="438"/>
      <c r="P682" s="437"/>
      <c r="Q682" s="438"/>
      <c r="R682" s="437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438"/>
      <c r="J683" s="437"/>
      <c r="K683" s="438"/>
      <c r="L683" s="437"/>
      <c r="M683" s="438"/>
      <c r="N683" s="437"/>
      <c r="O683" s="438"/>
      <c r="P683" s="437"/>
      <c r="Q683" s="438"/>
      <c r="R683" s="437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438"/>
      <c r="J684" s="437"/>
      <c r="K684" s="438"/>
      <c r="L684" s="437"/>
      <c r="M684" s="438"/>
      <c r="N684" s="437"/>
      <c r="O684" s="438"/>
      <c r="P684" s="437"/>
      <c r="Q684" s="438"/>
      <c r="R684" s="437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438"/>
      <c r="J685" s="437"/>
      <c r="K685" s="438"/>
      <c r="L685" s="437"/>
      <c r="M685" s="438"/>
      <c r="N685" s="437"/>
      <c r="O685" s="438"/>
      <c r="P685" s="437"/>
      <c r="Q685" s="438"/>
      <c r="R685" s="437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438"/>
      <c r="J686" s="437"/>
      <c r="K686" s="438"/>
      <c r="L686" s="437"/>
      <c r="M686" s="438"/>
      <c r="N686" s="437"/>
      <c r="O686" s="438"/>
      <c r="P686" s="437"/>
      <c r="Q686" s="438"/>
      <c r="R686" s="437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438"/>
      <c r="J687" s="437"/>
      <c r="K687" s="438"/>
      <c r="L687" s="437"/>
      <c r="M687" s="438"/>
      <c r="N687" s="437"/>
      <c r="O687" s="438"/>
      <c r="P687" s="437"/>
      <c r="Q687" s="438"/>
      <c r="R687" s="437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438"/>
      <c r="J688" s="437"/>
      <c r="K688" s="438"/>
      <c r="L688" s="437"/>
      <c r="M688" s="438"/>
      <c r="N688" s="437"/>
      <c r="O688" s="438"/>
      <c r="P688" s="437"/>
      <c r="Q688" s="438"/>
      <c r="R688" s="437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438"/>
      <c r="J689" s="437"/>
      <c r="K689" s="438"/>
      <c r="L689" s="437"/>
      <c r="M689" s="438"/>
      <c r="N689" s="437"/>
      <c r="O689" s="438"/>
      <c r="P689" s="437"/>
      <c r="Q689" s="438"/>
      <c r="R689" s="437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438"/>
      <c r="J690" s="437"/>
      <c r="K690" s="438"/>
      <c r="L690" s="437"/>
      <c r="M690" s="438"/>
      <c r="N690" s="437"/>
      <c r="O690" s="438"/>
      <c r="P690" s="437"/>
      <c r="Q690" s="438"/>
      <c r="R690" s="437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438"/>
      <c r="J691" s="437"/>
      <c r="K691" s="438"/>
      <c r="L691" s="437"/>
      <c r="M691" s="438"/>
      <c r="N691" s="437"/>
      <c r="O691" s="438"/>
      <c r="P691" s="437"/>
      <c r="Q691" s="438"/>
      <c r="R691" s="437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438"/>
      <c r="J692" s="437"/>
      <c r="K692" s="438"/>
      <c r="L692" s="437"/>
      <c r="M692" s="438"/>
      <c r="N692" s="437"/>
      <c r="O692" s="438"/>
      <c r="P692" s="437"/>
      <c r="Q692" s="438"/>
      <c r="R692" s="437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438"/>
      <c r="J693" s="437"/>
      <c r="K693" s="438"/>
      <c r="L693" s="437"/>
      <c r="M693" s="438"/>
      <c r="N693" s="437"/>
      <c r="O693" s="438"/>
      <c r="P693" s="437"/>
      <c r="Q693" s="438"/>
      <c r="R693" s="437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438"/>
      <c r="J694" s="437"/>
      <c r="K694" s="438"/>
      <c r="L694" s="437"/>
      <c r="M694" s="438"/>
      <c r="N694" s="437"/>
      <c r="O694" s="438"/>
      <c r="P694" s="437"/>
      <c r="Q694" s="438"/>
      <c r="R694" s="437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438"/>
      <c r="J695" s="437"/>
      <c r="K695" s="438"/>
      <c r="L695" s="437"/>
      <c r="M695" s="438"/>
      <c r="N695" s="437"/>
      <c r="O695" s="438"/>
      <c r="P695" s="437"/>
      <c r="Q695" s="438"/>
      <c r="R695" s="437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438"/>
      <c r="J696" s="437"/>
      <c r="K696" s="438"/>
      <c r="L696" s="437"/>
      <c r="M696" s="438"/>
      <c r="N696" s="437"/>
      <c r="O696" s="438"/>
      <c r="P696" s="437"/>
      <c r="Q696" s="438"/>
      <c r="R696" s="437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438"/>
      <c r="J697" s="437"/>
      <c r="K697" s="438"/>
      <c r="L697" s="437"/>
      <c r="M697" s="438"/>
      <c r="N697" s="437"/>
      <c r="O697" s="438"/>
      <c r="P697" s="437"/>
      <c r="Q697" s="438"/>
      <c r="R697" s="437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438"/>
      <c r="J698" s="437"/>
      <c r="K698" s="438"/>
      <c r="L698" s="437"/>
      <c r="M698" s="438"/>
      <c r="N698" s="437"/>
      <c r="O698" s="438"/>
      <c r="P698" s="437"/>
      <c r="Q698" s="438"/>
      <c r="R698" s="437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438"/>
      <c r="J699" s="437"/>
      <c r="K699" s="438"/>
      <c r="L699" s="437"/>
      <c r="M699" s="438"/>
      <c r="N699" s="437"/>
      <c r="O699" s="438"/>
      <c r="P699" s="437"/>
      <c r="Q699" s="438"/>
      <c r="R699" s="437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438"/>
      <c r="J700" s="437"/>
      <c r="K700" s="438"/>
      <c r="L700" s="437"/>
      <c r="M700" s="438"/>
      <c r="N700" s="437"/>
      <c r="O700" s="438"/>
      <c r="P700" s="437"/>
      <c r="Q700" s="438"/>
      <c r="R700" s="437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438"/>
      <c r="J701" s="437"/>
      <c r="K701" s="438"/>
      <c r="L701" s="437"/>
      <c r="M701" s="438"/>
      <c r="N701" s="437"/>
      <c r="O701" s="438"/>
      <c r="P701" s="437"/>
      <c r="Q701" s="438"/>
      <c r="R701" s="437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438"/>
      <c r="J702" s="437"/>
      <c r="K702" s="438"/>
      <c r="L702" s="437"/>
      <c r="M702" s="438"/>
      <c r="N702" s="437"/>
      <c r="O702" s="438"/>
      <c r="P702" s="437"/>
      <c r="Q702" s="438"/>
      <c r="R702" s="437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438"/>
      <c r="J703" s="437"/>
      <c r="K703" s="438"/>
      <c r="L703" s="437"/>
      <c r="M703" s="438"/>
      <c r="N703" s="437"/>
      <c r="O703" s="438"/>
      <c r="P703" s="437"/>
      <c r="Q703" s="438"/>
      <c r="R703" s="437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438"/>
      <c r="J704" s="437"/>
      <c r="K704" s="438"/>
      <c r="L704" s="437"/>
      <c r="M704" s="438"/>
      <c r="N704" s="437"/>
      <c r="O704" s="438"/>
      <c r="P704" s="437"/>
      <c r="Q704" s="438"/>
      <c r="R704" s="437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438"/>
      <c r="J705" s="437"/>
      <c r="K705" s="438"/>
      <c r="L705" s="437"/>
      <c r="M705" s="438"/>
      <c r="N705" s="437"/>
      <c r="O705" s="438"/>
      <c r="P705" s="437"/>
      <c r="Q705" s="438"/>
      <c r="R705" s="437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438"/>
      <c r="J706" s="437"/>
      <c r="K706" s="438"/>
      <c r="L706" s="437"/>
      <c r="M706" s="438"/>
      <c r="N706" s="437"/>
      <c r="O706" s="438"/>
      <c r="P706" s="437"/>
      <c r="Q706" s="438"/>
      <c r="R706" s="437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438"/>
      <c r="J707" s="437"/>
      <c r="K707" s="438"/>
      <c r="L707" s="437"/>
      <c r="M707" s="438"/>
      <c r="N707" s="437"/>
      <c r="O707" s="438"/>
      <c r="P707" s="437"/>
      <c r="Q707" s="438"/>
      <c r="R707" s="437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438"/>
      <c r="J708" s="437"/>
      <c r="K708" s="438"/>
      <c r="L708" s="437"/>
      <c r="M708" s="438"/>
      <c r="N708" s="437"/>
      <c r="O708" s="438"/>
      <c r="P708" s="437"/>
      <c r="Q708" s="438"/>
      <c r="R708" s="437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438"/>
      <c r="J709" s="437"/>
      <c r="K709" s="438"/>
      <c r="L709" s="437"/>
      <c r="M709" s="438"/>
      <c r="N709" s="437"/>
      <c r="O709" s="438"/>
      <c r="P709" s="437"/>
      <c r="Q709" s="438"/>
      <c r="R709" s="437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438"/>
      <c r="J710" s="437"/>
      <c r="K710" s="438"/>
      <c r="L710" s="437"/>
      <c r="M710" s="438"/>
      <c r="N710" s="437"/>
      <c r="O710" s="438"/>
      <c r="P710" s="437"/>
      <c r="Q710" s="438"/>
      <c r="R710" s="437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438"/>
      <c r="J711" s="437"/>
      <c r="K711" s="438"/>
      <c r="L711" s="437"/>
      <c r="M711" s="438"/>
      <c r="N711" s="437"/>
      <c r="O711" s="438"/>
      <c r="P711" s="437"/>
      <c r="Q711" s="438"/>
      <c r="R711" s="437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438"/>
      <c r="J712" s="437"/>
      <c r="K712" s="438"/>
      <c r="L712" s="437"/>
      <c r="M712" s="438"/>
      <c r="N712" s="437"/>
      <c r="O712" s="438"/>
      <c r="P712" s="437"/>
      <c r="Q712" s="438"/>
      <c r="R712" s="437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438"/>
      <c r="J713" s="437"/>
      <c r="K713" s="438"/>
      <c r="L713" s="437"/>
      <c r="M713" s="438"/>
      <c r="N713" s="437"/>
      <c r="O713" s="438"/>
      <c r="P713" s="437"/>
      <c r="Q713" s="438"/>
      <c r="R713" s="437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438"/>
      <c r="J714" s="437"/>
      <c r="K714" s="438"/>
      <c r="L714" s="437"/>
      <c r="M714" s="438"/>
      <c r="N714" s="437"/>
      <c r="O714" s="438"/>
      <c r="P714" s="437"/>
      <c r="Q714" s="438"/>
      <c r="R714" s="437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438"/>
      <c r="J715" s="437"/>
      <c r="K715" s="438"/>
      <c r="L715" s="437"/>
      <c r="M715" s="438"/>
      <c r="N715" s="437"/>
      <c r="O715" s="438"/>
      <c r="P715" s="437"/>
      <c r="Q715" s="438"/>
      <c r="R715" s="437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438"/>
      <c r="J716" s="437"/>
      <c r="K716" s="438"/>
      <c r="L716" s="437"/>
      <c r="M716" s="438"/>
      <c r="N716" s="437"/>
      <c r="O716" s="438"/>
      <c r="P716" s="437"/>
      <c r="Q716" s="438"/>
      <c r="R716" s="437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438"/>
      <c r="J717" s="437"/>
      <c r="K717" s="438"/>
      <c r="L717" s="437"/>
      <c r="M717" s="438"/>
      <c r="N717" s="437"/>
      <c r="O717" s="438"/>
      <c r="P717" s="437"/>
      <c r="Q717" s="438"/>
      <c r="R717" s="437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438"/>
      <c r="J718" s="437"/>
      <c r="K718" s="438"/>
      <c r="L718" s="437"/>
      <c r="M718" s="438"/>
      <c r="N718" s="437"/>
      <c r="O718" s="438"/>
      <c r="P718" s="437"/>
      <c r="Q718" s="438"/>
      <c r="R718" s="437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438"/>
      <c r="J719" s="437"/>
      <c r="K719" s="438"/>
      <c r="L719" s="437"/>
      <c r="M719" s="438"/>
      <c r="N719" s="437"/>
      <c r="O719" s="438"/>
      <c r="P719" s="437"/>
      <c r="Q719" s="438"/>
      <c r="R719" s="437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438"/>
      <c r="J720" s="437"/>
      <c r="K720" s="438"/>
      <c r="L720" s="437"/>
      <c r="M720" s="438"/>
      <c r="N720" s="437"/>
      <c r="O720" s="438"/>
      <c r="P720" s="437"/>
      <c r="Q720" s="438"/>
      <c r="R720" s="437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438"/>
      <c r="J721" s="437"/>
      <c r="K721" s="438"/>
      <c r="L721" s="437"/>
      <c r="M721" s="438"/>
      <c r="N721" s="437"/>
      <c r="O721" s="438"/>
      <c r="P721" s="437"/>
      <c r="Q721" s="438"/>
      <c r="R721" s="437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438"/>
      <c r="J722" s="437"/>
      <c r="K722" s="438"/>
      <c r="L722" s="437"/>
      <c r="M722" s="438"/>
      <c r="N722" s="437"/>
      <c r="O722" s="438"/>
      <c r="P722" s="437"/>
      <c r="Q722" s="438"/>
      <c r="R722" s="437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438"/>
      <c r="J723" s="437"/>
      <c r="K723" s="438"/>
      <c r="L723" s="437"/>
      <c r="M723" s="438"/>
      <c r="N723" s="437"/>
      <c r="O723" s="438"/>
      <c r="P723" s="437"/>
      <c r="Q723" s="438"/>
      <c r="R723" s="437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438"/>
      <c r="J724" s="437"/>
      <c r="K724" s="438"/>
      <c r="L724" s="437"/>
      <c r="M724" s="438"/>
      <c r="N724" s="437"/>
      <c r="O724" s="438"/>
      <c r="P724" s="437"/>
      <c r="Q724" s="438"/>
      <c r="R724" s="437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438"/>
      <c r="J725" s="437"/>
      <c r="K725" s="438"/>
      <c r="L725" s="437"/>
      <c r="M725" s="438"/>
      <c r="N725" s="437"/>
      <c r="O725" s="438"/>
      <c r="P725" s="437"/>
      <c r="Q725" s="438"/>
      <c r="R725" s="437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438"/>
      <c r="J726" s="437"/>
      <c r="K726" s="438"/>
      <c r="L726" s="437"/>
      <c r="M726" s="438"/>
      <c r="N726" s="437"/>
      <c r="O726" s="438"/>
      <c r="P726" s="437"/>
      <c r="Q726" s="438"/>
      <c r="R726" s="437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438"/>
      <c r="J727" s="437"/>
      <c r="K727" s="438"/>
      <c r="L727" s="437"/>
      <c r="M727" s="438"/>
      <c r="N727" s="437"/>
      <c r="O727" s="438"/>
      <c r="P727" s="437"/>
      <c r="Q727" s="438"/>
      <c r="R727" s="437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438"/>
      <c r="J728" s="437"/>
      <c r="K728" s="438"/>
      <c r="L728" s="437"/>
      <c r="M728" s="438"/>
      <c r="N728" s="437"/>
      <c r="O728" s="438"/>
      <c r="P728" s="437"/>
      <c r="Q728" s="438"/>
      <c r="R728" s="437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438"/>
      <c r="J729" s="437"/>
      <c r="K729" s="438"/>
      <c r="L729" s="437"/>
      <c r="M729" s="438"/>
      <c r="N729" s="437"/>
      <c r="O729" s="438"/>
      <c r="P729" s="437"/>
      <c r="Q729" s="438"/>
      <c r="R729" s="437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438"/>
      <c r="J730" s="437"/>
      <c r="K730" s="438"/>
      <c r="L730" s="437"/>
      <c r="M730" s="438"/>
      <c r="N730" s="437"/>
      <c r="O730" s="438"/>
      <c r="P730" s="437"/>
      <c r="Q730" s="438"/>
      <c r="R730" s="437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438"/>
      <c r="J731" s="437"/>
      <c r="K731" s="438"/>
      <c r="L731" s="437"/>
      <c r="M731" s="438"/>
      <c r="N731" s="437"/>
      <c r="O731" s="438"/>
      <c r="P731" s="437"/>
      <c r="Q731" s="438"/>
      <c r="R731" s="437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438"/>
      <c r="J732" s="437"/>
      <c r="K732" s="438"/>
      <c r="L732" s="437"/>
      <c r="M732" s="438"/>
      <c r="N732" s="437"/>
      <c r="O732" s="438"/>
      <c r="P732" s="437"/>
      <c r="Q732" s="438"/>
      <c r="R732" s="437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438"/>
      <c r="J733" s="437"/>
      <c r="K733" s="438"/>
      <c r="L733" s="437"/>
      <c r="M733" s="438"/>
      <c r="N733" s="437"/>
      <c r="O733" s="438"/>
      <c r="P733" s="437"/>
      <c r="Q733" s="438"/>
      <c r="R733" s="437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438"/>
      <c r="J734" s="437"/>
      <c r="K734" s="438"/>
      <c r="L734" s="437"/>
      <c r="M734" s="438"/>
      <c r="N734" s="437"/>
      <c r="O734" s="438"/>
      <c r="P734" s="437"/>
      <c r="Q734" s="438"/>
      <c r="R734" s="437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438"/>
      <c r="J735" s="437"/>
      <c r="K735" s="438"/>
      <c r="L735" s="437"/>
      <c r="M735" s="438"/>
      <c r="N735" s="437"/>
      <c r="O735" s="438"/>
      <c r="P735" s="437"/>
      <c r="Q735" s="438"/>
      <c r="R735" s="437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438"/>
      <c r="J736" s="437"/>
      <c r="K736" s="438"/>
      <c r="L736" s="437"/>
      <c r="M736" s="438"/>
      <c r="N736" s="437"/>
      <c r="O736" s="438"/>
      <c r="P736" s="437"/>
      <c r="Q736" s="438"/>
      <c r="R736" s="437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438"/>
      <c r="J737" s="437"/>
      <c r="K737" s="438"/>
      <c r="L737" s="437"/>
      <c r="M737" s="438"/>
      <c r="N737" s="437"/>
      <c r="O737" s="438"/>
      <c r="P737" s="437"/>
      <c r="Q737" s="438"/>
      <c r="R737" s="437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438"/>
      <c r="J738" s="437"/>
      <c r="K738" s="438"/>
      <c r="L738" s="437"/>
      <c r="M738" s="438"/>
      <c r="N738" s="437"/>
      <c r="O738" s="438"/>
      <c r="P738" s="437"/>
      <c r="Q738" s="438"/>
      <c r="R738" s="437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438"/>
      <c r="J739" s="437"/>
      <c r="K739" s="438"/>
      <c r="L739" s="437"/>
      <c r="M739" s="438"/>
      <c r="N739" s="437"/>
      <c r="O739" s="438"/>
      <c r="P739" s="437"/>
      <c r="Q739" s="438"/>
      <c r="R739" s="437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438"/>
      <c r="J740" s="437"/>
      <c r="K740" s="438"/>
      <c r="L740" s="437"/>
      <c r="M740" s="438"/>
      <c r="N740" s="437"/>
      <c r="O740" s="438"/>
      <c r="P740" s="437"/>
      <c r="Q740" s="438"/>
      <c r="R740" s="437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438"/>
      <c r="J741" s="437"/>
      <c r="K741" s="438"/>
      <c r="L741" s="437"/>
      <c r="M741" s="438"/>
      <c r="N741" s="437"/>
      <c r="O741" s="438"/>
      <c r="P741" s="437"/>
      <c r="Q741" s="438"/>
      <c r="R741" s="437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438"/>
      <c r="J742" s="437"/>
      <c r="K742" s="438"/>
      <c r="L742" s="437"/>
      <c r="M742" s="438"/>
      <c r="N742" s="437"/>
      <c r="O742" s="438"/>
      <c r="P742" s="437"/>
      <c r="Q742" s="438"/>
      <c r="R742" s="437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438"/>
      <c r="J743" s="437"/>
      <c r="K743" s="438"/>
      <c r="L743" s="437"/>
      <c r="M743" s="438"/>
      <c r="N743" s="437"/>
      <c r="O743" s="438"/>
      <c r="P743" s="437"/>
      <c r="Q743" s="438"/>
      <c r="R743" s="437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438"/>
      <c r="J744" s="437"/>
      <c r="K744" s="438"/>
      <c r="L744" s="437"/>
      <c r="M744" s="438"/>
      <c r="N744" s="437"/>
      <c r="O744" s="438"/>
      <c r="P744" s="437"/>
      <c r="Q744" s="438"/>
      <c r="R744" s="437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438"/>
      <c r="J745" s="437"/>
      <c r="K745" s="438"/>
      <c r="L745" s="437"/>
      <c r="M745" s="438"/>
      <c r="N745" s="437"/>
      <c r="O745" s="438"/>
      <c r="P745" s="437"/>
      <c r="Q745" s="438"/>
      <c r="R745" s="437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438"/>
      <c r="J746" s="437"/>
      <c r="K746" s="438"/>
      <c r="L746" s="437"/>
      <c r="M746" s="438"/>
      <c r="N746" s="437"/>
      <c r="O746" s="438"/>
      <c r="P746" s="437"/>
      <c r="Q746" s="438"/>
      <c r="R746" s="437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438"/>
      <c r="J747" s="437"/>
      <c r="K747" s="438"/>
      <c r="L747" s="437"/>
      <c r="M747" s="438"/>
      <c r="N747" s="437"/>
      <c r="O747" s="438"/>
      <c r="P747" s="437"/>
      <c r="Q747" s="438"/>
      <c r="R747" s="437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438"/>
      <c r="J748" s="437"/>
      <c r="K748" s="438"/>
      <c r="L748" s="437"/>
      <c r="M748" s="438"/>
      <c r="N748" s="437"/>
      <c r="O748" s="438"/>
      <c r="P748" s="437"/>
      <c r="Q748" s="438"/>
      <c r="R748" s="437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438"/>
      <c r="J749" s="437"/>
      <c r="K749" s="438"/>
      <c r="L749" s="437"/>
      <c r="M749" s="438"/>
      <c r="N749" s="437"/>
      <c r="O749" s="438"/>
      <c r="P749" s="437"/>
      <c r="Q749" s="438"/>
      <c r="R749" s="437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438"/>
      <c r="J750" s="437"/>
      <c r="K750" s="438"/>
      <c r="L750" s="437"/>
      <c r="M750" s="438"/>
      <c r="N750" s="437"/>
      <c r="O750" s="438"/>
      <c r="P750" s="437"/>
      <c r="Q750" s="438"/>
      <c r="R750" s="437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438"/>
      <c r="J751" s="437"/>
      <c r="K751" s="438"/>
      <c r="L751" s="437"/>
      <c r="M751" s="438"/>
      <c r="N751" s="437"/>
      <c r="O751" s="438"/>
      <c r="P751" s="437"/>
      <c r="Q751" s="438"/>
      <c r="R751" s="437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438"/>
      <c r="J752" s="437"/>
      <c r="K752" s="438"/>
      <c r="L752" s="437"/>
      <c r="M752" s="438"/>
      <c r="N752" s="437"/>
      <c r="O752" s="438"/>
      <c r="P752" s="437"/>
      <c r="Q752" s="438"/>
      <c r="R752" s="437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438"/>
      <c r="J753" s="437"/>
      <c r="K753" s="438"/>
      <c r="L753" s="437"/>
      <c r="M753" s="438"/>
      <c r="N753" s="437"/>
      <c r="O753" s="438"/>
      <c r="P753" s="437"/>
      <c r="Q753" s="438"/>
      <c r="R753" s="437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438"/>
      <c r="J754" s="437"/>
      <c r="K754" s="438"/>
      <c r="L754" s="437"/>
      <c r="M754" s="438"/>
      <c r="N754" s="437"/>
      <c r="O754" s="438"/>
      <c r="P754" s="437"/>
      <c r="Q754" s="438"/>
      <c r="R754" s="437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438"/>
      <c r="J755" s="437"/>
      <c r="K755" s="438"/>
      <c r="L755" s="437"/>
      <c r="M755" s="438"/>
      <c r="N755" s="437"/>
      <c r="O755" s="438"/>
      <c r="P755" s="437"/>
      <c r="Q755" s="438"/>
      <c r="R755" s="437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438"/>
      <c r="J756" s="437"/>
      <c r="K756" s="438"/>
      <c r="L756" s="437"/>
      <c r="M756" s="438"/>
      <c r="N756" s="437"/>
      <c r="O756" s="438"/>
      <c r="P756" s="437"/>
      <c r="Q756" s="438"/>
      <c r="R756" s="437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438"/>
      <c r="J757" s="437"/>
      <c r="K757" s="438"/>
      <c r="L757" s="437"/>
      <c r="M757" s="438"/>
      <c r="N757" s="437"/>
      <c r="O757" s="438"/>
      <c r="P757" s="437"/>
      <c r="Q757" s="438"/>
      <c r="R757" s="437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438"/>
      <c r="J758" s="437"/>
      <c r="K758" s="438"/>
      <c r="L758" s="437"/>
      <c r="M758" s="438"/>
      <c r="N758" s="437"/>
      <c r="O758" s="438"/>
      <c r="P758" s="437"/>
      <c r="Q758" s="438"/>
      <c r="R758" s="437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438"/>
      <c r="J759" s="437"/>
      <c r="K759" s="438"/>
      <c r="L759" s="437"/>
      <c r="M759" s="438"/>
      <c r="N759" s="437"/>
      <c r="O759" s="438"/>
      <c r="P759" s="437"/>
      <c r="Q759" s="438"/>
      <c r="R759" s="437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438"/>
      <c r="J760" s="437"/>
      <c r="K760" s="438"/>
      <c r="L760" s="437"/>
      <c r="M760" s="438"/>
      <c r="N760" s="437"/>
      <c r="O760" s="438"/>
      <c r="P760" s="437"/>
      <c r="Q760" s="438"/>
      <c r="R760" s="437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438"/>
      <c r="J761" s="437"/>
      <c r="K761" s="438"/>
      <c r="L761" s="437"/>
      <c r="M761" s="438"/>
      <c r="N761" s="437"/>
      <c r="O761" s="438"/>
      <c r="P761" s="437"/>
      <c r="Q761" s="438"/>
      <c r="R761" s="437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438"/>
      <c r="J762" s="437"/>
      <c r="K762" s="438"/>
      <c r="L762" s="437"/>
      <c r="M762" s="438"/>
      <c r="N762" s="437"/>
      <c r="O762" s="438"/>
      <c r="P762" s="437"/>
      <c r="Q762" s="438"/>
      <c r="R762" s="437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438"/>
      <c r="J763" s="437"/>
      <c r="K763" s="438"/>
      <c r="L763" s="437"/>
      <c r="M763" s="438"/>
      <c r="N763" s="437"/>
      <c r="O763" s="438"/>
      <c r="P763" s="437"/>
      <c r="Q763" s="438"/>
      <c r="R763" s="437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438"/>
      <c r="J764" s="437"/>
      <c r="K764" s="438"/>
      <c r="L764" s="437"/>
      <c r="M764" s="438"/>
      <c r="N764" s="437"/>
      <c r="O764" s="438"/>
      <c r="P764" s="437"/>
      <c r="Q764" s="438"/>
      <c r="R764" s="437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438"/>
      <c r="J765" s="437"/>
      <c r="K765" s="438"/>
      <c r="L765" s="437"/>
      <c r="M765" s="438"/>
      <c r="N765" s="437"/>
      <c r="O765" s="438"/>
      <c r="P765" s="437"/>
      <c r="Q765" s="438"/>
      <c r="R765" s="437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438"/>
      <c r="J766" s="437"/>
      <c r="K766" s="438"/>
      <c r="L766" s="437"/>
      <c r="M766" s="438"/>
      <c r="N766" s="437"/>
      <c r="O766" s="438"/>
      <c r="P766" s="437"/>
      <c r="Q766" s="438"/>
      <c r="R766" s="437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438"/>
      <c r="J767" s="437"/>
      <c r="K767" s="438"/>
      <c r="L767" s="437"/>
      <c r="M767" s="438"/>
      <c r="N767" s="437"/>
      <c r="O767" s="438"/>
      <c r="P767" s="437"/>
      <c r="Q767" s="438"/>
      <c r="R767" s="437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438"/>
      <c r="J768" s="437"/>
      <c r="K768" s="438"/>
      <c r="L768" s="437"/>
      <c r="M768" s="438"/>
      <c r="N768" s="437"/>
      <c r="O768" s="438"/>
      <c r="P768" s="437"/>
      <c r="Q768" s="438"/>
      <c r="R768" s="437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438"/>
      <c r="J769" s="437"/>
      <c r="K769" s="438"/>
      <c r="L769" s="437"/>
      <c r="M769" s="438"/>
      <c r="N769" s="437"/>
      <c r="O769" s="438"/>
      <c r="P769" s="437"/>
      <c r="Q769" s="438"/>
      <c r="R769" s="437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438"/>
      <c r="J770" s="437"/>
      <c r="K770" s="438"/>
      <c r="L770" s="437"/>
      <c r="M770" s="438"/>
      <c r="N770" s="437"/>
      <c r="O770" s="438"/>
      <c r="P770" s="437"/>
      <c r="Q770" s="438"/>
      <c r="R770" s="437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438"/>
      <c r="J771" s="437"/>
      <c r="K771" s="438"/>
      <c r="L771" s="437"/>
      <c r="M771" s="438"/>
      <c r="N771" s="437"/>
      <c r="O771" s="438"/>
      <c r="P771" s="437"/>
      <c r="Q771" s="438"/>
      <c r="R771" s="437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438"/>
      <c r="J772" s="437"/>
      <c r="K772" s="438"/>
      <c r="L772" s="437"/>
      <c r="M772" s="438"/>
      <c r="N772" s="437"/>
      <c r="O772" s="438"/>
      <c r="P772" s="437"/>
      <c r="Q772" s="438"/>
      <c r="R772" s="437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438"/>
      <c r="J773" s="437"/>
      <c r="K773" s="438"/>
      <c r="L773" s="437"/>
      <c r="M773" s="438"/>
      <c r="N773" s="437"/>
      <c r="O773" s="438"/>
      <c r="P773" s="437"/>
      <c r="Q773" s="438"/>
      <c r="R773" s="437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438"/>
      <c r="J774" s="437"/>
      <c r="K774" s="438"/>
      <c r="L774" s="437"/>
      <c r="M774" s="438"/>
      <c r="N774" s="437"/>
      <c r="O774" s="438"/>
      <c r="P774" s="437"/>
      <c r="Q774" s="438"/>
      <c r="R774" s="437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438"/>
      <c r="J775" s="437"/>
      <c r="K775" s="438"/>
      <c r="L775" s="437"/>
      <c r="M775" s="438"/>
      <c r="N775" s="437"/>
      <c r="O775" s="438"/>
      <c r="P775" s="437"/>
      <c r="Q775" s="438"/>
      <c r="R775" s="437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438"/>
      <c r="J776" s="437"/>
      <c r="K776" s="438"/>
      <c r="L776" s="437"/>
      <c r="M776" s="438"/>
      <c r="N776" s="437"/>
      <c r="O776" s="438"/>
      <c r="P776" s="437"/>
      <c r="Q776" s="438"/>
      <c r="R776" s="437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438"/>
      <c r="J777" s="437"/>
      <c r="K777" s="438"/>
      <c r="L777" s="437"/>
      <c r="M777" s="438"/>
      <c r="N777" s="437"/>
      <c r="O777" s="438"/>
      <c r="P777" s="437"/>
      <c r="Q777" s="438"/>
      <c r="R777" s="437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438"/>
      <c r="J778" s="437"/>
      <c r="K778" s="438"/>
      <c r="L778" s="437"/>
      <c r="M778" s="438"/>
      <c r="N778" s="437"/>
      <c r="O778" s="438"/>
      <c r="P778" s="437"/>
      <c r="Q778" s="438"/>
      <c r="R778" s="437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438"/>
      <c r="J779" s="437"/>
      <c r="K779" s="438"/>
      <c r="L779" s="437"/>
      <c r="M779" s="438"/>
      <c r="N779" s="437"/>
      <c r="O779" s="438"/>
      <c r="P779" s="437"/>
      <c r="Q779" s="438"/>
      <c r="R779" s="437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438"/>
      <c r="J780" s="437"/>
      <c r="K780" s="438"/>
      <c r="L780" s="437"/>
      <c r="M780" s="438"/>
      <c r="N780" s="437"/>
      <c r="O780" s="438"/>
      <c r="P780" s="437"/>
      <c r="Q780" s="438"/>
      <c r="R780" s="437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438"/>
      <c r="J781" s="437"/>
      <c r="K781" s="438"/>
      <c r="L781" s="437"/>
      <c r="M781" s="438"/>
      <c r="N781" s="437"/>
      <c r="O781" s="438"/>
      <c r="P781" s="437"/>
      <c r="Q781" s="438"/>
      <c r="R781" s="437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438"/>
      <c r="J782" s="437"/>
      <c r="K782" s="438"/>
      <c r="L782" s="437"/>
      <c r="M782" s="438"/>
      <c r="N782" s="437"/>
      <c r="O782" s="438"/>
      <c r="P782" s="437"/>
      <c r="Q782" s="438"/>
      <c r="R782" s="437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438"/>
      <c r="J783" s="437"/>
      <c r="K783" s="438"/>
      <c r="L783" s="437"/>
      <c r="M783" s="438"/>
      <c r="N783" s="437"/>
      <c r="O783" s="438"/>
      <c r="P783" s="437"/>
      <c r="Q783" s="438"/>
      <c r="R783" s="437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438"/>
      <c r="J784" s="437"/>
      <c r="K784" s="438"/>
      <c r="L784" s="437"/>
      <c r="M784" s="438"/>
      <c r="N784" s="437"/>
      <c r="O784" s="438"/>
      <c r="P784" s="437"/>
      <c r="Q784" s="438"/>
      <c r="R784" s="437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438"/>
      <c r="J785" s="437"/>
      <c r="K785" s="438"/>
      <c r="L785" s="437"/>
      <c r="M785" s="438"/>
      <c r="N785" s="437"/>
      <c r="O785" s="438"/>
      <c r="P785" s="437"/>
      <c r="Q785" s="438"/>
      <c r="R785" s="437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438"/>
      <c r="J786" s="437"/>
      <c r="K786" s="438"/>
      <c r="L786" s="437"/>
      <c r="M786" s="438"/>
      <c r="N786" s="437"/>
      <c r="O786" s="438"/>
      <c r="P786" s="437"/>
      <c r="Q786" s="438"/>
      <c r="R786" s="437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438"/>
      <c r="J787" s="437"/>
      <c r="K787" s="438"/>
      <c r="L787" s="437"/>
      <c r="M787" s="438"/>
      <c r="N787" s="437"/>
      <c r="O787" s="438"/>
      <c r="P787" s="437"/>
      <c r="Q787" s="438"/>
      <c r="R787" s="437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438"/>
      <c r="J788" s="437"/>
      <c r="K788" s="438"/>
      <c r="L788" s="437"/>
      <c r="M788" s="438"/>
      <c r="N788" s="437"/>
      <c r="O788" s="438"/>
      <c r="P788" s="437"/>
      <c r="Q788" s="438"/>
      <c r="R788" s="437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438"/>
      <c r="J789" s="437"/>
      <c r="K789" s="438"/>
      <c r="L789" s="437"/>
      <c r="M789" s="438"/>
      <c r="N789" s="437"/>
      <c r="O789" s="438"/>
      <c r="P789" s="437"/>
      <c r="Q789" s="438"/>
      <c r="R789" s="437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438"/>
      <c r="J790" s="437"/>
      <c r="K790" s="438"/>
      <c r="L790" s="437"/>
      <c r="M790" s="438"/>
      <c r="N790" s="437"/>
      <c r="O790" s="438"/>
      <c r="P790" s="437"/>
      <c r="Q790" s="438"/>
      <c r="R790" s="437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438"/>
      <c r="J791" s="437"/>
      <c r="K791" s="438"/>
      <c r="L791" s="437"/>
      <c r="M791" s="438"/>
      <c r="N791" s="437"/>
      <c r="O791" s="438"/>
      <c r="P791" s="437"/>
      <c r="Q791" s="438"/>
      <c r="R791" s="437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438"/>
      <c r="J792" s="437"/>
      <c r="K792" s="438"/>
      <c r="L792" s="437"/>
      <c r="M792" s="438"/>
      <c r="N792" s="437"/>
      <c r="O792" s="438"/>
      <c r="P792" s="437"/>
      <c r="Q792" s="438"/>
      <c r="R792" s="437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438"/>
      <c r="J793" s="437"/>
      <c r="K793" s="438"/>
      <c r="L793" s="437"/>
      <c r="M793" s="438"/>
      <c r="N793" s="437"/>
      <c r="O793" s="438"/>
      <c r="P793" s="437"/>
      <c r="Q793" s="438"/>
      <c r="R793" s="437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438"/>
      <c r="J794" s="437"/>
      <c r="K794" s="438"/>
      <c r="L794" s="437"/>
      <c r="M794" s="438"/>
      <c r="N794" s="437"/>
      <c r="O794" s="438"/>
      <c r="P794" s="437"/>
      <c r="Q794" s="438"/>
      <c r="R794" s="437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438"/>
      <c r="J795" s="437"/>
      <c r="K795" s="438"/>
      <c r="L795" s="437"/>
      <c r="M795" s="438"/>
      <c r="N795" s="437"/>
      <c r="O795" s="438"/>
      <c r="P795" s="437"/>
      <c r="Q795" s="438"/>
      <c r="R795" s="437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438"/>
      <c r="J796" s="437"/>
      <c r="K796" s="438"/>
      <c r="L796" s="437"/>
      <c r="M796" s="438"/>
      <c r="N796" s="437"/>
      <c r="O796" s="438"/>
      <c r="P796" s="437"/>
      <c r="Q796" s="438"/>
      <c r="R796" s="437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438"/>
      <c r="J797" s="437"/>
      <c r="K797" s="438"/>
      <c r="L797" s="437"/>
      <c r="M797" s="438"/>
      <c r="N797" s="437"/>
      <c r="O797" s="438"/>
      <c r="P797" s="437"/>
      <c r="Q797" s="438"/>
      <c r="R797" s="437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438"/>
      <c r="J798" s="437"/>
      <c r="K798" s="438"/>
      <c r="L798" s="437"/>
      <c r="M798" s="438"/>
      <c r="N798" s="437"/>
      <c r="O798" s="438"/>
      <c r="P798" s="437"/>
      <c r="Q798" s="438"/>
      <c r="R798" s="437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438"/>
      <c r="J799" s="437"/>
      <c r="K799" s="438"/>
      <c r="L799" s="437"/>
      <c r="M799" s="438"/>
      <c r="N799" s="437"/>
      <c r="O799" s="438"/>
      <c r="P799" s="437"/>
      <c r="Q799" s="438"/>
      <c r="R799" s="437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438"/>
      <c r="J800" s="437"/>
      <c r="K800" s="438"/>
      <c r="L800" s="437"/>
      <c r="M800" s="438"/>
      <c r="N800" s="437"/>
      <c r="O800" s="438"/>
      <c r="P800" s="437"/>
      <c r="Q800" s="438"/>
      <c r="R800" s="437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438"/>
      <c r="J801" s="437"/>
      <c r="K801" s="438"/>
      <c r="L801" s="437"/>
      <c r="M801" s="438"/>
      <c r="N801" s="437"/>
      <c r="O801" s="438"/>
      <c r="P801" s="437"/>
      <c r="Q801" s="438"/>
      <c r="R801" s="437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438"/>
      <c r="J802" s="437"/>
      <c r="K802" s="438"/>
      <c r="L802" s="437"/>
      <c r="M802" s="438"/>
      <c r="N802" s="437"/>
      <c r="O802" s="438"/>
      <c r="P802" s="437"/>
      <c r="Q802" s="438"/>
      <c r="R802" s="437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438"/>
      <c r="J803" s="437"/>
      <c r="K803" s="438"/>
      <c r="L803" s="437"/>
      <c r="M803" s="438"/>
      <c r="N803" s="437"/>
      <c r="O803" s="438"/>
      <c r="P803" s="437"/>
      <c r="Q803" s="438"/>
      <c r="R803" s="437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438"/>
      <c r="J804" s="437"/>
      <c r="K804" s="438"/>
      <c r="L804" s="437"/>
      <c r="M804" s="438"/>
      <c r="N804" s="437"/>
      <c r="O804" s="438"/>
      <c r="P804" s="437"/>
      <c r="Q804" s="438"/>
      <c r="R804" s="437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438"/>
      <c r="J805" s="437"/>
      <c r="K805" s="438"/>
      <c r="L805" s="437"/>
      <c r="M805" s="438"/>
      <c r="N805" s="437"/>
      <c r="O805" s="438"/>
      <c r="P805" s="437"/>
      <c r="Q805" s="438"/>
      <c r="R805" s="437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438"/>
      <c r="J806" s="437"/>
      <c r="K806" s="438"/>
      <c r="L806" s="437"/>
      <c r="M806" s="438"/>
      <c r="N806" s="437"/>
      <c r="O806" s="438"/>
      <c r="P806" s="437"/>
      <c r="Q806" s="438"/>
      <c r="R806" s="437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438"/>
      <c r="J807" s="437"/>
      <c r="K807" s="438"/>
      <c r="L807" s="437"/>
      <c r="M807" s="438"/>
      <c r="N807" s="437"/>
      <c r="O807" s="438"/>
      <c r="P807" s="437"/>
      <c r="Q807" s="438"/>
      <c r="R807" s="437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438"/>
      <c r="J808" s="437"/>
      <c r="K808" s="438"/>
      <c r="L808" s="437"/>
      <c r="M808" s="438"/>
      <c r="N808" s="437"/>
      <c r="O808" s="438"/>
      <c r="P808" s="437"/>
      <c r="Q808" s="438"/>
      <c r="R808" s="437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438"/>
      <c r="J809" s="437"/>
      <c r="K809" s="438"/>
      <c r="L809" s="437"/>
      <c r="M809" s="438"/>
      <c r="N809" s="437"/>
      <c r="O809" s="438"/>
      <c r="P809" s="437"/>
      <c r="Q809" s="438"/>
      <c r="R809" s="437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438"/>
      <c r="J810" s="437"/>
      <c r="K810" s="438"/>
      <c r="L810" s="437"/>
      <c r="M810" s="438"/>
      <c r="N810" s="437"/>
      <c r="O810" s="438"/>
      <c r="P810" s="437"/>
      <c r="Q810" s="438"/>
      <c r="R810" s="437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438"/>
      <c r="J811" s="437"/>
      <c r="K811" s="438"/>
      <c r="L811" s="437"/>
      <c r="M811" s="438"/>
      <c r="N811" s="437"/>
      <c r="O811" s="438"/>
      <c r="P811" s="437"/>
      <c r="Q811" s="438"/>
      <c r="R811" s="437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438"/>
      <c r="J812" s="437"/>
      <c r="K812" s="438"/>
      <c r="L812" s="437"/>
      <c r="M812" s="438"/>
      <c r="N812" s="437"/>
      <c r="O812" s="438"/>
      <c r="P812" s="437"/>
      <c r="Q812" s="438"/>
      <c r="R812" s="437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438"/>
      <c r="J813" s="437"/>
      <c r="K813" s="438"/>
      <c r="L813" s="437"/>
      <c r="M813" s="438"/>
      <c r="N813" s="437"/>
      <c r="O813" s="438"/>
      <c r="P813" s="437"/>
      <c r="Q813" s="438"/>
      <c r="R813" s="437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438"/>
      <c r="J814" s="437"/>
      <c r="K814" s="438"/>
      <c r="L814" s="437"/>
      <c r="M814" s="438"/>
      <c r="N814" s="437"/>
      <c r="O814" s="438"/>
      <c r="P814" s="437"/>
      <c r="Q814" s="438"/>
      <c r="R814" s="437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438"/>
      <c r="J815" s="437"/>
      <c r="K815" s="438"/>
      <c r="L815" s="437"/>
      <c r="M815" s="438"/>
      <c r="N815" s="437"/>
      <c r="O815" s="438"/>
      <c r="P815" s="437"/>
      <c r="Q815" s="438"/>
      <c r="R815" s="437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438"/>
      <c r="J816" s="437"/>
      <c r="K816" s="438"/>
      <c r="L816" s="437"/>
      <c r="M816" s="438"/>
      <c r="N816" s="437"/>
      <c r="O816" s="438"/>
      <c r="P816" s="437"/>
      <c r="Q816" s="438"/>
      <c r="R816" s="437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438"/>
      <c r="J817" s="437"/>
      <c r="K817" s="438"/>
      <c r="L817" s="437"/>
      <c r="M817" s="438"/>
      <c r="N817" s="437"/>
      <c r="O817" s="438"/>
      <c r="P817" s="437"/>
      <c r="Q817" s="438"/>
      <c r="R817" s="437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438"/>
      <c r="J818" s="437"/>
      <c r="K818" s="438"/>
      <c r="L818" s="437"/>
      <c r="M818" s="438"/>
      <c r="N818" s="437"/>
      <c r="O818" s="438"/>
      <c r="P818" s="437"/>
      <c r="Q818" s="438"/>
      <c r="R818" s="437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438"/>
      <c r="J819" s="437"/>
      <c r="K819" s="438"/>
      <c r="L819" s="437"/>
      <c r="M819" s="438"/>
      <c r="N819" s="437"/>
      <c r="O819" s="438"/>
      <c r="P819" s="437"/>
      <c r="Q819" s="438"/>
      <c r="R819" s="437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438"/>
      <c r="J820" s="437"/>
      <c r="K820" s="438"/>
      <c r="L820" s="437"/>
      <c r="M820" s="438"/>
      <c r="N820" s="437"/>
      <c r="O820" s="438"/>
      <c r="P820" s="437"/>
      <c r="Q820" s="438"/>
      <c r="R820" s="437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438"/>
      <c r="J821" s="437"/>
      <c r="K821" s="438"/>
      <c r="L821" s="437"/>
      <c r="M821" s="438"/>
      <c r="N821" s="437"/>
      <c r="O821" s="438"/>
      <c r="P821" s="437"/>
      <c r="Q821" s="438"/>
      <c r="R821" s="437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438"/>
      <c r="J822" s="437"/>
      <c r="K822" s="438"/>
      <c r="L822" s="437"/>
      <c r="M822" s="438"/>
      <c r="N822" s="437"/>
      <c r="O822" s="438"/>
      <c r="P822" s="437"/>
      <c r="Q822" s="438"/>
      <c r="R822" s="437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438"/>
      <c r="J823" s="437"/>
      <c r="K823" s="438"/>
      <c r="L823" s="437"/>
      <c r="M823" s="438"/>
      <c r="N823" s="437"/>
      <c r="O823" s="438"/>
      <c r="P823" s="437"/>
      <c r="Q823" s="438"/>
      <c r="R823" s="437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438"/>
      <c r="J824" s="437"/>
      <c r="K824" s="438"/>
      <c r="L824" s="437"/>
      <c r="M824" s="438"/>
      <c r="N824" s="437"/>
      <c r="O824" s="438"/>
      <c r="P824" s="437"/>
      <c r="Q824" s="438"/>
      <c r="R824" s="437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438"/>
      <c r="J825" s="437"/>
      <c r="K825" s="438"/>
      <c r="L825" s="437"/>
      <c r="M825" s="438"/>
      <c r="N825" s="437"/>
      <c r="O825" s="438"/>
      <c r="P825" s="437"/>
      <c r="Q825" s="438"/>
      <c r="R825" s="437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438"/>
      <c r="J826" s="437"/>
      <c r="K826" s="438"/>
      <c r="L826" s="437"/>
      <c r="M826" s="438"/>
      <c r="N826" s="437"/>
      <c r="O826" s="438"/>
      <c r="P826" s="437"/>
      <c r="Q826" s="438"/>
      <c r="R826" s="437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438"/>
      <c r="J827" s="437"/>
      <c r="K827" s="438"/>
      <c r="L827" s="437"/>
      <c r="M827" s="438"/>
      <c r="N827" s="437"/>
      <c r="O827" s="438"/>
      <c r="P827" s="437"/>
      <c r="Q827" s="438"/>
      <c r="R827" s="437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438"/>
      <c r="J828" s="437"/>
      <c r="K828" s="438"/>
      <c r="L828" s="437"/>
      <c r="M828" s="438"/>
      <c r="N828" s="437"/>
      <c r="O828" s="438"/>
      <c r="P828" s="437"/>
      <c r="Q828" s="438"/>
      <c r="R828" s="437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438"/>
      <c r="J829" s="437"/>
      <c r="K829" s="438"/>
      <c r="L829" s="437"/>
      <c r="M829" s="438"/>
      <c r="N829" s="437"/>
      <c r="O829" s="438"/>
      <c r="P829" s="437"/>
      <c r="Q829" s="438"/>
      <c r="R829" s="437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438"/>
      <c r="J830" s="437"/>
      <c r="K830" s="438"/>
      <c r="L830" s="437"/>
      <c r="M830" s="438"/>
      <c r="N830" s="437"/>
      <c r="O830" s="438"/>
      <c r="P830" s="437"/>
      <c r="Q830" s="438"/>
      <c r="R830" s="437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438"/>
      <c r="J831" s="437"/>
      <c r="K831" s="438"/>
      <c r="L831" s="437"/>
      <c r="M831" s="438"/>
      <c r="N831" s="437"/>
      <c r="O831" s="438"/>
      <c r="P831" s="437"/>
      <c r="Q831" s="438"/>
      <c r="R831" s="437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438"/>
      <c r="J832" s="437"/>
      <c r="K832" s="438"/>
      <c r="L832" s="437"/>
      <c r="M832" s="438"/>
      <c r="N832" s="437"/>
      <c r="O832" s="438"/>
      <c r="P832" s="437"/>
      <c r="Q832" s="438"/>
      <c r="R832" s="437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438"/>
      <c r="J833" s="437"/>
      <c r="K833" s="438"/>
      <c r="L833" s="437"/>
      <c r="M833" s="438"/>
      <c r="N833" s="437"/>
      <c r="O833" s="438"/>
      <c r="P833" s="437"/>
      <c r="Q833" s="438"/>
      <c r="R833" s="437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438"/>
      <c r="J834" s="437"/>
      <c r="K834" s="438"/>
      <c r="L834" s="437"/>
      <c r="M834" s="438"/>
      <c r="N834" s="437"/>
      <c r="O834" s="438"/>
      <c r="P834" s="437"/>
      <c r="Q834" s="438"/>
      <c r="R834" s="437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438"/>
      <c r="J835" s="437"/>
      <c r="K835" s="438"/>
      <c r="L835" s="437"/>
      <c r="M835" s="438"/>
      <c r="N835" s="437"/>
      <c r="O835" s="438"/>
      <c r="P835" s="437"/>
      <c r="Q835" s="438"/>
      <c r="R835" s="437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438"/>
      <c r="J836" s="437"/>
      <c r="K836" s="438"/>
      <c r="L836" s="437"/>
      <c r="M836" s="438"/>
      <c r="N836" s="437"/>
      <c r="O836" s="438"/>
      <c r="P836" s="437"/>
      <c r="Q836" s="438"/>
      <c r="R836" s="437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438"/>
      <c r="J837" s="437"/>
      <c r="K837" s="438"/>
      <c r="L837" s="437"/>
      <c r="M837" s="438"/>
      <c r="N837" s="437"/>
      <c r="O837" s="438"/>
      <c r="P837" s="437"/>
      <c r="Q837" s="438"/>
      <c r="R837" s="437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438"/>
      <c r="J838" s="437"/>
      <c r="K838" s="438"/>
      <c r="L838" s="437"/>
      <c r="M838" s="438"/>
      <c r="N838" s="437"/>
      <c r="O838" s="438"/>
      <c r="P838" s="437"/>
      <c r="Q838" s="438"/>
      <c r="R838" s="437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438"/>
      <c r="J839" s="437"/>
      <c r="K839" s="438"/>
      <c r="L839" s="437"/>
      <c r="M839" s="438"/>
      <c r="N839" s="437"/>
      <c r="O839" s="438"/>
      <c r="P839" s="437"/>
      <c r="Q839" s="438"/>
      <c r="R839" s="437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438"/>
      <c r="J840" s="437"/>
      <c r="K840" s="438"/>
      <c r="L840" s="437"/>
      <c r="M840" s="438"/>
      <c r="N840" s="437"/>
      <c r="O840" s="438"/>
      <c r="P840" s="437"/>
      <c r="Q840" s="438"/>
      <c r="R840" s="437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438"/>
      <c r="J841" s="437"/>
      <c r="K841" s="438"/>
      <c r="L841" s="437"/>
      <c r="M841" s="438"/>
      <c r="N841" s="437"/>
      <c r="O841" s="438"/>
      <c r="P841" s="437"/>
      <c r="Q841" s="438"/>
      <c r="R841" s="437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438"/>
      <c r="J842" s="437"/>
      <c r="K842" s="438"/>
      <c r="L842" s="437"/>
      <c r="M842" s="438"/>
      <c r="N842" s="437"/>
      <c r="O842" s="438"/>
      <c r="P842" s="437"/>
      <c r="Q842" s="438"/>
      <c r="R842" s="437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438"/>
      <c r="J843" s="437"/>
      <c r="K843" s="438"/>
      <c r="L843" s="437"/>
      <c r="M843" s="438"/>
      <c r="N843" s="437"/>
      <c r="O843" s="438"/>
      <c r="P843" s="437"/>
      <c r="Q843" s="438"/>
      <c r="R843" s="437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438"/>
      <c r="J844" s="437"/>
      <c r="K844" s="438"/>
      <c r="L844" s="437"/>
      <c r="M844" s="438"/>
      <c r="N844" s="437"/>
      <c r="O844" s="438"/>
      <c r="P844" s="437"/>
      <c r="Q844" s="438"/>
      <c r="R844" s="437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438"/>
      <c r="J845" s="437"/>
      <c r="K845" s="438"/>
      <c r="L845" s="437"/>
      <c r="M845" s="438"/>
      <c r="N845" s="437"/>
      <c r="O845" s="438"/>
      <c r="P845" s="437"/>
      <c r="Q845" s="438"/>
      <c r="R845" s="437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438"/>
      <c r="J846" s="437"/>
      <c r="K846" s="438"/>
      <c r="L846" s="437"/>
      <c r="M846" s="438"/>
      <c r="N846" s="437"/>
      <c r="O846" s="438"/>
      <c r="P846" s="437"/>
      <c r="Q846" s="438"/>
      <c r="R846" s="437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438"/>
      <c r="J847" s="437"/>
      <c r="K847" s="438"/>
      <c r="L847" s="437"/>
      <c r="M847" s="438"/>
      <c r="N847" s="437"/>
      <c r="O847" s="438"/>
      <c r="P847" s="437"/>
      <c r="Q847" s="438"/>
      <c r="R847" s="437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438"/>
      <c r="J848" s="437"/>
      <c r="K848" s="438"/>
      <c r="L848" s="437"/>
      <c r="M848" s="438"/>
      <c r="N848" s="437"/>
      <c r="O848" s="438"/>
      <c r="P848" s="437"/>
      <c r="Q848" s="438"/>
      <c r="R848" s="437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438"/>
      <c r="J849" s="437"/>
      <c r="K849" s="438"/>
      <c r="L849" s="437"/>
      <c r="M849" s="438"/>
      <c r="N849" s="437"/>
      <c r="O849" s="438"/>
      <c r="P849" s="437"/>
      <c r="Q849" s="438"/>
      <c r="R849" s="437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438"/>
      <c r="J850" s="437"/>
      <c r="K850" s="438"/>
      <c r="L850" s="437"/>
      <c r="M850" s="438"/>
      <c r="N850" s="437"/>
      <c r="O850" s="438"/>
      <c r="P850" s="437"/>
      <c r="Q850" s="438"/>
      <c r="R850" s="437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438"/>
      <c r="J851" s="437"/>
      <c r="K851" s="438"/>
      <c r="L851" s="437"/>
      <c r="M851" s="438"/>
      <c r="N851" s="437"/>
      <c r="O851" s="438"/>
      <c r="P851" s="437"/>
      <c r="Q851" s="438"/>
      <c r="R851" s="437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438"/>
      <c r="J852" s="437"/>
      <c r="K852" s="438"/>
      <c r="L852" s="437"/>
      <c r="M852" s="438"/>
      <c r="N852" s="437"/>
      <c r="O852" s="438"/>
      <c r="P852" s="437"/>
      <c r="Q852" s="438"/>
      <c r="R852" s="437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438"/>
      <c r="J853" s="437"/>
      <c r="K853" s="438"/>
      <c r="L853" s="437"/>
      <c r="M853" s="438"/>
      <c r="N853" s="437"/>
      <c r="O853" s="438"/>
      <c r="P853" s="437"/>
      <c r="Q853" s="438"/>
      <c r="R853" s="437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438"/>
      <c r="J854" s="437"/>
      <c r="K854" s="438"/>
      <c r="L854" s="437"/>
      <c r="M854" s="438"/>
      <c r="N854" s="437"/>
      <c r="O854" s="438"/>
      <c r="P854" s="437"/>
      <c r="Q854" s="438"/>
      <c r="R854" s="437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438"/>
      <c r="J855" s="437"/>
      <c r="K855" s="438"/>
      <c r="L855" s="437"/>
      <c r="M855" s="438"/>
      <c r="N855" s="437"/>
      <c r="O855" s="438"/>
      <c r="P855" s="437"/>
      <c r="Q855" s="438"/>
      <c r="R855" s="437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438"/>
      <c r="J856" s="437"/>
      <c r="K856" s="438"/>
      <c r="L856" s="437"/>
      <c r="M856" s="438"/>
      <c r="N856" s="437"/>
      <c r="O856" s="438"/>
      <c r="P856" s="437"/>
      <c r="Q856" s="438"/>
      <c r="R856" s="437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438"/>
      <c r="J857" s="437"/>
      <c r="K857" s="438"/>
      <c r="L857" s="437"/>
      <c r="M857" s="438"/>
      <c r="N857" s="437"/>
      <c r="O857" s="438"/>
      <c r="P857" s="437"/>
      <c r="Q857" s="438"/>
      <c r="R857" s="437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438"/>
      <c r="J858" s="437"/>
      <c r="K858" s="438"/>
      <c r="L858" s="437"/>
      <c r="M858" s="438"/>
      <c r="N858" s="437"/>
      <c r="O858" s="438"/>
      <c r="P858" s="437"/>
      <c r="Q858" s="438"/>
      <c r="R858" s="437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438"/>
      <c r="J859" s="437"/>
      <c r="K859" s="438"/>
      <c r="L859" s="437"/>
      <c r="M859" s="438"/>
      <c r="N859" s="437"/>
      <c r="O859" s="438"/>
      <c r="P859" s="437"/>
      <c r="Q859" s="438"/>
      <c r="R859" s="437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438"/>
      <c r="J860" s="437"/>
      <c r="K860" s="438"/>
      <c r="L860" s="437"/>
      <c r="M860" s="438"/>
      <c r="N860" s="437"/>
      <c r="O860" s="438"/>
      <c r="P860" s="437"/>
      <c r="Q860" s="438"/>
      <c r="R860" s="437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438"/>
      <c r="J861" s="437"/>
      <c r="K861" s="438"/>
      <c r="L861" s="437"/>
      <c r="M861" s="438"/>
      <c r="N861" s="437"/>
      <c r="O861" s="438"/>
      <c r="P861" s="437"/>
      <c r="Q861" s="438"/>
      <c r="R861" s="437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438"/>
      <c r="J862" s="437"/>
      <c r="K862" s="438"/>
      <c r="L862" s="437"/>
      <c r="M862" s="438"/>
      <c r="N862" s="437"/>
      <c r="O862" s="438"/>
      <c r="P862" s="437"/>
      <c r="Q862" s="438"/>
      <c r="R862" s="437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438"/>
      <c r="J863" s="437"/>
      <c r="K863" s="438"/>
      <c r="L863" s="437"/>
      <c r="M863" s="438"/>
      <c r="N863" s="437"/>
      <c r="O863" s="438"/>
      <c r="P863" s="437"/>
      <c r="Q863" s="438"/>
      <c r="R863" s="437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438"/>
      <c r="J864" s="437"/>
      <c r="K864" s="438"/>
      <c r="L864" s="437"/>
      <c r="M864" s="438"/>
      <c r="N864" s="437"/>
      <c r="O864" s="438"/>
      <c r="P864" s="437"/>
      <c r="Q864" s="438"/>
      <c r="R864" s="437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438"/>
      <c r="J865" s="437"/>
      <c r="K865" s="438"/>
      <c r="L865" s="437"/>
      <c r="M865" s="438"/>
      <c r="N865" s="437"/>
      <c r="O865" s="438"/>
      <c r="P865" s="437"/>
      <c r="Q865" s="438"/>
      <c r="R865" s="437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438"/>
      <c r="J866" s="437"/>
      <c r="K866" s="438"/>
      <c r="L866" s="437"/>
      <c r="M866" s="438"/>
      <c r="N866" s="437"/>
      <c r="O866" s="438"/>
      <c r="P866" s="437"/>
      <c r="Q866" s="438"/>
      <c r="R866" s="437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438"/>
      <c r="J867" s="437"/>
      <c r="K867" s="438"/>
      <c r="L867" s="437"/>
      <c r="M867" s="438"/>
      <c r="N867" s="437"/>
      <c r="O867" s="438"/>
      <c r="P867" s="437"/>
      <c r="Q867" s="438"/>
      <c r="R867" s="437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438"/>
      <c r="J868" s="437"/>
      <c r="K868" s="438"/>
      <c r="L868" s="437"/>
      <c r="M868" s="438"/>
      <c r="N868" s="437"/>
      <c r="O868" s="438"/>
      <c r="P868" s="437"/>
      <c r="Q868" s="438"/>
      <c r="R868" s="437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438"/>
      <c r="J869" s="437"/>
      <c r="K869" s="438"/>
      <c r="L869" s="437"/>
      <c r="M869" s="438"/>
      <c r="N869" s="437"/>
      <c r="O869" s="438"/>
      <c r="P869" s="437"/>
      <c r="Q869" s="438"/>
      <c r="R869" s="437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438"/>
      <c r="J870" s="437"/>
      <c r="K870" s="438"/>
      <c r="L870" s="437"/>
      <c r="M870" s="438"/>
      <c r="N870" s="437"/>
      <c r="O870" s="438"/>
      <c r="P870" s="437"/>
      <c r="Q870" s="438"/>
      <c r="R870" s="437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438"/>
      <c r="J871" s="437"/>
      <c r="K871" s="438"/>
      <c r="L871" s="437"/>
      <c r="M871" s="438"/>
      <c r="N871" s="437"/>
      <c r="O871" s="438"/>
      <c r="P871" s="437"/>
      <c r="Q871" s="438"/>
      <c r="R871" s="437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438"/>
      <c r="J872" s="437"/>
      <c r="K872" s="438"/>
      <c r="L872" s="437"/>
      <c r="M872" s="438"/>
      <c r="N872" s="437"/>
      <c r="O872" s="438"/>
      <c r="P872" s="437"/>
      <c r="Q872" s="438"/>
      <c r="R872" s="437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438"/>
      <c r="J873" s="437"/>
      <c r="K873" s="438"/>
      <c r="L873" s="437"/>
      <c r="M873" s="438"/>
      <c r="N873" s="437"/>
      <c r="O873" s="438"/>
      <c r="P873" s="437"/>
      <c r="Q873" s="438"/>
      <c r="R873" s="437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438"/>
      <c r="J874" s="437"/>
      <c r="K874" s="438"/>
      <c r="L874" s="437"/>
      <c r="M874" s="438"/>
      <c r="N874" s="437"/>
      <c r="O874" s="438"/>
      <c r="P874" s="437"/>
      <c r="Q874" s="438"/>
      <c r="R874" s="437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438"/>
      <c r="J875" s="437"/>
      <c r="K875" s="438"/>
      <c r="L875" s="437"/>
      <c r="M875" s="438"/>
      <c r="N875" s="437"/>
      <c r="O875" s="438"/>
      <c r="P875" s="437"/>
      <c r="Q875" s="438"/>
      <c r="R875" s="437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438"/>
      <c r="J876" s="437"/>
      <c r="K876" s="438"/>
      <c r="L876" s="437"/>
      <c r="M876" s="438"/>
      <c r="N876" s="437"/>
      <c r="O876" s="438"/>
      <c r="P876" s="437"/>
      <c r="Q876" s="438"/>
      <c r="R876" s="437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438"/>
      <c r="J877" s="437"/>
      <c r="K877" s="438"/>
      <c r="L877" s="437"/>
      <c r="M877" s="438"/>
      <c r="N877" s="437"/>
      <c r="O877" s="438"/>
      <c r="P877" s="437"/>
      <c r="Q877" s="438"/>
      <c r="R877" s="437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438"/>
      <c r="J878" s="437"/>
      <c r="K878" s="438"/>
      <c r="L878" s="437"/>
      <c r="M878" s="438"/>
      <c r="N878" s="437"/>
      <c r="O878" s="438"/>
      <c r="P878" s="437"/>
      <c r="Q878" s="438"/>
      <c r="R878" s="437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438"/>
      <c r="J879" s="437"/>
      <c r="K879" s="438"/>
      <c r="L879" s="437"/>
      <c r="M879" s="438"/>
      <c r="N879" s="437"/>
      <c r="O879" s="438"/>
      <c r="P879" s="437"/>
      <c r="Q879" s="438"/>
      <c r="R879" s="437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438"/>
      <c r="J880" s="437"/>
      <c r="K880" s="438"/>
      <c r="L880" s="437"/>
      <c r="M880" s="438"/>
      <c r="N880" s="437"/>
      <c r="O880" s="438"/>
      <c r="P880" s="437"/>
      <c r="Q880" s="438"/>
      <c r="R880" s="437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438"/>
      <c r="J881" s="437"/>
      <c r="K881" s="438"/>
      <c r="L881" s="437"/>
      <c r="M881" s="438"/>
      <c r="N881" s="437"/>
      <c r="O881" s="438"/>
      <c r="P881" s="437"/>
      <c r="Q881" s="438"/>
      <c r="R881" s="437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438"/>
      <c r="J882" s="437"/>
      <c r="K882" s="438"/>
      <c r="L882" s="437"/>
      <c r="M882" s="438"/>
      <c r="N882" s="437"/>
      <c r="O882" s="438"/>
      <c r="P882" s="437"/>
      <c r="Q882" s="438"/>
      <c r="R882" s="437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438"/>
      <c r="J883" s="437"/>
      <c r="K883" s="438"/>
      <c r="L883" s="437"/>
      <c r="M883" s="438"/>
      <c r="N883" s="437"/>
      <c r="O883" s="438"/>
      <c r="P883" s="437"/>
      <c r="Q883" s="438"/>
      <c r="R883" s="437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438"/>
      <c r="J884" s="437"/>
      <c r="K884" s="438"/>
      <c r="L884" s="437"/>
      <c r="M884" s="438"/>
      <c r="N884" s="437"/>
      <c r="O884" s="438"/>
      <c r="P884" s="437"/>
      <c r="Q884" s="438"/>
      <c r="R884" s="437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438"/>
      <c r="J885" s="437"/>
      <c r="K885" s="438"/>
      <c r="L885" s="437"/>
      <c r="M885" s="438"/>
      <c r="N885" s="437"/>
      <c r="O885" s="438"/>
      <c r="P885" s="437"/>
      <c r="Q885" s="438"/>
      <c r="R885" s="437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438"/>
      <c r="J886" s="437"/>
      <c r="K886" s="438"/>
      <c r="L886" s="437"/>
      <c r="M886" s="438"/>
      <c r="N886" s="437"/>
      <c r="O886" s="438"/>
      <c r="P886" s="437"/>
      <c r="Q886" s="438"/>
      <c r="R886" s="437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438"/>
      <c r="J887" s="437"/>
      <c r="K887" s="438"/>
      <c r="L887" s="437"/>
      <c r="M887" s="438"/>
      <c r="N887" s="437"/>
      <c r="O887" s="438"/>
      <c r="P887" s="437"/>
      <c r="Q887" s="438"/>
      <c r="R887" s="437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438"/>
      <c r="J888" s="437"/>
      <c r="K888" s="438"/>
      <c r="L888" s="437"/>
      <c r="M888" s="438"/>
      <c r="N888" s="437"/>
      <c r="O888" s="438"/>
      <c r="P888" s="437"/>
      <c r="Q888" s="438"/>
      <c r="R888" s="437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438"/>
      <c r="J889" s="437"/>
      <c r="K889" s="438"/>
      <c r="L889" s="437"/>
      <c r="M889" s="438"/>
      <c r="N889" s="437"/>
      <c r="O889" s="438"/>
      <c r="P889" s="437"/>
      <c r="Q889" s="438"/>
      <c r="R889" s="437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438"/>
      <c r="J890" s="437"/>
      <c r="K890" s="438"/>
      <c r="L890" s="437"/>
      <c r="M890" s="438"/>
      <c r="N890" s="437"/>
      <c r="O890" s="438"/>
      <c r="P890" s="437"/>
      <c r="Q890" s="438"/>
      <c r="R890" s="437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438"/>
      <c r="J891" s="437"/>
      <c r="K891" s="438"/>
      <c r="L891" s="437"/>
      <c r="M891" s="438"/>
      <c r="N891" s="437"/>
      <c r="O891" s="438"/>
      <c r="P891" s="437"/>
      <c r="Q891" s="438"/>
      <c r="R891" s="437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438"/>
      <c r="J892" s="437"/>
      <c r="K892" s="438"/>
      <c r="L892" s="437"/>
      <c r="M892" s="438"/>
      <c r="N892" s="437"/>
      <c r="O892" s="438"/>
      <c r="P892" s="437"/>
      <c r="Q892" s="438"/>
      <c r="R892" s="437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438"/>
      <c r="J893" s="437"/>
      <c r="K893" s="438"/>
      <c r="L893" s="437"/>
      <c r="M893" s="438"/>
      <c r="N893" s="437"/>
      <c r="O893" s="438"/>
      <c r="P893" s="437"/>
      <c r="Q893" s="438"/>
      <c r="R893" s="437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438"/>
      <c r="J894" s="437"/>
      <c r="K894" s="438"/>
      <c r="L894" s="437"/>
      <c r="M894" s="438"/>
      <c r="N894" s="437"/>
      <c r="O894" s="438"/>
      <c r="P894" s="437"/>
      <c r="Q894" s="438"/>
      <c r="R894" s="437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438"/>
      <c r="J895" s="437"/>
      <c r="K895" s="438"/>
      <c r="L895" s="437"/>
      <c r="M895" s="438"/>
      <c r="N895" s="437"/>
      <c r="O895" s="438"/>
      <c r="P895" s="437"/>
      <c r="Q895" s="438"/>
      <c r="R895" s="437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438"/>
      <c r="J896" s="437"/>
      <c r="K896" s="438"/>
      <c r="L896" s="437"/>
      <c r="M896" s="438"/>
      <c r="N896" s="437"/>
      <c r="O896" s="438"/>
      <c r="P896" s="437"/>
      <c r="Q896" s="438"/>
      <c r="R896" s="437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438"/>
      <c r="J897" s="437"/>
      <c r="K897" s="438"/>
      <c r="L897" s="437"/>
      <c r="M897" s="438"/>
      <c r="N897" s="437"/>
      <c r="O897" s="438"/>
      <c r="P897" s="437"/>
      <c r="Q897" s="438"/>
      <c r="R897" s="437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438"/>
      <c r="J898" s="437"/>
      <c r="K898" s="438"/>
      <c r="L898" s="437"/>
      <c r="M898" s="438"/>
      <c r="N898" s="437"/>
      <c r="O898" s="438"/>
      <c r="P898" s="437"/>
      <c r="Q898" s="438"/>
      <c r="R898" s="437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438"/>
      <c r="J899" s="437"/>
      <c r="K899" s="438"/>
      <c r="L899" s="437"/>
      <c r="M899" s="438"/>
      <c r="N899" s="437"/>
      <c r="O899" s="438"/>
      <c r="P899" s="437"/>
      <c r="Q899" s="438"/>
      <c r="R899" s="437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438"/>
      <c r="J900" s="437"/>
      <c r="K900" s="438"/>
      <c r="L900" s="437"/>
      <c r="M900" s="438"/>
      <c r="N900" s="437"/>
      <c r="O900" s="438"/>
      <c r="P900" s="437"/>
      <c r="Q900" s="438"/>
      <c r="R900" s="437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438"/>
      <c r="J901" s="437"/>
      <c r="K901" s="438"/>
      <c r="L901" s="437"/>
      <c r="M901" s="438"/>
      <c r="N901" s="437"/>
      <c r="O901" s="438"/>
      <c r="P901" s="437"/>
      <c r="Q901" s="438"/>
      <c r="R901" s="437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438"/>
      <c r="J902" s="437"/>
      <c r="K902" s="438"/>
      <c r="L902" s="437"/>
      <c r="M902" s="438"/>
      <c r="N902" s="437"/>
      <c r="O902" s="438"/>
      <c r="P902" s="437"/>
      <c r="Q902" s="438"/>
      <c r="R902" s="437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438"/>
      <c r="J903" s="437"/>
      <c r="K903" s="438"/>
      <c r="L903" s="437"/>
      <c r="M903" s="438"/>
      <c r="N903" s="437"/>
      <c r="O903" s="438"/>
      <c r="P903" s="437"/>
      <c r="Q903" s="438"/>
      <c r="R903" s="437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438"/>
      <c r="J904" s="437"/>
      <c r="K904" s="438"/>
      <c r="L904" s="437"/>
      <c r="M904" s="438"/>
      <c r="N904" s="437"/>
      <c r="O904" s="438"/>
      <c r="P904" s="437"/>
      <c r="Q904" s="438"/>
      <c r="R904" s="437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438"/>
      <c r="J905" s="437"/>
      <c r="K905" s="438"/>
      <c r="L905" s="437"/>
      <c r="M905" s="438"/>
      <c r="N905" s="437"/>
      <c r="O905" s="438"/>
      <c r="P905" s="437"/>
      <c r="Q905" s="438"/>
      <c r="R905" s="437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438"/>
      <c r="J906" s="437"/>
      <c r="K906" s="438"/>
      <c r="L906" s="437"/>
      <c r="M906" s="438"/>
      <c r="N906" s="437"/>
      <c r="O906" s="438"/>
      <c r="P906" s="437"/>
      <c r="Q906" s="438"/>
      <c r="R906" s="437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438"/>
      <c r="J907" s="437"/>
      <c r="K907" s="438"/>
      <c r="L907" s="437"/>
      <c r="M907" s="438"/>
      <c r="N907" s="437"/>
      <c r="O907" s="438"/>
      <c r="P907" s="437"/>
      <c r="Q907" s="438"/>
      <c r="R907" s="437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438"/>
      <c r="J908" s="437"/>
      <c r="K908" s="438"/>
      <c r="L908" s="437"/>
      <c r="M908" s="438"/>
      <c r="N908" s="437"/>
      <c r="O908" s="438"/>
      <c r="P908" s="437"/>
      <c r="Q908" s="438"/>
      <c r="R908" s="437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438"/>
      <c r="J909" s="437"/>
      <c r="K909" s="438"/>
      <c r="L909" s="437"/>
      <c r="M909" s="438"/>
      <c r="N909" s="437"/>
      <c r="O909" s="438"/>
      <c r="P909" s="437"/>
      <c r="Q909" s="438"/>
      <c r="R909" s="437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438"/>
      <c r="J910" s="437"/>
      <c r="K910" s="438"/>
      <c r="L910" s="437"/>
      <c r="M910" s="438"/>
      <c r="N910" s="437"/>
      <c r="O910" s="438"/>
      <c r="P910" s="437"/>
      <c r="Q910" s="438"/>
      <c r="R910" s="437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438"/>
      <c r="J911" s="437"/>
      <c r="K911" s="438"/>
      <c r="L911" s="437"/>
      <c r="M911" s="438"/>
      <c r="N911" s="437"/>
      <c r="O911" s="438"/>
      <c r="P911" s="437"/>
      <c r="Q911" s="438"/>
      <c r="R911" s="437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438"/>
      <c r="J912" s="437"/>
      <c r="K912" s="438"/>
      <c r="L912" s="437"/>
      <c r="M912" s="438"/>
      <c r="N912" s="437"/>
      <c r="O912" s="438"/>
      <c r="P912" s="437"/>
      <c r="Q912" s="438"/>
      <c r="R912" s="437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438"/>
      <c r="J913" s="437"/>
      <c r="K913" s="438"/>
      <c r="L913" s="437"/>
      <c r="M913" s="438"/>
      <c r="N913" s="437"/>
      <c r="O913" s="438"/>
      <c r="P913" s="437"/>
      <c r="Q913" s="438"/>
      <c r="R913" s="437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438"/>
      <c r="J914" s="437"/>
      <c r="K914" s="438"/>
      <c r="L914" s="437"/>
      <c r="M914" s="438"/>
      <c r="N914" s="437"/>
      <c r="O914" s="438"/>
      <c r="P914" s="437"/>
      <c r="Q914" s="438"/>
      <c r="R914" s="437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438"/>
      <c r="J915" s="437"/>
      <c r="K915" s="438"/>
      <c r="L915" s="437"/>
      <c r="M915" s="438"/>
      <c r="N915" s="437"/>
      <c r="O915" s="438"/>
      <c r="P915" s="437"/>
      <c r="Q915" s="438"/>
      <c r="R915" s="437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438"/>
      <c r="J916" s="437"/>
      <c r="K916" s="438"/>
      <c r="L916" s="437"/>
      <c r="M916" s="438"/>
      <c r="N916" s="437"/>
      <c r="O916" s="438"/>
      <c r="P916" s="437"/>
      <c r="Q916" s="438"/>
      <c r="R916" s="437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438"/>
      <c r="J917" s="437"/>
      <c r="K917" s="438"/>
      <c r="L917" s="437"/>
      <c r="M917" s="438"/>
      <c r="N917" s="437"/>
      <c r="O917" s="438"/>
      <c r="P917" s="437"/>
      <c r="Q917" s="438"/>
      <c r="R917" s="437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438"/>
      <c r="J918" s="437"/>
      <c r="K918" s="438"/>
      <c r="L918" s="437"/>
      <c r="M918" s="438"/>
      <c r="N918" s="437"/>
      <c r="O918" s="438"/>
      <c r="P918" s="437"/>
      <c r="Q918" s="438"/>
      <c r="R918" s="437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438"/>
      <c r="J919" s="437"/>
      <c r="K919" s="438"/>
      <c r="L919" s="437"/>
      <c r="M919" s="438"/>
      <c r="N919" s="437"/>
      <c r="O919" s="438"/>
      <c r="P919" s="437"/>
      <c r="Q919" s="438"/>
      <c r="R919" s="437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438"/>
      <c r="J920" s="437"/>
      <c r="K920" s="438"/>
      <c r="L920" s="437"/>
      <c r="M920" s="438"/>
      <c r="N920" s="437"/>
      <c r="O920" s="438"/>
      <c r="P920" s="437"/>
      <c r="Q920" s="438"/>
      <c r="R920" s="437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438"/>
      <c r="J921" s="437"/>
      <c r="K921" s="438"/>
      <c r="L921" s="437"/>
      <c r="M921" s="438"/>
      <c r="N921" s="437"/>
      <c r="O921" s="438"/>
      <c r="P921" s="437"/>
      <c r="Q921" s="438"/>
      <c r="R921" s="437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438"/>
      <c r="J922" s="437"/>
      <c r="K922" s="438"/>
      <c r="L922" s="437"/>
      <c r="M922" s="438"/>
      <c r="N922" s="437"/>
      <c r="O922" s="438"/>
      <c r="P922" s="437"/>
      <c r="Q922" s="438"/>
      <c r="R922" s="437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438"/>
      <c r="J923" s="437"/>
      <c r="K923" s="438"/>
      <c r="L923" s="437"/>
      <c r="M923" s="438"/>
      <c r="N923" s="437"/>
      <c r="O923" s="438"/>
      <c r="P923" s="437"/>
      <c r="Q923" s="438"/>
      <c r="R923" s="437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438"/>
      <c r="J924" s="437"/>
      <c r="K924" s="438"/>
      <c r="L924" s="437"/>
      <c r="M924" s="438"/>
      <c r="N924" s="437"/>
      <c r="O924" s="438"/>
      <c r="P924" s="437"/>
      <c r="Q924" s="438"/>
      <c r="R924" s="437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438"/>
      <c r="J925" s="437"/>
      <c r="K925" s="438"/>
      <c r="L925" s="437"/>
      <c r="M925" s="438"/>
      <c r="N925" s="437"/>
      <c r="O925" s="438"/>
      <c r="P925" s="437"/>
      <c r="Q925" s="438"/>
      <c r="R925" s="437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438"/>
      <c r="J926" s="437"/>
      <c r="K926" s="438"/>
      <c r="L926" s="437"/>
      <c r="M926" s="438"/>
      <c r="N926" s="437"/>
      <c r="O926" s="438"/>
      <c r="P926" s="437"/>
      <c r="Q926" s="438"/>
      <c r="R926" s="437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438"/>
      <c r="J927" s="437"/>
      <c r="K927" s="438"/>
      <c r="L927" s="437"/>
      <c r="M927" s="438"/>
      <c r="N927" s="437"/>
      <c r="O927" s="438"/>
      <c r="P927" s="437"/>
      <c r="Q927" s="438"/>
      <c r="R927" s="437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438"/>
      <c r="J928" s="437"/>
      <c r="K928" s="438"/>
      <c r="L928" s="437"/>
      <c r="M928" s="438"/>
      <c r="N928" s="437"/>
      <c r="O928" s="438"/>
      <c r="P928" s="437"/>
      <c r="Q928" s="438"/>
      <c r="R928" s="437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438"/>
      <c r="J929" s="437"/>
      <c r="K929" s="438"/>
      <c r="L929" s="437"/>
      <c r="M929" s="438"/>
      <c r="N929" s="437"/>
      <c r="O929" s="438"/>
      <c r="P929" s="437"/>
      <c r="Q929" s="438"/>
      <c r="R929" s="437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438"/>
      <c r="J930" s="437"/>
      <c r="K930" s="438"/>
      <c r="L930" s="437"/>
      <c r="M930" s="438"/>
      <c r="N930" s="437"/>
      <c r="O930" s="438"/>
      <c r="P930" s="437"/>
      <c r="Q930" s="438"/>
      <c r="R930" s="437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438"/>
      <c r="J931" s="437"/>
      <c r="K931" s="438"/>
      <c r="L931" s="437"/>
      <c r="M931" s="438"/>
      <c r="N931" s="437"/>
      <c r="O931" s="438"/>
      <c r="P931" s="437"/>
      <c r="Q931" s="438"/>
      <c r="R931" s="437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438"/>
      <c r="J932" s="437"/>
      <c r="K932" s="438"/>
      <c r="L932" s="437"/>
      <c r="M932" s="438"/>
      <c r="N932" s="437"/>
      <c r="O932" s="438"/>
      <c r="P932" s="437"/>
      <c r="Q932" s="438"/>
      <c r="R932" s="437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438"/>
      <c r="J933" s="437"/>
      <c r="K933" s="438"/>
      <c r="L933" s="437"/>
      <c r="M933" s="438"/>
      <c r="N933" s="437"/>
      <c r="O933" s="438"/>
      <c r="P933" s="437"/>
      <c r="Q933" s="438"/>
      <c r="R933" s="437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438"/>
      <c r="J934" s="437"/>
      <c r="K934" s="438"/>
      <c r="L934" s="437"/>
      <c r="M934" s="438"/>
      <c r="N934" s="437"/>
      <c r="O934" s="438"/>
      <c r="P934" s="437"/>
      <c r="Q934" s="438"/>
      <c r="R934" s="437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438"/>
      <c r="J935" s="437"/>
      <c r="K935" s="438"/>
      <c r="L935" s="437"/>
      <c r="M935" s="438"/>
      <c r="N935" s="437"/>
      <c r="O935" s="438"/>
      <c r="P935" s="437"/>
      <c r="Q935" s="438"/>
      <c r="R935" s="437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438"/>
      <c r="J936" s="437"/>
      <c r="K936" s="438"/>
      <c r="L936" s="437"/>
      <c r="M936" s="438"/>
      <c r="N936" s="437"/>
      <c r="O936" s="438"/>
      <c r="P936" s="437"/>
      <c r="Q936" s="438"/>
      <c r="R936" s="437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438"/>
      <c r="J937" s="437"/>
      <c r="K937" s="438"/>
      <c r="L937" s="437"/>
      <c r="M937" s="438"/>
      <c r="N937" s="437"/>
      <c r="O937" s="438"/>
      <c r="P937" s="437"/>
      <c r="Q937" s="438"/>
      <c r="R937" s="437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438"/>
      <c r="J938" s="437"/>
      <c r="K938" s="438"/>
      <c r="L938" s="437"/>
      <c r="M938" s="438"/>
      <c r="N938" s="437"/>
      <c r="O938" s="438"/>
      <c r="P938" s="437"/>
      <c r="Q938" s="438"/>
      <c r="R938" s="437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438"/>
      <c r="J939" s="437"/>
      <c r="K939" s="438"/>
      <c r="L939" s="437"/>
      <c r="M939" s="438"/>
      <c r="N939" s="437"/>
      <c r="O939" s="438"/>
      <c r="P939" s="437"/>
      <c r="Q939" s="438"/>
      <c r="R939" s="437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438"/>
      <c r="J940" s="437"/>
      <c r="K940" s="438"/>
      <c r="L940" s="437"/>
      <c r="M940" s="438"/>
      <c r="N940" s="437"/>
      <c r="O940" s="438"/>
      <c r="P940" s="437"/>
      <c r="Q940" s="438"/>
      <c r="R940" s="437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438"/>
      <c r="J941" s="437"/>
      <c r="K941" s="438"/>
      <c r="L941" s="437"/>
      <c r="M941" s="438"/>
      <c r="N941" s="437"/>
      <c r="O941" s="438"/>
      <c r="P941" s="437"/>
      <c r="Q941" s="438"/>
      <c r="R941" s="437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438"/>
      <c r="J942" s="437"/>
      <c r="K942" s="438"/>
      <c r="L942" s="437"/>
      <c r="M942" s="438"/>
      <c r="N942" s="437"/>
      <c r="O942" s="438"/>
      <c r="P942" s="437"/>
      <c r="Q942" s="438"/>
      <c r="R942" s="437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438"/>
      <c r="J943" s="437"/>
      <c r="K943" s="438"/>
      <c r="L943" s="437"/>
      <c r="M943" s="438"/>
      <c r="N943" s="437"/>
      <c r="O943" s="438"/>
      <c r="P943" s="437"/>
      <c r="Q943" s="438"/>
      <c r="R943" s="437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438"/>
      <c r="J944" s="437"/>
      <c r="K944" s="438"/>
      <c r="L944" s="437"/>
      <c r="M944" s="438"/>
      <c r="N944" s="437"/>
      <c r="O944" s="438"/>
      <c r="P944" s="437"/>
      <c r="Q944" s="438"/>
      <c r="R944" s="437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438"/>
      <c r="J945" s="437"/>
      <c r="K945" s="438"/>
      <c r="L945" s="437"/>
      <c r="M945" s="438"/>
      <c r="N945" s="437"/>
      <c r="O945" s="438"/>
      <c r="P945" s="437"/>
      <c r="Q945" s="438"/>
      <c r="R945" s="437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438"/>
      <c r="J946" s="437"/>
      <c r="K946" s="438"/>
      <c r="L946" s="437"/>
      <c r="M946" s="438"/>
      <c r="N946" s="437"/>
      <c r="O946" s="438"/>
      <c r="P946" s="437"/>
      <c r="Q946" s="438"/>
      <c r="R946" s="437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438"/>
      <c r="J947" s="437"/>
      <c r="K947" s="438"/>
      <c r="L947" s="437"/>
      <c r="M947" s="438"/>
      <c r="N947" s="437"/>
      <c r="O947" s="438"/>
      <c r="P947" s="437"/>
      <c r="Q947" s="438"/>
      <c r="R947" s="437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438"/>
      <c r="J948" s="437"/>
      <c r="K948" s="438"/>
      <c r="L948" s="437"/>
      <c r="M948" s="438"/>
      <c r="N948" s="437"/>
      <c r="O948" s="438"/>
      <c r="P948" s="437"/>
      <c r="Q948" s="438"/>
      <c r="R948" s="437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438"/>
      <c r="J949" s="437"/>
      <c r="K949" s="438"/>
      <c r="L949" s="437"/>
      <c r="M949" s="438"/>
      <c r="N949" s="437"/>
      <c r="O949" s="438"/>
      <c r="P949" s="437"/>
      <c r="Q949" s="438"/>
      <c r="R949" s="437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438"/>
      <c r="J950" s="437"/>
      <c r="K950" s="438"/>
      <c r="L950" s="437"/>
      <c r="M950" s="438"/>
      <c r="N950" s="437"/>
      <c r="O950" s="438"/>
      <c r="P950" s="437"/>
      <c r="Q950" s="438"/>
      <c r="R950" s="437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438"/>
      <c r="J951" s="437"/>
      <c r="K951" s="438"/>
      <c r="L951" s="437"/>
      <c r="M951" s="438"/>
      <c r="N951" s="437"/>
      <c r="O951" s="438"/>
      <c r="P951" s="437"/>
      <c r="Q951" s="438"/>
      <c r="R951" s="437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438"/>
      <c r="J952" s="437"/>
      <c r="K952" s="438"/>
      <c r="L952" s="437"/>
      <c r="M952" s="438"/>
      <c r="N952" s="437"/>
      <c r="O952" s="438"/>
      <c r="P952" s="437"/>
      <c r="Q952" s="438"/>
      <c r="R952" s="437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438"/>
      <c r="J953" s="437"/>
      <c r="K953" s="438"/>
      <c r="L953" s="437"/>
      <c r="M953" s="438"/>
      <c r="N953" s="437"/>
      <c r="O953" s="438"/>
      <c r="P953" s="437"/>
      <c r="Q953" s="438"/>
      <c r="R953" s="437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438"/>
      <c r="J954" s="437"/>
      <c r="K954" s="438"/>
      <c r="L954" s="437"/>
      <c r="M954" s="438"/>
      <c r="N954" s="437"/>
      <c r="O954" s="438"/>
      <c r="P954" s="437"/>
      <c r="Q954" s="438"/>
      <c r="R954" s="437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438"/>
      <c r="J955" s="437"/>
      <c r="K955" s="438"/>
      <c r="L955" s="437"/>
      <c r="M955" s="438"/>
      <c r="N955" s="437"/>
      <c r="O955" s="438"/>
      <c r="P955" s="437"/>
      <c r="Q955" s="438"/>
      <c r="R955" s="437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438"/>
      <c r="J956" s="437"/>
      <c r="K956" s="438"/>
      <c r="L956" s="437"/>
      <c r="M956" s="438"/>
      <c r="N956" s="437"/>
      <c r="O956" s="438"/>
      <c r="P956" s="437"/>
      <c r="Q956" s="438"/>
      <c r="R956" s="437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438"/>
      <c r="J957" s="437"/>
      <c r="K957" s="438"/>
      <c r="L957" s="437"/>
      <c r="M957" s="438"/>
      <c r="N957" s="437"/>
      <c r="O957" s="438"/>
      <c r="P957" s="437"/>
      <c r="Q957" s="438"/>
      <c r="R957" s="437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438"/>
      <c r="J958" s="437"/>
      <c r="K958" s="438"/>
      <c r="L958" s="437"/>
      <c r="M958" s="438"/>
      <c r="N958" s="437"/>
      <c r="O958" s="438"/>
      <c r="P958" s="437"/>
      <c r="Q958" s="438"/>
      <c r="R958" s="437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438"/>
      <c r="J959" s="437"/>
      <c r="K959" s="438"/>
      <c r="L959" s="437"/>
      <c r="M959" s="438"/>
      <c r="N959" s="437"/>
      <c r="O959" s="438"/>
      <c r="P959" s="437"/>
      <c r="Q959" s="438"/>
      <c r="R959" s="437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438"/>
      <c r="J960" s="437"/>
      <c r="K960" s="438"/>
      <c r="L960" s="437"/>
      <c r="M960" s="438"/>
      <c r="N960" s="437"/>
      <c r="O960" s="438"/>
      <c r="P960" s="437"/>
      <c r="Q960" s="438"/>
      <c r="R960" s="437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438"/>
      <c r="J961" s="437"/>
      <c r="K961" s="438"/>
      <c r="L961" s="437"/>
      <c r="M961" s="438"/>
      <c r="N961" s="437"/>
      <c r="O961" s="438"/>
      <c r="P961" s="437"/>
      <c r="Q961" s="438"/>
      <c r="R961" s="437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438"/>
      <c r="J962" s="437"/>
      <c r="K962" s="438"/>
      <c r="L962" s="437"/>
      <c r="M962" s="438"/>
      <c r="N962" s="437"/>
      <c r="O962" s="438"/>
      <c r="P962" s="437"/>
      <c r="Q962" s="438"/>
      <c r="R962" s="437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438"/>
      <c r="J963" s="437"/>
      <c r="K963" s="438"/>
      <c r="L963" s="437"/>
      <c r="M963" s="438"/>
      <c r="N963" s="437"/>
      <c r="O963" s="438"/>
      <c r="P963" s="437"/>
      <c r="Q963" s="438"/>
      <c r="R963" s="437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438"/>
      <c r="J964" s="437"/>
      <c r="K964" s="438"/>
      <c r="L964" s="437"/>
      <c r="M964" s="438"/>
      <c r="N964" s="437"/>
      <c r="O964" s="438"/>
      <c r="P964" s="437"/>
      <c r="Q964" s="438"/>
      <c r="R964" s="437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438"/>
      <c r="J965" s="437"/>
      <c r="K965" s="438"/>
      <c r="L965" s="437"/>
      <c r="M965" s="438"/>
      <c r="N965" s="437"/>
      <c r="O965" s="438"/>
      <c r="P965" s="437"/>
      <c r="Q965" s="438"/>
      <c r="R965" s="437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438"/>
      <c r="J966" s="437"/>
      <c r="K966" s="438"/>
      <c r="L966" s="437"/>
      <c r="M966" s="438"/>
      <c r="N966" s="437"/>
      <c r="O966" s="438"/>
      <c r="P966" s="437"/>
      <c r="Q966" s="438"/>
      <c r="R966" s="437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438"/>
      <c r="J967" s="437"/>
      <c r="K967" s="438"/>
      <c r="L967" s="437"/>
      <c r="M967" s="438"/>
      <c r="N967" s="437"/>
      <c r="O967" s="438"/>
      <c r="P967" s="437"/>
      <c r="Q967" s="438"/>
      <c r="R967" s="437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438"/>
      <c r="J968" s="437"/>
      <c r="K968" s="438"/>
      <c r="L968" s="437"/>
      <c r="M968" s="438"/>
      <c r="N968" s="437"/>
      <c r="O968" s="438"/>
      <c r="P968" s="437"/>
      <c r="Q968" s="438"/>
      <c r="R968" s="437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438"/>
      <c r="J969" s="437"/>
      <c r="K969" s="438"/>
      <c r="L969" s="437"/>
      <c r="M969" s="438"/>
      <c r="N969" s="437"/>
      <c r="O969" s="438"/>
      <c r="P969" s="437"/>
      <c r="Q969" s="438"/>
      <c r="R969" s="437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438"/>
      <c r="J970" s="437"/>
      <c r="K970" s="438"/>
      <c r="L970" s="437"/>
      <c r="M970" s="438"/>
      <c r="N970" s="437"/>
      <c r="O970" s="438"/>
      <c r="P970" s="437"/>
      <c r="Q970" s="438"/>
      <c r="R970" s="437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438"/>
      <c r="J971" s="437"/>
      <c r="K971" s="438"/>
      <c r="L971" s="437"/>
      <c r="M971" s="438"/>
      <c r="N971" s="437"/>
      <c r="O971" s="438"/>
      <c r="P971" s="437"/>
      <c r="Q971" s="438"/>
      <c r="R971" s="437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438"/>
      <c r="J972" s="437"/>
      <c r="K972" s="438"/>
      <c r="L972" s="437"/>
      <c r="M972" s="438"/>
      <c r="N972" s="437"/>
      <c r="O972" s="438"/>
      <c r="P972" s="437"/>
      <c r="Q972" s="438"/>
      <c r="R972" s="437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438"/>
      <c r="J973" s="437"/>
      <c r="K973" s="438"/>
      <c r="L973" s="437"/>
      <c r="M973" s="438"/>
      <c r="N973" s="437"/>
      <c r="O973" s="438"/>
      <c r="P973" s="437"/>
      <c r="Q973" s="438"/>
      <c r="R973" s="437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438"/>
      <c r="J974" s="437"/>
      <c r="K974" s="438"/>
      <c r="L974" s="437"/>
      <c r="M974" s="438"/>
      <c r="N974" s="437"/>
      <c r="O974" s="438"/>
      <c r="P974" s="437"/>
      <c r="Q974" s="438"/>
      <c r="R974" s="437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438"/>
      <c r="J975" s="437"/>
      <c r="K975" s="438"/>
      <c r="L975" s="437"/>
      <c r="M975" s="438"/>
      <c r="N975" s="437"/>
      <c r="O975" s="438"/>
      <c r="P975" s="437"/>
      <c r="Q975" s="438"/>
      <c r="R975" s="437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438"/>
      <c r="J976" s="437"/>
      <c r="K976" s="438"/>
      <c r="L976" s="437"/>
      <c r="M976" s="438"/>
      <c r="N976" s="437"/>
      <c r="O976" s="438"/>
      <c r="P976" s="437"/>
      <c r="Q976" s="438"/>
      <c r="R976" s="437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438"/>
      <c r="J977" s="437"/>
      <c r="K977" s="438"/>
      <c r="L977" s="437"/>
      <c r="M977" s="438"/>
      <c r="N977" s="437"/>
      <c r="O977" s="438"/>
      <c r="P977" s="437"/>
      <c r="Q977" s="438"/>
      <c r="R977" s="437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438"/>
      <c r="J978" s="437"/>
      <c r="K978" s="438"/>
      <c r="L978" s="437"/>
      <c r="M978" s="438"/>
      <c r="N978" s="437"/>
      <c r="O978" s="438"/>
      <c r="P978" s="437"/>
      <c r="Q978" s="438"/>
      <c r="R978" s="437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438"/>
      <c r="J979" s="437"/>
      <c r="K979" s="438"/>
      <c r="L979" s="437"/>
      <c r="M979" s="438"/>
      <c r="N979" s="437"/>
      <c r="O979" s="438"/>
      <c r="P979" s="437"/>
      <c r="Q979" s="438"/>
      <c r="R979" s="437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438"/>
      <c r="J980" s="437"/>
      <c r="K980" s="438"/>
      <c r="L980" s="437"/>
      <c r="M980" s="438"/>
      <c r="N980" s="437"/>
      <c r="O980" s="438"/>
      <c r="P980" s="437"/>
      <c r="Q980" s="438"/>
      <c r="R980" s="437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438"/>
      <c r="J981" s="437"/>
      <c r="K981" s="438"/>
      <c r="L981" s="437"/>
      <c r="M981" s="438"/>
      <c r="N981" s="437"/>
      <c r="O981" s="438"/>
      <c r="P981" s="437"/>
      <c r="Q981" s="438"/>
      <c r="R981" s="437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438"/>
      <c r="J982" s="437"/>
      <c r="K982" s="438"/>
      <c r="L982" s="437"/>
      <c r="M982" s="438"/>
      <c r="N982" s="437"/>
      <c r="O982" s="438"/>
      <c r="P982" s="437"/>
      <c r="Q982" s="438"/>
      <c r="R982" s="437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438"/>
      <c r="J983" s="437"/>
      <c r="K983" s="438"/>
      <c r="L983" s="437"/>
      <c r="M983" s="438"/>
      <c r="N983" s="437"/>
      <c r="O983" s="438"/>
      <c r="P983" s="437"/>
      <c r="Q983" s="438"/>
      <c r="R983" s="437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438"/>
      <c r="J984" s="437"/>
      <c r="K984" s="438"/>
      <c r="L984" s="437"/>
      <c r="M984" s="438"/>
      <c r="N984" s="437"/>
      <c r="O984" s="438"/>
      <c r="P984" s="437"/>
      <c r="Q984" s="438"/>
      <c r="R984" s="437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438"/>
      <c r="J985" s="437"/>
      <c r="K985" s="438"/>
      <c r="L985" s="437"/>
      <c r="M985" s="438"/>
      <c r="N985" s="437"/>
      <c r="O985" s="438"/>
      <c r="P985" s="437"/>
      <c r="Q985" s="438"/>
      <c r="R985" s="437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438"/>
      <c r="J986" s="437"/>
      <c r="K986" s="438"/>
      <c r="L986" s="437"/>
      <c r="M986" s="438"/>
      <c r="N986" s="437"/>
      <c r="O986" s="438"/>
      <c r="P986" s="437"/>
      <c r="Q986" s="438"/>
      <c r="R986" s="437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438"/>
      <c r="J987" s="437"/>
      <c r="K987" s="438"/>
      <c r="L987" s="437"/>
      <c r="M987" s="438"/>
      <c r="N987" s="437"/>
      <c r="O987" s="438"/>
      <c r="P987" s="437"/>
      <c r="Q987" s="438"/>
      <c r="R987" s="437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438"/>
      <c r="J988" s="437"/>
      <c r="K988" s="438"/>
      <c r="L988" s="437"/>
      <c r="M988" s="438"/>
      <c r="N988" s="437"/>
      <c r="O988" s="438"/>
      <c r="P988" s="437"/>
      <c r="Q988" s="438"/>
      <c r="R988" s="437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438"/>
      <c r="J989" s="437"/>
      <c r="K989" s="438"/>
      <c r="L989" s="437"/>
      <c r="M989" s="438"/>
      <c r="N989" s="437"/>
      <c r="O989" s="438"/>
      <c r="P989" s="437"/>
      <c r="Q989" s="438"/>
      <c r="R989" s="437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438"/>
      <c r="J990" s="437"/>
      <c r="K990" s="438"/>
      <c r="L990" s="437"/>
      <c r="M990" s="438"/>
      <c r="N990" s="437"/>
      <c r="O990" s="438"/>
      <c r="P990" s="437"/>
      <c r="Q990" s="438"/>
      <c r="R990" s="437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438"/>
      <c r="J991" s="437"/>
      <c r="K991" s="438"/>
      <c r="L991" s="437"/>
      <c r="M991" s="438"/>
      <c r="N991" s="437"/>
      <c r="O991" s="438"/>
      <c r="P991" s="437"/>
      <c r="Q991" s="438"/>
      <c r="R991" s="437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438"/>
      <c r="J992" s="437"/>
      <c r="K992" s="438"/>
      <c r="L992" s="437"/>
      <c r="M992" s="438"/>
      <c r="N992" s="437"/>
      <c r="O992" s="438"/>
      <c r="P992" s="437"/>
      <c r="Q992" s="438"/>
      <c r="R992" s="437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438"/>
      <c r="J993" s="437"/>
      <c r="K993" s="438"/>
      <c r="L993" s="437"/>
      <c r="M993" s="438"/>
      <c r="N993" s="437"/>
      <c r="O993" s="438"/>
      <c r="P993" s="437"/>
      <c r="Q993" s="438"/>
      <c r="R993" s="437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438"/>
      <c r="J994" s="437"/>
      <c r="K994" s="438"/>
      <c r="L994" s="437"/>
      <c r="M994" s="438"/>
      <c r="N994" s="437"/>
      <c r="O994" s="438"/>
      <c r="P994" s="437"/>
      <c r="Q994" s="438"/>
      <c r="R994" s="437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438"/>
      <c r="J995" s="437"/>
      <c r="K995" s="438"/>
      <c r="L995" s="437"/>
      <c r="M995" s="438"/>
      <c r="N995" s="437"/>
      <c r="O995" s="438"/>
      <c r="P995" s="437"/>
      <c r="Q995" s="438"/>
      <c r="R995" s="437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438"/>
      <c r="J996" s="437"/>
      <c r="K996" s="438"/>
      <c r="L996" s="437"/>
      <c r="M996" s="438"/>
      <c r="N996" s="437"/>
      <c r="O996" s="438"/>
      <c r="P996" s="437"/>
      <c r="Q996" s="438"/>
      <c r="R996" s="437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438"/>
      <c r="J997" s="437"/>
      <c r="K997" s="438"/>
      <c r="L997" s="437"/>
      <c r="M997" s="438"/>
      <c r="N997" s="437"/>
      <c r="O997" s="438"/>
      <c r="P997" s="437"/>
      <c r="Q997" s="438"/>
      <c r="R997" s="437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438"/>
      <c r="J998" s="437"/>
      <c r="K998" s="438"/>
      <c r="L998" s="437"/>
      <c r="M998" s="438"/>
      <c r="N998" s="437"/>
      <c r="O998" s="438"/>
      <c r="P998" s="437"/>
      <c r="Q998" s="438"/>
      <c r="R998" s="437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438"/>
      <c r="J999" s="437"/>
      <c r="K999" s="438"/>
      <c r="L999" s="437"/>
      <c r="M999" s="438"/>
      <c r="N999" s="437"/>
      <c r="O999" s="438"/>
      <c r="P999" s="437"/>
      <c r="Q999" s="438"/>
      <c r="R999" s="437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438"/>
      <c r="J1000" s="437"/>
      <c r="K1000" s="438"/>
      <c r="L1000" s="437"/>
      <c r="M1000" s="438"/>
      <c r="N1000" s="437"/>
      <c r="O1000" s="438"/>
      <c r="P1000" s="437"/>
      <c r="Q1000" s="438"/>
      <c r="R1000" s="437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P2:Q2"/>
    <mergeCell ref="I45:Q45"/>
    <mergeCell ref="O90:Q90"/>
    <mergeCell ref="I92:Q92"/>
  </mergeCells>
  <printOptions horizontalCentered="1"/>
  <pageMargins bottom="0.75" footer="0.0" header="0.0" left="0.25" right="0.25" top="0.75"/>
  <pageSetup orientation="landscape" pageOrder="overThenDown"/>
  <headerFooter>
    <oddFooter/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2009-11-30T12:48:21Z</dcterms:created>
  <dc:creator>Jeff Spear</dc:creator>
</cp:coreProperties>
</file>